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13.xml" ContentType="application/vnd.openxmlformats-officedocument.drawing+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harts/chart23.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24.xml" ContentType="application/vnd.openxmlformats-officedocument.drawingml.chart+xml"/>
  <Override PartName="/xl/charts/style17.xml" ContentType="application/vnd.ms-office.chartstyle+xml"/>
  <Override PartName="/xl/charts/colors17.xml" ContentType="application/vnd.ms-office.chartcolorstyle+xml"/>
  <Override PartName="/xl/charts/chart25.xml" ContentType="application/vnd.openxmlformats-officedocument.drawingml.chart+xml"/>
  <Override PartName="/xl/charts/style18.xml" ContentType="application/vnd.ms-office.chartstyle+xml"/>
  <Override PartName="/xl/charts/colors18.xml" ContentType="application/vnd.ms-office.chartcolorstyle+xml"/>
  <Override PartName="/xl/charts/chart26.xml" ContentType="application/vnd.openxmlformats-officedocument.drawingml.chart+xml"/>
  <Override PartName="/xl/charts/style19.xml" ContentType="application/vnd.ms-office.chartstyle+xml"/>
  <Override PartName="/xl/charts/colors19.xml" ContentType="application/vnd.ms-office.chartcolorstyle+xml"/>
  <Override PartName="/xl/charts/chart27.xml" ContentType="application/vnd.openxmlformats-officedocument.drawingml.chart+xml"/>
  <Override PartName="/xl/charts/style20.xml" ContentType="application/vnd.ms-office.chartstyle+xml"/>
  <Override PartName="/xl/charts/colors20.xml" ContentType="application/vnd.ms-office.chartcolorstyle+xml"/>
  <Override PartName="/xl/charts/chart28.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Hedieh.Khaneghahpana\AppData\Local\Microsoft\Windows\INetCache\Content.Outlook\L20QFJJX\"/>
    </mc:Choice>
  </mc:AlternateContent>
  <xr:revisionPtr revIDLastSave="0" documentId="13_ncr:1_{50F37BFA-00D2-4E19-9845-93579E839312}" xr6:coauthVersionLast="47" xr6:coauthVersionMax="47" xr10:uidLastSave="{00000000-0000-0000-0000-000000000000}"/>
  <bookViews>
    <workbookView xWindow="-110" yWindow="-110" windowWidth="19420" windowHeight="11500" tabRatio="793" xr2:uid="{00000000-000D-0000-FFFF-FFFF00000000}"/>
  </bookViews>
  <sheets>
    <sheet name="Menu" sheetId="1" r:id="rId1"/>
    <sheet name="Data Input" sheetId="29" r:id="rId2"/>
    <sheet name="Indictors" sheetId="45" r:id="rId3"/>
    <sheet name="Grant Details" sheetId="27" r:id="rId4"/>
    <sheet name="Financing" sheetId="30" r:id="rId5"/>
    <sheet name="Programme" sheetId="37" r:id="rId6"/>
    <sheet name="Management" sheetId="35" r:id="rId7"/>
    <sheet name="Меню" sheetId="47" r:id="rId8"/>
    <sheet name="Ввод данных" sheetId="49" r:id="rId9"/>
    <sheet name="Показатели" sheetId="48" r:id="rId10"/>
    <sheet name="Сведения о гранте" sheetId="50" r:id="rId11"/>
    <sheet name="Финансирование" sheetId="51" r:id="rId12"/>
    <sheet name="Программа" sheetId="52" r:id="rId13"/>
    <sheet name="Управление" sheetId="53" r:id="rId14"/>
    <sheet name="Установки" sheetId="32" state="hidden" r:id="rId15"/>
    <sheet name="Акронимы" sheetId="46" state="hidden" r:id="rId16"/>
  </sheets>
  <externalReferences>
    <externalReference r:id="rId17"/>
  </externalReferences>
  <definedNames>
    <definedName name="Component" localSheetId="8">[1]Установки!$B$9:$B$14</definedName>
    <definedName name="Component" localSheetId="7">[1]Установки!$B$9:$B$14</definedName>
    <definedName name="Component" localSheetId="9">[1]Установки!$B$9:$B$14</definedName>
    <definedName name="Component" localSheetId="12">[1]Установки!$B$9:$B$14</definedName>
    <definedName name="Component" localSheetId="10">[1]Установки!$B$9:$B$14</definedName>
    <definedName name="Component" localSheetId="13">[1]Установки!$B$9:$B$14</definedName>
    <definedName name="Component" localSheetId="11">[1]Установки!$B$9:$B$14</definedName>
    <definedName name="Component">Установки!$B$9:$B$14</definedName>
    <definedName name="Countries">Установки!$J$9:$J$143</definedName>
    <definedName name="Currency" localSheetId="8">[1]Установки!$C$9:$C$11</definedName>
    <definedName name="Currency" localSheetId="7">[1]Установки!$C$9:$C$11</definedName>
    <definedName name="Currency" localSheetId="9">[1]Установки!$C$9:$C$11</definedName>
    <definedName name="Currency" localSheetId="12">[1]Установки!$C$9:$C$11</definedName>
    <definedName name="Currency" localSheetId="10">[1]Установки!$C$9:$C$11</definedName>
    <definedName name="Currency" localSheetId="13">[1]Установки!$C$9:$C$11</definedName>
    <definedName name="Currency" localSheetId="11">[1]Установки!$C$9:$C$11</definedName>
    <definedName name="Currency">Установки!$C$9:$C$11</definedName>
    <definedName name="HIV___AID">'Data Input'!$F$6</definedName>
    <definedName name="HIV__AID" localSheetId="1">'Data Input'!$F$6</definedName>
    <definedName name="HIV__AID" localSheetId="4">'Data Input'!$F$6</definedName>
    <definedName name="HIV__AID" localSheetId="3">'Data Input'!$F$6</definedName>
    <definedName name="HIV__AID" localSheetId="2">'Data Input'!$F$6</definedName>
    <definedName name="HIV__AID">'Data Input'!$F$6</definedName>
    <definedName name="HIV_AID_TB">'Data Input'!$F$6</definedName>
    <definedName name="LFA" localSheetId="8">[1]Установки!$H$9:$H$22</definedName>
    <definedName name="LFA" localSheetId="7">[1]Установки!$H$9:$H$22</definedName>
    <definedName name="LFA" localSheetId="9">[1]Установки!$H$9:$H$22</definedName>
    <definedName name="LFA" localSheetId="12">[1]Установки!$H$9:$H$22</definedName>
    <definedName name="LFA" localSheetId="10">[1]Установки!$H$9:$H$22</definedName>
    <definedName name="LFA" localSheetId="13">[1]Установки!$H$9:$H$22</definedName>
    <definedName name="LFA" localSheetId="11">[1]Установки!$H$9:$H$22</definedName>
    <definedName name="LFA">Установки!$H$9:$H$22</definedName>
    <definedName name="Medicaments" localSheetId="8">[1]Установки!$I$9:$I$30</definedName>
    <definedName name="Medicaments" localSheetId="7">[1]Установки!$I$9:$I$30</definedName>
    <definedName name="Medicaments" localSheetId="9">[1]Установки!$I$9:$I$30</definedName>
    <definedName name="Medicaments" localSheetId="12">[1]Установки!$I$9:$I$30</definedName>
    <definedName name="Medicaments" localSheetId="10">[1]Установки!$I$9:$I$30</definedName>
    <definedName name="Medicaments" localSheetId="13">[1]Установки!$I$9:$I$30</definedName>
    <definedName name="Medicaments" localSheetId="11">[1]Установки!$I$9:$I$30</definedName>
    <definedName name="Medicaments">Установки!$I$9:$I$30</definedName>
    <definedName name="PERIOD" localSheetId="8">[1]Установки!$F$9:$F$21</definedName>
    <definedName name="PERIOD" localSheetId="7">[1]Установки!$F$9:$F$21</definedName>
    <definedName name="PERIOD" localSheetId="9">[1]Установки!$F$9:$F$21</definedName>
    <definedName name="PERIOD" localSheetId="12">[1]Установки!$F$9:$F$21</definedName>
    <definedName name="PERIOD" localSheetId="10">[1]Установки!$F$9:$F$21</definedName>
    <definedName name="PERIOD" localSheetId="13">[1]Установки!$F$9:$F$21</definedName>
    <definedName name="PERIOD" localSheetId="11">[1]Установки!$F$9:$F$21</definedName>
    <definedName name="PERIOD">Установки!$F$9:$F$21</definedName>
    <definedName name="Phase" localSheetId="8">[1]Установки!$E$9:$E$13</definedName>
    <definedName name="Phase" localSheetId="7">[1]Установки!$E$9:$E$13</definedName>
    <definedName name="Phase" localSheetId="9">[1]Установки!$E$9:$E$13</definedName>
    <definedName name="Phase" localSheetId="12">[1]Установки!$E$9:$E$13</definedName>
    <definedName name="Phase" localSheetId="10">[1]Установки!$E$9:$E$13</definedName>
    <definedName name="Phase" localSheetId="13">[1]Установки!$E$9:$E$13</definedName>
    <definedName name="Phase" localSheetId="11">[1]Установки!$E$9:$E$13</definedName>
    <definedName name="Phase">Установки!$E$9:$E$13</definedName>
    <definedName name="_xlnm.Print_Area" localSheetId="4">Financing!$A$2:$M$31</definedName>
    <definedName name="_xlnm.Print_Area" localSheetId="6">Management!$A$1:$M$50</definedName>
    <definedName name="_xlnm.Print_Area" localSheetId="5">Programme!$A$1:$Q$54</definedName>
    <definedName name="_xlnm.Print_Area" localSheetId="12">Программа!$A$1:$Q$54</definedName>
    <definedName name="_xlnm.Print_Area" localSheetId="13">Управление!$A$1:$M$50</definedName>
    <definedName name="_xlnm.Print_Area" localSheetId="11">Финансирование!$A$2:$M$31</definedName>
    <definedName name="PrintA" localSheetId="8">#REF!</definedName>
    <definedName name="PrintA" localSheetId="7">#REF!</definedName>
    <definedName name="PrintA" localSheetId="9">#REF!</definedName>
    <definedName name="PrintA" localSheetId="12">#REF!</definedName>
    <definedName name="PrintA" localSheetId="10">#REF!</definedName>
    <definedName name="PrintA" localSheetId="13">#REF!</definedName>
    <definedName name="PrintA" localSheetId="11">#REF!</definedName>
    <definedName name="PrintA">#REF!</definedName>
    <definedName name="PrintDataF" localSheetId="8">'Ввод данных'!$A$25:$I$82</definedName>
    <definedName name="PrintDataF" localSheetId="12">'Ввод данных'!$A$25:$I$82</definedName>
    <definedName name="PrintDataF" localSheetId="10">'Ввод данных'!$A$25:$I$82</definedName>
    <definedName name="PrintDataF" localSheetId="13">'Ввод данных'!$A$25:$I$82</definedName>
    <definedName name="PrintDataF" localSheetId="11">'Ввод данных'!$A$25:$I$82</definedName>
    <definedName name="PrintDataF">'Data Input'!$A$25:$I$82</definedName>
    <definedName name="PrintDataM" localSheetId="8">'Ввод данных'!$A$84:$G$165</definedName>
    <definedName name="PrintDataM" localSheetId="12">'Ввод данных'!$A$84:$G$165</definedName>
    <definedName name="PrintDataM" localSheetId="10">'Ввод данных'!$A$84:$G$165</definedName>
    <definedName name="PrintDataM" localSheetId="13">'Ввод данных'!$A$84:$G$165</definedName>
    <definedName name="PrintDataM" localSheetId="11">'Ввод данных'!$A$84:$G$165</definedName>
    <definedName name="PrintDataM">'Data Input'!$A$84:$G$165</definedName>
    <definedName name="PrintF" localSheetId="12">Финансирование!$A$2:$M$31</definedName>
    <definedName name="PrintF" localSheetId="13">Финансирование!$A$2:$M$31</definedName>
    <definedName name="PrintF" localSheetId="11">Финансирование!$A$2:$M$31</definedName>
    <definedName name="PrintF">Financing!$A$2:$M$31</definedName>
    <definedName name="PrintGD" localSheetId="12">'Сведения о гранте'!$A$2:$J$13</definedName>
    <definedName name="PrintGD" localSheetId="10">'Сведения о гранте'!$A$2:$J$13</definedName>
    <definedName name="PrintGD" localSheetId="13">'Сведения о гранте'!$A$2:$J$13</definedName>
    <definedName name="PrintGD" localSheetId="11">'Сведения о гранте'!$A$2:$J$13</definedName>
    <definedName name="PrintGD">'Grant Details'!$A$2:$J$13</definedName>
    <definedName name="PrintM" localSheetId="13">Управление!$A$2:$M$64</definedName>
    <definedName name="PrintM">Management!$A$2:$M$64</definedName>
    <definedName name="PrintP" localSheetId="12">Программа!$A$2:$P$55</definedName>
    <definedName name="PrintP" localSheetId="13">Программа!$A$2:$P$55</definedName>
    <definedName name="PrintP">Programme!$A$2:$P$55</definedName>
    <definedName name="PrintR" localSheetId="8">#REF!</definedName>
    <definedName name="PrintR" localSheetId="7">#REF!</definedName>
    <definedName name="PrintR" localSheetId="9">#REF!</definedName>
    <definedName name="PrintR" localSheetId="12">#REF!</definedName>
    <definedName name="PrintR" localSheetId="10">#REF!</definedName>
    <definedName name="PrintR" localSheetId="13">#REF!</definedName>
    <definedName name="PrintR" localSheetId="11">#REF!</definedName>
    <definedName name="PrintR">#REF!</definedName>
    <definedName name="Rating" localSheetId="8">[1]Установки!$G$9:$G$14</definedName>
    <definedName name="Rating" localSheetId="7">[1]Установки!$G$9:$G$14</definedName>
    <definedName name="Rating" localSheetId="9">[1]Установки!$G$9:$G$14</definedName>
    <definedName name="Rating" localSheetId="12">[1]Установки!$G$9:$G$14</definedName>
    <definedName name="Rating" localSheetId="10">[1]Установки!$G$9:$G$14</definedName>
    <definedName name="Rating" localSheetId="13">[1]Установки!$G$9:$G$14</definedName>
    <definedName name="Rating" localSheetId="11">[1]Установки!$G$9:$G$14</definedName>
    <definedName name="Rating">Установки!$G$9:$G$14</definedName>
    <definedName name="Round" localSheetId="8">[1]Установки!$D$9:$D$21</definedName>
    <definedName name="Round" localSheetId="7">[1]Установки!$D$9:$D$21</definedName>
    <definedName name="Round" localSheetId="9">[1]Установки!$D$9:$D$21</definedName>
    <definedName name="Round" localSheetId="12">[1]Установки!$D$9:$D$21</definedName>
    <definedName name="Round" localSheetId="10">[1]Установки!$D$9:$D$21</definedName>
    <definedName name="Round" localSheetId="13">[1]Установки!$D$9:$D$21</definedName>
    <definedName name="Round" localSheetId="11">[1]Установки!$D$9:$D$21</definedName>
    <definedName name="Round">Установки!$D$9:$D$21</definedName>
    <definedName name="TB">'Data Input'!$F$6</definedName>
    <definedName name="ВИЧ___СПИД" localSheetId="0">'Data Input'!$F$6</definedName>
    <definedName name="мва" localSheetId="8">[1]Установки!$I$9:$I$30</definedName>
    <definedName name="мва" localSheetId="7">[1]Установки!$I$9:$I$30</definedName>
    <definedName name="мва" localSheetId="9">[1]Установки!$I$9:$I$30</definedName>
    <definedName name="мва" localSheetId="12">[1]Установки!$I$9:$I$30</definedName>
    <definedName name="мва" localSheetId="10">[1]Установки!$I$9:$I$30</definedName>
    <definedName name="мва" localSheetId="13">[1]Установки!$I$9:$I$30</definedName>
    <definedName name="мва" localSheetId="11">[1]Установки!$I$9:$I$30</definedName>
    <definedName name="мва">Установки!$I$9:$I$30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3" l="1"/>
  <c r="B3" i="53"/>
  <c r="C3" i="53"/>
  <c r="K3" i="53"/>
  <c r="M3" i="53"/>
  <c r="B4" i="53"/>
  <c r="C4" i="53"/>
  <c r="E4" i="53"/>
  <c r="K4" i="53"/>
  <c r="M4" i="53"/>
  <c r="D5" i="53"/>
  <c r="L5" i="53"/>
  <c r="M5" i="53"/>
  <c r="B7" i="53"/>
  <c r="I7" i="53"/>
  <c r="B18" i="53"/>
  <c r="I18" i="53"/>
  <c r="B28" i="53"/>
  <c r="I28" i="53"/>
  <c r="K32" i="53"/>
  <c r="M32" i="53"/>
  <c r="K33" i="53"/>
  <c r="M33" i="53"/>
  <c r="K34" i="53"/>
  <c r="M34" i="53" s="1"/>
  <c r="K35" i="53"/>
  <c r="M35" i="53" s="1"/>
  <c r="K36" i="53"/>
  <c r="M36" i="53"/>
  <c r="K37" i="53"/>
  <c r="M37" i="53"/>
  <c r="K38" i="53"/>
  <c r="M38" i="53" s="1"/>
  <c r="K39" i="53"/>
  <c r="M39" i="53" s="1"/>
  <c r="K40" i="53"/>
  <c r="M40" i="53"/>
  <c r="K41" i="53"/>
  <c r="M41" i="53"/>
  <c r="K42" i="53"/>
  <c r="M42" i="53" s="1"/>
  <c r="K43" i="53"/>
  <c r="M43" i="53" s="1"/>
  <c r="K44" i="53"/>
  <c r="M44" i="53"/>
  <c r="M45" i="53"/>
  <c r="M46" i="53"/>
  <c r="K47" i="53"/>
  <c r="M47" i="53" s="1"/>
  <c r="K48" i="53"/>
  <c r="M48" i="53" s="1"/>
  <c r="K49" i="53"/>
  <c r="M49" i="53"/>
  <c r="K50" i="53"/>
  <c r="M50" i="53"/>
  <c r="K51" i="53"/>
  <c r="M51" i="53" s="1"/>
  <c r="K52" i="53"/>
  <c r="M52" i="53" s="1"/>
  <c r="K53" i="53"/>
  <c r="M53" i="53"/>
  <c r="K54" i="53"/>
  <c r="M54" i="53"/>
  <c r="K55" i="53"/>
  <c r="M55" i="53" s="1"/>
  <c r="K56" i="53"/>
  <c r="M56" i="53" s="1"/>
  <c r="K57" i="53"/>
  <c r="M57" i="53"/>
  <c r="K58" i="53"/>
  <c r="M58" i="53"/>
  <c r="J59" i="53"/>
  <c r="K59" i="53"/>
  <c r="M59" i="53"/>
  <c r="K60" i="53"/>
  <c r="M60" i="53" s="1"/>
  <c r="K61" i="53"/>
  <c r="M61" i="53"/>
  <c r="K62" i="53"/>
  <c r="M62" i="53"/>
  <c r="K63" i="53"/>
  <c r="M63" i="53"/>
  <c r="K64" i="53"/>
  <c r="M64" i="53" s="1"/>
  <c r="K65" i="53"/>
  <c r="M65" i="53"/>
  <c r="M66" i="53"/>
  <c r="B2" i="52"/>
  <c r="B3" i="52"/>
  <c r="C3" i="52"/>
  <c r="O3" i="52"/>
  <c r="Q3" i="52"/>
  <c r="B4" i="52"/>
  <c r="C4" i="52"/>
  <c r="E4" i="52"/>
  <c r="P4" i="52"/>
  <c r="D5" i="52"/>
  <c r="P5" i="52"/>
  <c r="T23" i="52"/>
  <c r="U23" i="52"/>
  <c r="V23" i="52"/>
  <c r="W23" i="52"/>
  <c r="X23" i="52"/>
  <c r="AB23" i="52"/>
  <c r="AC23" i="52"/>
  <c r="AD23" i="52"/>
  <c r="AE23" i="52"/>
  <c r="AF23" i="52"/>
  <c r="T25" i="52"/>
  <c r="U25" i="52"/>
  <c r="V25" i="52"/>
  <c r="W25" i="52"/>
  <c r="X25" i="52"/>
  <c r="AA25" i="52"/>
  <c r="AB25" i="52" s="1"/>
  <c r="AC25" i="52"/>
  <c r="AD25" i="52"/>
  <c r="AE25" i="52"/>
  <c r="AF25" i="52"/>
  <c r="T26" i="52"/>
  <c r="U26" i="52"/>
  <c r="V26" i="52"/>
  <c r="W26" i="52"/>
  <c r="X26" i="52"/>
  <c r="AA26" i="52"/>
  <c r="AF26" i="52" s="1"/>
  <c r="AB26" i="52"/>
  <c r="AC26" i="52"/>
  <c r="AD26" i="52"/>
  <c r="AE26" i="52"/>
  <c r="T28" i="52"/>
  <c r="U28" i="52"/>
  <c r="V28" i="52"/>
  <c r="W28" i="52"/>
  <c r="X28" i="52"/>
  <c r="T29" i="52"/>
  <c r="U29" i="52"/>
  <c r="V29" i="52"/>
  <c r="W29" i="52"/>
  <c r="X29" i="52"/>
  <c r="T32" i="52"/>
  <c r="U32" i="52"/>
  <c r="V32" i="52"/>
  <c r="W32" i="52"/>
  <c r="X32" i="52"/>
  <c r="T33" i="52"/>
  <c r="U33" i="52"/>
  <c r="V33" i="52"/>
  <c r="W33" i="52"/>
  <c r="X33" i="52"/>
  <c r="G49" i="52"/>
  <c r="B50" i="52"/>
  <c r="G50" i="52"/>
  <c r="T50" i="52"/>
  <c r="U50" i="52"/>
  <c r="B51" i="52"/>
  <c r="G51" i="52"/>
  <c r="T51" i="52"/>
  <c r="U51" i="52"/>
  <c r="B52" i="52"/>
  <c r="G52" i="52"/>
  <c r="G53" i="52"/>
  <c r="B2" i="51"/>
  <c r="B3" i="51"/>
  <c r="K3" i="51"/>
  <c r="M3" i="51"/>
  <c r="B4" i="51"/>
  <c r="C4" i="51"/>
  <c r="E4" i="51"/>
  <c r="K4" i="51"/>
  <c r="M4" i="51"/>
  <c r="D5" i="51"/>
  <c r="L5" i="51"/>
  <c r="M5" i="51"/>
  <c r="B8" i="51"/>
  <c r="J8" i="51"/>
  <c r="B22" i="51"/>
  <c r="J22" i="51"/>
  <c r="J27" i="51"/>
  <c r="L27" i="51"/>
  <c r="M27" i="51"/>
  <c r="J28" i="51"/>
  <c r="L28" i="51"/>
  <c r="M28" i="51"/>
  <c r="J29" i="51"/>
  <c r="L29" i="51"/>
  <c r="M29" i="51"/>
  <c r="B3" i="50"/>
  <c r="B6" i="50"/>
  <c r="F6" i="50"/>
  <c r="B9" i="50"/>
  <c r="D9" i="50"/>
  <c r="G9" i="50"/>
  <c r="I9" i="50"/>
  <c r="B10" i="50"/>
  <c r="D10" i="50"/>
  <c r="G10" i="50"/>
  <c r="B11" i="50"/>
  <c r="D11" i="50"/>
  <c r="G11" i="50"/>
  <c r="I11" i="50"/>
  <c r="B12" i="50"/>
  <c r="G12" i="50"/>
  <c r="B13" i="50"/>
  <c r="G13" i="50"/>
  <c r="A32" i="49"/>
  <c r="Q32" i="49"/>
  <c r="B33" i="49"/>
  <c r="Q29" i="49" s="1"/>
  <c r="C33" i="49"/>
  <c r="Q30" i="49" s="1"/>
  <c r="D33" i="49"/>
  <c r="Q31" i="49" s="1"/>
  <c r="Q33" i="49"/>
  <c r="B34" i="49"/>
  <c r="C34" i="49"/>
  <c r="D34" i="49"/>
  <c r="Q34" i="49"/>
  <c r="B35" i="49"/>
  <c r="C35" i="49"/>
  <c r="D35" i="49"/>
  <c r="E35" i="49"/>
  <c r="F35" i="49"/>
  <c r="G35" i="49"/>
  <c r="H35" i="49"/>
  <c r="I35" i="49"/>
  <c r="J35" i="49"/>
  <c r="K35" i="49"/>
  <c r="L35" i="49"/>
  <c r="M35" i="49"/>
  <c r="Q35" i="49"/>
  <c r="B38" i="49"/>
  <c r="C38" i="49"/>
  <c r="B64" i="49"/>
  <c r="E64" i="49" s="1"/>
  <c r="C64" i="49"/>
  <c r="Q66" i="49"/>
  <c r="Q67" i="49"/>
  <c r="D68" i="49"/>
  <c r="P68" i="49"/>
  <c r="D69" i="49"/>
  <c r="D70" i="49"/>
  <c r="D71" i="49"/>
  <c r="D72" i="49"/>
  <c r="F91" i="49"/>
  <c r="F92" i="49"/>
  <c r="D98" i="49"/>
  <c r="D112" i="49"/>
  <c r="D113" i="49"/>
  <c r="D114" i="49"/>
  <c r="B122" i="49"/>
  <c r="C122" i="49" s="1"/>
  <c r="D122" i="49" s="1"/>
  <c r="B123" i="49"/>
  <c r="C123" i="49"/>
  <c r="D123" i="49"/>
  <c r="B124" i="49"/>
  <c r="C124" i="49"/>
  <c r="D124" i="49"/>
  <c r="D132" i="49"/>
  <c r="F132" i="49" s="1"/>
  <c r="I132" i="49" s="1"/>
  <c r="K132" i="49" s="1"/>
  <c r="D133" i="49"/>
  <c r="E133" i="49"/>
  <c r="F133" i="49" s="1"/>
  <c r="I133" i="49" s="1"/>
  <c r="K133" i="49" s="1"/>
  <c r="D134" i="49"/>
  <c r="F134" i="49" s="1"/>
  <c r="I134" i="49" s="1"/>
  <c r="K134" i="49" s="1"/>
  <c r="D135" i="49"/>
  <c r="E135" i="49"/>
  <c r="F135" i="49"/>
  <c r="I135" i="49" s="1"/>
  <c r="K135" i="49" s="1"/>
  <c r="D136" i="49"/>
  <c r="F136" i="49"/>
  <c r="I136" i="49" s="1"/>
  <c r="K136" i="49" s="1"/>
  <c r="D137" i="49"/>
  <c r="F137" i="49"/>
  <c r="I137" i="49" s="1"/>
  <c r="K137" i="49" s="1"/>
  <c r="D138" i="49"/>
  <c r="F138" i="49"/>
  <c r="I138" i="49" s="1"/>
  <c r="K138" i="49" s="1"/>
  <c r="D139" i="49"/>
  <c r="F139" i="49"/>
  <c r="I139" i="49" s="1"/>
  <c r="K139" i="49" s="1"/>
  <c r="F140" i="49"/>
  <c r="I140" i="49"/>
  <c r="K140" i="49" s="1"/>
  <c r="F141" i="49"/>
  <c r="I141" i="49"/>
  <c r="K141" i="49"/>
  <c r="F142" i="49"/>
  <c r="I142" i="49" s="1"/>
  <c r="K142" i="49" s="1"/>
  <c r="D143" i="49"/>
  <c r="F143" i="49" s="1"/>
  <c r="I143" i="49" s="1"/>
  <c r="K143" i="49" s="1"/>
  <c r="D144" i="49"/>
  <c r="F144" i="49" s="1"/>
  <c r="I144" i="49" s="1"/>
  <c r="K144" i="49" s="1"/>
  <c r="F145" i="49"/>
  <c r="F146" i="49"/>
  <c r="F148" i="49"/>
  <c r="I148" i="49"/>
  <c r="K148" i="49"/>
  <c r="F149" i="49"/>
  <c r="I149" i="49" s="1"/>
  <c r="K149" i="49" s="1"/>
  <c r="F150" i="49"/>
  <c r="I150" i="49" s="1"/>
  <c r="K150" i="49" s="1"/>
  <c r="F151" i="49"/>
  <c r="I151" i="49"/>
  <c r="K151" i="49" s="1"/>
  <c r="F152" i="49"/>
  <c r="I152" i="49" s="1"/>
  <c r="K152" i="49" s="1"/>
  <c r="F153" i="49"/>
  <c r="I153" i="49"/>
  <c r="K153" i="49"/>
  <c r="F154" i="49"/>
  <c r="K154" i="49"/>
  <c r="F155" i="49"/>
  <c r="K155" i="49"/>
  <c r="F156" i="49"/>
  <c r="I156" i="49" s="1"/>
  <c r="K156" i="49" s="1"/>
  <c r="F157" i="49"/>
  <c r="I157" i="49"/>
  <c r="K157" i="49" s="1"/>
  <c r="F158" i="49"/>
  <c r="I158" i="49" s="1"/>
  <c r="K158" i="49" s="1"/>
  <c r="F159" i="49"/>
  <c r="I159" i="49"/>
  <c r="K159" i="49"/>
  <c r="F160" i="49"/>
  <c r="I160" i="49" s="1"/>
  <c r="K160" i="49" s="1"/>
  <c r="F161" i="49"/>
  <c r="I161" i="49"/>
  <c r="K161" i="49" s="1"/>
  <c r="F162" i="49"/>
  <c r="I162" i="49"/>
  <c r="K162" i="49"/>
  <c r="H166" i="49"/>
  <c r="A197" i="49"/>
  <c r="B197" i="49"/>
  <c r="C197" i="49"/>
  <c r="A199" i="49"/>
  <c r="B199" i="49"/>
  <c r="C199" i="49"/>
  <c r="A201" i="49"/>
  <c r="B201" i="49"/>
  <c r="C201" i="49"/>
  <c r="F203" i="49"/>
  <c r="E223" i="49"/>
  <c r="F223" i="49"/>
  <c r="G223" i="49"/>
  <c r="H223" i="49"/>
  <c r="I223" i="49"/>
  <c r="J223" i="49"/>
  <c r="K223" i="49"/>
  <c r="L223" i="49"/>
  <c r="M223" i="49"/>
  <c r="N223" i="49"/>
  <c r="O223" i="49"/>
  <c r="A224" i="49"/>
  <c r="B224" i="49"/>
  <c r="C224" i="49"/>
  <c r="E224" i="49"/>
  <c r="F224" i="49"/>
  <c r="G224" i="49"/>
  <c r="H224" i="49"/>
  <c r="I224" i="49"/>
  <c r="J224" i="49"/>
  <c r="K224" i="49"/>
  <c r="L224" i="49"/>
  <c r="M224" i="49"/>
  <c r="N224" i="49"/>
  <c r="O224" i="49"/>
  <c r="E225" i="49"/>
  <c r="F225" i="49"/>
  <c r="G225" i="49"/>
  <c r="H225" i="49"/>
  <c r="I225" i="49"/>
  <c r="J225" i="49"/>
  <c r="K225" i="49"/>
  <c r="L225" i="49"/>
  <c r="M225" i="49"/>
  <c r="N225" i="49"/>
  <c r="O225" i="49"/>
  <c r="A226" i="49"/>
  <c r="B226" i="49"/>
  <c r="C226" i="49"/>
  <c r="E226" i="49"/>
  <c r="F226" i="49"/>
  <c r="G226" i="49"/>
  <c r="H226" i="49"/>
  <c r="I226" i="49"/>
  <c r="J226" i="49"/>
  <c r="K226" i="49"/>
  <c r="L226" i="49"/>
  <c r="M226" i="49"/>
  <c r="N226" i="49"/>
  <c r="O226" i="49"/>
  <c r="E227" i="49"/>
  <c r="F227" i="49"/>
  <c r="G227" i="49"/>
  <c r="H227" i="49"/>
  <c r="I227" i="49"/>
  <c r="J227" i="49"/>
  <c r="K227" i="49"/>
  <c r="L227" i="49"/>
  <c r="M227" i="49"/>
  <c r="N227" i="49"/>
  <c r="O227" i="49"/>
  <c r="A228" i="49"/>
  <c r="B228" i="49"/>
  <c r="C228" i="49"/>
  <c r="E228" i="49"/>
  <c r="F228" i="49"/>
  <c r="G228" i="49"/>
  <c r="H228" i="49"/>
  <c r="I228" i="49"/>
  <c r="J228" i="49"/>
  <c r="K228" i="49"/>
  <c r="L228" i="49"/>
  <c r="M228" i="49"/>
  <c r="N228" i="49"/>
  <c r="O228" i="49"/>
  <c r="E229" i="49"/>
  <c r="F229" i="49"/>
  <c r="G229" i="49"/>
  <c r="H229" i="49"/>
  <c r="I229" i="49"/>
  <c r="J229" i="49"/>
  <c r="K229" i="49"/>
  <c r="L229" i="49"/>
  <c r="M229" i="49"/>
  <c r="N229" i="49"/>
  <c r="O229" i="49"/>
  <c r="B2" i="48"/>
  <c r="B8" i="48"/>
  <c r="B9" i="48"/>
  <c r="B10" i="48"/>
  <c r="B11" i="48"/>
  <c r="B19" i="48"/>
  <c r="B20" i="48"/>
  <c r="B21" i="48"/>
  <c r="B22" i="48"/>
  <c r="B23" i="48"/>
  <c r="B25" i="48"/>
  <c r="B2" i="47"/>
  <c r="B4" i="47"/>
  <c r="H4" i="47"/>
  <c r="G229" i="29"/>
  <c r="G228" i="29"/>
  <c r="G227" i="29"/>
  <c r="G226" i="29"/>
  <c r="G225" i="29"/>
  <c r="G224" i="29"/>
  <c r="B19" i="45" l="1"/>
  <c r="B50" i="37"/>
  <c r="C38" i="29" l="1"/>
  <c r="B38" i="29"/>
  <c r="A32" i="29"/>
  <c r="K47" i="35" l="1"/>
  <c r="M47" i="35" s="1"/>
  <c r="E135" i="29"/>
  <c r="E133" i="29"/>
  <c r="D124" i="29"/>
  <c r="D123" i="29"/>
  <c r="D34" i="29" l="1"/>
  <c r="D33" i="29"/>
  <c r="D98" i="29"/>
  <c r="C124" i="29"/>
  <c r="C123" i="29"/>
  <c r="B122" i="29"/>
  <c r="C122" i="29" s="1"/>
  <c r="D122" i="29" s="1"/>
  <c r="C34" i="29" l="1"/>
  <c r="C33" i="29"/>
  <c r="F225" i="29"/>
  <c r="D139" i="29" l="1"/>
  <c r="K154" i="29"/>
  <c r="B124" i="29"/>
  <c r="B123" i="29"/>
  <c r="J59" i="35"/>
  <c r="K49" i="35"/>
  <c r="K48" i="35"/>
  <c r="M48" i="35" s="1"/>
  <c r="A197" i="29"/>
  <c r="G53" i="37"/>
  <c r="D143" i="29"/>
  <c r="F143" i="29" s="1"/>
  <c r="D144" i="29"/>
  <c r="F142" i="29"/>
  <c r="I142" i="29" s="1"/>
  <c r="A228" i="29"/>
  <c r="A226" i="29"/>
  <c r="A224" i="29"/>
  <c r="G52" i="37"/>
  <c r="G51" i="37"/>
  <c r="G50" i="37"/>
  <c r="G49" i="37"/>
  <c r="M66" i="35"/>
  <c r="M49" i="35"/>
  <c r="F162" i="29"/>
  <c r="I162" i="29" s="1"/>
  <c r="F161" i="29"/>
  <c r="I161" i="29" s="1"/>
  <c r="F160" i="29"/>
  <c r="I160" i="29" s="1"/>
  <c r="F159" i="29"/>
  <c r="I159" i="29" s="1"/>
  <c r="F158" i="29"/>
  <c r="I158" i="29" s="1"/>
  <c r="F157" i="29"/>
  <c r="I157" i="29" s="1"/>
  <c r="F156" i="29"/>
  <c r="I156" i="29" s="1"/>
  <c r="F155" i="29"/>
  <c r="F154" i="29"/>
  <c r="F153" i="29"/>
  <c r="I153" i="29" s="1"/>
  <c r="F152" i="29"/>
  <c r="I152" i="29" s="1"/>
  <c r="F151" i="29"/>
  <c r="I151" i="29" s="1"/>
  <c r="F150" i="29"/>
  <c r="I150" i="29" s="1"/>
  <c r="F149" i="29"/>
  <c r="I149" i="29" s="1"/>
  <c r="F148" i="29"/>
  <c r="I148" i="29" s="1"/>
  <c r="F146" i="29"/>
  <c r="F145" i="29"/>
  <c r="M46" i="35"/>
  <c r="K43" i="35" l="1"/>
  <c r="K50" i="35"/>
  <c r="M50" i="35" s="1"/>
  <c r="K148" i="29"/>
  <c r="K51" i="35"/>
  <c r="M51" i="35" s="1"/>
  <c r="K149" i="29"/>
  <c r="K52" i="35"/>
  <c r="M52" i="35" s="1"/>
  <c r="K150" i="29"/>
  <c r="K53" i="35"/>
  <c r="M53" i="35" s="1"/>
  <c r="K151" i="29"/>
  <c r="K54" i="35"/>
  <c r="M54" i="35" s="1"/>
  <c r="K152" i="29"/>
  <c r="K55" i="35"/>
  <c r="M55" i="35" s="1"/>
  <c r="K153" i="29"/>
  <c r="K56" i="35"/>
  <c r="M56" i="35" s="1"/>
  <c r="K57" i="35"/>
  <c r="M57" i="35" s="1"/>
  <c r="K155" i="29"/>
  <c r="K58" i="35"/>
  <c r="M58" i="35" s="1"/>
  <c r="K156" i="29"/>
  <c r="K59" i="35"/>
  <c r="M59" i="35" s="1"/>
  <c r="K157" i="29"/>
  <c r="K60" i="35"/>
  <c r="M60" i="35" s="1"/>
  <c r="K158" i="29"/>
  <c r="K61" i="35"/>
  <c r="M61" i="35" s="1"/>
  <c r="K159" i="29"/>
  <c r="K62" i="35"/>
  <c r="M62" i="35" s="1"/>
  <c r="K160" i="29"/>
  <c r="K63" i="35"/>
  <c r="M63" i="35" s="1"/>
  <c r="K161" i="29"/>
  <c r="K64" i="35"/>
  <c r="M64" i="35" s="1"/>
  <c r="K162" i="29"/>
  <c r="K65" i="35"/>
  <c r="M65" i="35" s="1"/>
  <c r="K142" i="29"/>
  <c r="I143" i="29"/>
  <c r="K44" i="35" l="1"/>
  <c r="M44" i="35" s="1"/>
  <c r="K143" i="29"/>
  <c r="F144" i="29"/>
  <c r="F141" i="29"/>
  <c r="F140" i="29"/>
  <c r="I140" i="29" s="1"/>
  <c r="F139" i="29"/>
  <c r="D138" i="29"/>
  <c r="F138" i="29" s="1"/>
  <c r="D137" i="29"/>
  <c r="F137" i="29" s="1"/>
  <c r="D136" i="29"/>
  <c r="F136" i="29" s="1"/>
  <c r="I136" i="29" s="1"/>
  <c r="D135" i="29"/>
  <c r="D134" i="29"/>
  <c r="F134" i="29" s="1"/>
  <c r="D133" i="29"/>
  <c r="F133" i="29" s="1"/>
  <c r="D132" i="29"/>
  <c r="K36" i="35" l="1"/>
  <c r="M36" i="35" s="1"/>
  <c r="K40" i="35"/>
  <c r="F132" i="29"/>
  <c r="I132" i="29" s="1"/>
  <c r="F135" i="29"/>
  <c r="K32" i="35"/>
  <c r="M32" i="35" s="1"/>
  <c r="K132" i="29"/>
  <c r="I135" i="29" l="1"/>
  <c r="K35" i="35" l="1"/>
  <c r="M35" i="35" s="1"/>
  <c r="I144" i="29"/>
  <c r="I141" i="29"/>
  <c r="I139" i="29"/>
  <c r="I138" i="29"/>
  <c r="I137" i="29"/>
  <c r="K136" i="29"/>
  <c r="K135" i="29"/>
  <c r="I133" i="29"/>
  <c r="K42" i="35" l="1"/>
  <c r="M42" i="35" s="1"/>
  <c r="K41" i="35"/>
  <c r="K133" i="29"/>
  <c r="K33" i="35"/>
  <c r="M33" i="35" s="1"/>
  <c r="K137" i="29"/>
  <c r="K37" i="35"/>
  <c r="M37" i="35" s="1"/>
  <c r="K138" i="29"/>
  <c r="K38" i="35"/>
  <c r="M38" i="35" s="1"/>
  <c r="K139" i="29"/>
  <c r="K39" i="35"/>
  <c r="M39" i="35" s="1"/>
  <c r="M40" i="35"/>
  <c r="K140" i="29"/>
  <c r="M41" i="35"/>
  <c r="K141" i="29"/>
  <c r="M43" i="35"/>
  <c r="K144" i="29"/>
  <c r="I134" i="29"/>
  <c r="K134" i="29" l="1"/>
  <c r="K34" i="35"/>
  <c r="M34" i="35" s="1"/>
  <c r="M45" i="35" l="1"/>
  <c r="B28" i="35"/>
  <c r="B51" i="37"/>
  <c r="B52" i="37"/>
  <c r="D113" i="29"/>
  <c r="D114" i="29"/>
  <c r="D112" i="29"/>
  <c r="X33" i="37"/>
  <c r="W33" i="37"/>
  <c r="V33" i="37"/>
  <c r="U33" i="37"/>
  <c r="T33" i="37"/>
  <c r="X32" i="37"/>
  <c r="W32" i="37"/>
  <c r="V32" i="37"/>
  <c r="U32" i="37"/>
  <c r="T32" i="37"/>
  <c r="X29" i="37"/>
  <c r="W29" i="37"/>
  <c r="V29" i="37"/>
  <c r="U29" i="37"/>
  <c r="T29" i="37"/>
  <c r="X28" i="37"/>
  <c r="W28" i="37"/>
  <c r="V28" i="37"/>
  <c r="U28" i="37"/>
  <c r="T28" i="37"/>
  <c r="AA26" i="37"/>
  <c r="X26" i="37"/>
  <c r="W26" i="37"/>
  <c r="V26" i="37"/>
  <c r="U26" i="37"/>
  <c r="T26" i="37"/>
  <c r="AA25" i="37"/>
  <c r="X25" i="37"/>
  <c r="W25" i="37"/>
  <c r="V25" i="37"/>
  <c r="U25" i="37"/>
  <c r="T25" i="37"/>
  <c r="AF23" i="37"/>
  <c r="AE23" i="37"/>
  <c r="AD23" i="37"/>
  <c r="AC23" i="37"/>
  <c r="AB23" i="37"/>
  <c r="X23" i="37"/>
  <c r="W23" i="37"/>
  <c r="V23" i="37"/>
  <c r="U23" i="37"/>
  <c r="T23" i="37"/>
  <c r="C201" i="29"/>
  <c r="B201" i="29"/>
  <c r="A201" i="29"/>
  <c r="C199" i="29"/>
  <c r="B199" i="29"/>
  <c r="A199" i="29"/>
  <c r="C197" i="29"/>
  <c r="B197" i="29"/>
  <c r="F203" i="29"/>
  <c r="E223" i="29"/>
  <c r="F223" i="29"/>
  <c r="G223" i="29"/>
  <c r="H223" i="29"/>
  <c r="I223" i="29"/>
  <c r="J223" i="29"/>
  <c r="K223" i="29"/>
  <c r="L223" i="29"/>
  <c r="M223" i="29"/>
  <c r="N223" i="29"/>
  <c r="O223" i="29"/>
  <c r="B224" i="29"/>
  <c r="C224" i="29"/>
  <c r="E224" i="29"/>
  <c r="F224" i="29"/>
  <c r="H224" i="29"/>
  <c r="I224" i="29"/>
  <c r="J224" i="29"/>
  <c r="K224" i="29"/>
  <c r="L224" i="29"/>
  <c r="M224" i="29"/>
  <c r="N224" i="29"/>
  <c r="O224" i="29"/>
  <c r="E225" i="29"/>
  <c r="H225" i="29"/>
  <c r="I225" i="29"/>
  <c r="J225" i="29"/>
  <c r="K225" i="29"/>
  <c r="L225" i="29"/>
  <c r="M225" i="29"/>
  <c r="N225" i="29"/>
  <c r="O225" i="29"/>
  <c r="B226" i="29"/>
  <c r="C226" i="29"/>
  <c r="E226" i="29"/>
  <c r="F226" i="29"/>
  <c r="H226" i="29"/>
  <c r="I226" i="29"/>
  <c r="J226" i="29"/>
  <c r="K226" i="29"/>
  <c r="L226" i="29"/>
  <c r="M226" i="29"/>
  <c r="N226" i="29"/>
  <c r="O226" i="29"/>
  <c r="E227" i="29"/>
  <c r="F227" i="29"/>
  <c r="H227" i="29"/>
  <c r="I227" i="29"/>
  <c r="J227" i="29"/>
  <c r="K227" i="29"/>
  <c r="L227" i="29"/>
  <c r="M227" i="29"/>
  <c r="N227" i="29"/>
  <c r="O227" i="29"/>
  <c r="B228" i="29"/>
  <c r="C228" i="29"/>
  <c r="E228" i="29"/>
  <c r="F228" i="29"/>
  <c r="H228" i="29"/>
  <c r="I228" i="29"/>
  <c r="J228" i="29"/>
  <c r="K228" i="29"/>
  <c r="L228" i="29"/>
  <c r="M228" i="29"/>
  <c r="N228" i="29"/>
  <c r="O228" i="29"/>
  <c r="E229" i="29"/>
  <c r="F229" i="29"/>
  <c r="H229" i="29"/>
  <c r="I229" i="29"/>
  <c r="J229" i="29"/>
  <c r="K229" i="29"/>
  <c r="L229" i="29"/>
  <c r="M229" i="29"/>
  <c r="N229" i="29"/>
  <c r="O229" i="29"/>
  <c r="F91" i="29"/>
  <c r="F92" i="29"/>
  <c r="B33" i="29"/>
  <c r="B34" i="29"/>
  <c r="B64" i="29"/>
  <c r="E64" i="29" s="1"/>
  <c r="C64" i="29"/>
  <c r="D72" i="29"/>
  <c r="D71" i="29"/>
  <c r="D70" i="29"/>
  <c r="D69" i="29"/>
  <c r="H166" i="29"/>
  <c r="B13" i="27"/>
  <c r="D10" i="27"/>
  <c r="B10" i="27"/>
  <c r="B8" i="45"/>
  <c r="B23" i="45"/>
  <c r="K3" i="30"/>
  <c r="M3" i="30"/>
  <c r="C3" i="37"/>
  <c r="B3" i="37"/>
  <c r="B3" i="30"/>
  <c r="B6" i="27"/>
  <c r="C4" i="30"/>
  <c r="C4" i="35"/>
  <c r="C4" i="37"/>
  <c r="B9" i="45"/>
  <c r="K3" i="35"/>
  <c r="M3" i="35"/>
  <c r="I11" i="27"/>
  <c r="B12" i="27"/>
  <c r="C3" i="35"/>
  <c r="B3" i="35"/>
  <c r="B4" i="35"/>
  <c r="E4" i="35"/>
  <c r="K4" i="35"/>
  <c r="M4" i="35"/>
  <c r="D5" i="35"/>
  <c r="L5" i="35"/>
  <c r="M5" i="35"/>
  <c r="O3" i="37"/>
  <c r="Q3" i="37"/>
  <c r="B4" i="37"/>
  <c r="E4" i="37"/>
  <c r="P4" i="37"/>
  <c r="D5" i="37"/>
  <c r="P5" i="37"/>
  <c r="T50" i="37"/>
  <c r="U50" i="37"/>
  <c r="T51" i="37"/>
  <c r="U51" i="37"/>
  <c r="B4" i="30"/>
  <c r="E4" i="30"/>
  <c r="K4" i="30"/>
  <c r="M4" i="30"/>
  <c r="D5" i="30"/>
  <c r="L5" i="30"/>
  <c r="M5" i="30"/>
  <c r="J27" i="30"/>
  <c r="L27" i="30"/>
  <c r="M27" i="30"/>
  <c r="J28" i="30"/>
  <c r="L28" i="30"/>
  <c r="M28" i="30"/>
  <c r="J29" i="30"/>
  <c r="L29" i="30"/>
  <c r="M29" i="30"/>
  <c r="F6" i="27"/>
  <c r="D9" i="27"/>
  <c r="G9" i="27"/>
  <c r="I9" i="27"/>
  <c r="G10" i="27"/>
  <c r="B11" i="27"/>
  <c r="D11" i="27"/>
  <c r="G11" i="27"/>
  <c r="G12" i="27"/>
  <c r="G13" i="27"/>
  <c r="H35" i="29"/>
  <c r="Q67" i="29"/>
  <c r="K35" i="29"/>
  <c r="M35" i="29"/>
  <c r="B10" i="45"/>
  <c r="B11" i="45"/>
  <c r="B20" i="45"/>
  <c r="B21" i="45"/>
  <c r="B22" i="45"/>
  <c r="B25" i="45"/>
  <c r="H4" i="1"/>
  <c r="I35" i="29"/>
  <c r="G35" i="29"/>
  <c r="Q35" i="29"/>
  <c r="J35" i="29"/>
  <c r="Q34" i="29"/>
  <c r="Q66" i="29"/>
  <c r="L35" i="29"/>
  <c r="P68" i="29"/>
  <c r="AF25" i="37"/>
  <c r="AC25" i="37"/>
  <c r="AB25" i="37"/>
  <c r="AE25" i="37"/>
  <c r="AD25" i="37"/>
  <c r="AE26" i="37"/>
  <c r="AD26" i="37"/>
  <c r="AF26" i="37"/>
  <c r="AC26" i="37"/>
  <c r="AB26" i="37"/>
  <c r="B35" i="29" l="1"/>
  <c r="Q29" i="29"/>
  <c r="C35" i="29"/>
  <c r="B8" i="30"/>
  <c r="B18" i="35"/>
  <c r="J8" i="30"/>
  <c r="I28" i="35"/>
  <c r="B7" i="35"/>
  <c r="J22" i="30"/>
  <c r="I18" i="35"/>
  <c r="B22" i="30"/>
  <c r="I7" i="35"/>
  <c r="Q30" i="29" l="1"/>
  <c r="F35" i="29" l="1"/>
  <c r="Q33" i="29"/>
  <c r="Q32" i="29"/>
  <c r="E35" i="29"/>
  <c r="D35" i="29"/>
  <c r="Q31" i="29"/>
  <c r="B2" i="45"/>
  <c r="B2" i="35"/>
  <c r="B2" i="37"/>
  <c r="B9" i="27"/>
  <c r="B3" i="27"/>
  <c r="B3" i="32" s="1"/>
  <c r="B2" i="30"/>
  <c r="B2" i="1"/>
  <c r="B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mgleixner</author>
  </authors>
  <commentList>
    <comment ref="A118" authorId="0" shapeId="0" xr:uid="{00000000-0006-0000-0200-000008000000}">
      <text>
        <r>
          <rPr>
            <sz val="8"/>
            <color indexed="81"/>
            <rFont val="Tahoma"/>
            <family val="2"/>
          </rPr>
          <t>To define your periods (eg. P1, P2, P3 etc or P9, P10, P11 etc) you need to unprotect the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mgleixner</author>
  </authors>
  <commentList>
    <comment ref="A118" authorId="0" shapeId="0" xr:uid="{00000000-0006-0000-0200-000008000000}">
      <text>
        <r>
          <rPr>
            <sz val="8"/>
            <color indexed="81"/>
            <rFont val="Tahoma"/>
            <family val="2"/>
          </rPr>
          <t>To define your periods (eg. P1, P2, P3 etc or P9, P10, P11 etc) you need to unprotect the cells.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3B3986D-3BDE-4EF7-B6FB-229268ADC871}" keepAlive="1" name="Query - HIV__AID" description="Connection to the 'HIV__AID' query in the workbook." type="5" refreshedVersion="0" background="1">
    <dbPr connection="Provider=Microsoft.Mashup.OleDb.1;Data Source=$Workbook$;Location=HIV__AID;Extended Properties=&quot;&quot;" command="SELECT * FROM [HIV__AID]"/>
  </connection>
</connections>
</file>

<file path=xl/sharedStrings.xml><?xml version="1.0" encoding="utf-8"?>
<sst xmlns="http://schemas.openxmlformats.org/spreadsheetml/2006/main" count="1637" uniqueCount="1038">
  <si>
    <t>V1.0</t>
  </si>
  <si>
    <t>Кыргызстан</t>
  </si>
  <si>
    <t>KGZ-C-UNDP</t>
  </si>
  <si>
    <t>ВИЧ/СПИД/ТБ</t>
  </si>
  <si>
    <t xml:space="preserve">34061297
</t>
  </si>
  <si>
    <t>UNOPS</t>
  </si>
  <si>
    <t>B1</t>
  </si>
  <si>
    <t>P3</t>
  </si>
  <si>
    <t>$</t>
  </si>
  <si>
    <t>P1</t>
  </si>
  <si>
    <t>P2</t>
  </si>
  <si>
    <t>P4</t>
  </si>
  <si>
    <t>P5</t>
  </si>
  <si>
    <t>P6</t>
  </si>
  <si>
    <t>P7</t>
  </si>
  <si>
    <t>P8</t>
  </si>
  <si>
    <t>P9</t>
  </si>
  <si>
    <t>P10</t>
  </si>
  <si>
    <t>P11</t>
  </si>
  <si>
    <t>P12</t>
  </si>
  <si>
    <t>ТБ</t>
  </si>
  <si>
    <t>FDC (AZT+3TC) 300/150 mg</t>
  </si>
  <si>
    <t>EFV 200</t>
  </si>
  <si>
    <t>LPV/r 200/50 mg</t>
  </si>
  <si>
    <t>FDC (TDF/FTC) 300/200 mg</t>
  </si>
  <si>
    <t>FDC  (TDF/FTC/EFV) 300/200/600 mg</t>
  </si>
  <si>
    <t>FDC (ABC/3TC) 600/300 mg</t>
  </si>
  <si>
    <t>FDC (ABC/3TC) 120/60 mg</t>
  </si>
  <si>
    <t>FDC (ABC/DTG/3TC) 600/50/300 mg</t>
  </si>
  <si>
    <t>DTG 50 mg</t>
  </si>
  <si>
    <t>FDC (TDF/FTC/DTG) 300/200/50 mg</t>
  </si>
  <si>
    <t>ATV/r 300mg</t>
  </si>
  <si>
    <t>Ral 100mg (жеват табл)</t>
  </si>
  <si>
    <t>DTG 10 mg</t>
  </si>
  <si>
    <t>Amoxicillin + Potassium clavulanate  875mg+125mg  Таблетки в оболочке</t>
  </si>
  <si>
    <t>P-aminosalicylate sodium salt  4000mg  Powder/Sachet</t>
  </si>
  <si>
    <t>Код</t>
  </si>
  <si>
    <t>Связаны напрямую?</t>
  </si>
  <si>
    <t>74,44%</t>
  </si>
  <si>
    <t>55,04%</t>
  </si>
  <si>
    <t>56,28%</t>
  </si>
  <si>
    <t>60,00%</t>
  </si>
  <si>
    <t>45,40%</t>
  </si>
  <si>
    <t>53,25%</t>
  </si>
  <si>
    <t>22,00%</t>
  </si>
  <si>
    <t>94,00%</t>
  </si>
  <si>
    <t>95,21%</t>
  </si>
  <si>
    <t>Р1</t>
  </si>
  <si>
    <t>Р2</t>
  </si>
  <si>
    <t>WPTM</t>
  </si>
  <si>
    <t xml:space="preserve">  </t>
  </si>
  <si>
    <t>дo:</t>
  </si>
  <si>
    <t>Последняя оценка</t>
  </si>
  <si>
    <t>Совокупный бюджет</t>
  </si>
  <si>
    <t>Совокупные расходы</t>
  </si>
  <si>
    <t>Raiting</t>
  </si>
  <si>
    <t>Valor</t>
  </si>
  <si>
    <t>Программные показатели по ВИЧ/СПИД</t>
  </si>
  <si>
    <t>0% - 59%</t>
  </si>
  <si>
    <t>60% - 89%</t>
  </si>
  <si>
    <t>&gt; 90%</t>
  </si>
  <si>
    <t>min</t>
  </si>
  <si>
    <t>max</t>
  </si>
  <si>
    <t>90,00%</t>
  </si>
  <si>
    <t>Rating</t>
  </si>
  <si>
    <t>ВИЧ</t>
  </si>
  <si>
    <t>FDC (ABC/DTG/3TC (600/50/300)</t>
  </si>
  <si>
    <t>ATV 300mg</t>
  </si>
  <si>
    <t>Set-up = List of validation for Grant Detail page</t>
  </si>
  <si>
    <t>Component</t>
  </si>
  <si>
    <t>Currency</t>
  </si>
  <si>
    <t>Round</t>
  </si>
  <si>
    <t>Phase</t>
  </si>
  <si>
    <t>Period</t>
  </si>
  <si>
    <t>LFA</t>
  </si>
  <si>
    <t>Medicaments</t>
  </si>
  <si>
    <t>Countries</t>
  </si>
  <si>
    <t>Пожалуйста выберите</t>
  </si>
  <si>
    <t>ВИЧ / СПИД</t>
  </si>
  <si>
    <t>Раунд 1</t>
  </si>
  <si>
    <t>Фаза 1</t>
  </si>
  <si>
    <t>A1</t>
  </si>
  <si>
    <t>CA (Crown Agents)</t>
  </si>
  <si>
    <t>Изониазид</t>
  </si>
  <si>
    <t>Афганистан</t>
  </si>
  <si>
    <t>МАЛЯРИЯ</t>
  </si>
  <si>
    <t>€</t>
  </si>
  <si>
    <t>Раунд 2</t>
  </si>
  <si>
    <t>Фаза 2</t>
  </si>
  <si>
    <t>A2</t>
  </si>
  <si>
    <t>DEL (Deloitte)</t>
  </si>
  <si>
    <t>Этамбутол</t>
  </si>
  <si>
    <t>Албания</t>
  </si>
  <si>
    <t>Раунд 3</t>
  </si>
  <si>
    <t>RCC</t>
  </si>
  <si>
    <t>DTT (DTT Emerging Markets)</t>
  </si>
  <si>
    <t>Рифампицин</t>
  </si>
  <si>
    <t>Алжир</t>
  </si>
  <si>
    <t>Раунд 4</t>
  </si>
  <si>
    <t>B2</t>
  </si>
  <si>
    <t>FIN (Finconsult)</t>
  </si>
  <si>
    <t>Пиразинамид</t>
  </si>
  <si>
    <t>Ангола</t>
  </si>
  <si>
    <t>УСЗ</t>
  </si>
  <si>
    <t>Раунд 5</t>
  </si>
  <si>
    <t>C</t>
  </si>
  <si>
    <t>GT (Grant Thornton)</t>
  </si>
  <si>
    <t>RDT</t>
  </si>
  <si>
    <t>Аргентина</t>
  </si>
  <si>
    <t>Раунд 6</t>
  </si>
  <si>
    <t>H-C (Hodar-Conseil)</t>
  </si>
  <si>
    <t>NVP</t>
  </si>
  <si>
    <t>Армения</t>
  </si>
  <si>
    <t>Раунд 7</t>
  </si>
  <si>
    <t>KPMG (KPMG)</t>
  </si>
  <si>
    <t>3TC</t>
  </si>
  <si>
    <t>Азербайджан</t>
  </si>
  <si>
    <t>Раунд 8</t>
  </si>
  <si>
    <t>MSCI (MSCI)</t>
  </si>
  <si>
    <t>D4T</t>
  </si>
  <si>
    <t>Бангладеш</t>
  </si>
  <si>
    <t>Раунд 9</t>
  </si>
  <si>
    <t>PwC (PricewaterhouseCoopers)</t>
  </si>
  <si>
    <t>AZT</t>
  </si>
  <si>
    <t>Беларусь</t>
  </si>
  <si>
    <t>Раунд 10</t>
  </si>
  <si>
    <t xml:space="preserve">STI (Swiss Tropical Institute), </t>
  </si>
  <si>
    <t>DDI</t>
  </si>
  <si>
    <t>Белиз</t>
  </si>
  <si>
    <t>EFV</t>
  </si>
  <si>
    <t>Бенин</t>
  </si>
  <si>
    <t>AS/LF</t>
  </si>
  <si>
    <t>Бутан</t>
  </si>
  <si>
    <t>AS/AQ</t>
  </si>
  <si>
    <t>Боливия</t>
  </si>
  <si>
    <t>AS/MQ</t>
  </si>
  <si>
    <t>Босния и Герцеговина</t>
  </si>
  <si>
    <t>Al/Lum</t>
  </si>
  <si>
    <t>Ботсвана</t>
  </si>
  <si>
    <t>Бразилия</t>
  </si>
  <si>
    <t>Пищевые добавки для ТБ</t>
  </si>
  <si>
    <t>Болгария</t>
  </si>
  <si>
    <t>E-PAP</t>
  </si>
  <si>
    <t>Буркина Фасо</t>
  </si>
  <si>
    <t>ZDV/3TC/NVP</t>
  </si>
  <si>
    <t>Бурунди</t>
  </si>
  <si>
    <t>ZDV/3TC</t>
  </si>
  <si>
    <t>Камбоджа</t>
  </si>
  <si>
    <t>Камерун</t>
  </si>
  <si>
    <t>Кабо-Верде</t>
  </si>
  <si>
    <t>Центрально-Африканская Республика</t>
  </si>
  <si>
    <t>Чад</t>
  </si>
  <si>
    <t>Чили</t>
  </si>
  <si>
    <t>Китай</t>
  </si>
  <si>
    <t>Колумбия</t>
  </si>
  <si>
    <t>Коморы</t>
  </si>
  <si>
    <t>Конго (Демократическая Республика)</t>
  </si>
  <si>
    <t>Конго (Республика)</t>
  </si>
  <si>
    <t>Коста Рика</t>
  </si>
  <si>
    <t>Кот-д'Ивуар</t>
  </si>
  <si>
    <t>Хорватия</t>
  </si>
  <si>
    <t>Куба</t>
  </si>
  <si>
    <t>Джибути</t>
  </si>
  <si>
    <t>Доминиканская Республика</t>
  </si>
  <si>
    <t>Эквадор</t>
  </si>
  <si>
    <t>Египет</t>
  </si>
  <si>
    <t>Сальвадор</t>
  </si>
  <si>
    <t>Экваториальная Гвинея</t>
  </si>
  <si>
    <t>Эритрея</t>
  </si>
  <si>
    <t>Эстония</t>
  </si>
  <si>
    <t>Эфиопия</t>
  </si>
  <si>
    <t>Фиджи</t>
  </si>
  <si>
    <t>Габон</t>
  </si>
  <si>
    <t>Гамбия</t>
  </si>
  <si>
    <t>Грузия</t>
  </si>
  <si>
    <t>Гана</t>
  </si>
  <si>
    <t>Глобальный (LWF)</t>
  </si>
  <si>
    <t>Гватемала</t>
  </si>
  <si>
    <t>Гвинея</t>
  </si>
  <si>
    <t>Гвинея-Бисау</t>
  </si>
  <si>
    <t>Гайана</t>
  </si>
  <si>
    <t>Гаити</t>
  </si>
  <si>
    <t>Гондурас</t>
  </si>
  <si>
    <t>Индия</t>
  </si>
  <si>
    <t>Индонезия</t>
  </si>
  <si>
    <t>Иран (Исламская Республика)</t>
  </si>
  <si>
    <t>Ирак</t>
  </si>
  <si>
    <t>Ямайка</t>
  </si>
  <si>
    <t>Иордания</t>
  </si>
  <si>
    <t>Казахстан</t>
  </si>
  <si>
    <t>Кения</t>
  </si>
  <si>
    <t>Корея (Народно-Демократическая Республика)</t>
  </si>
  <si>
    <t>Косово (Сербия)</t>
  </si>
  <si>
    <t>Лаос</t>
  </si>
  <si>
    <t>Лесото</t>
  </si>
  <si>
    <t>Либерия</t>
  </si>
  <si>
    <t>Македония, БЮР</t>
  </si>
  <si>
    <t>Мадагаскар</t>
  </si>
  <si>
    <t>Малави</t>
  </si>
  <si>
    <t>Мальдивы</t>
  </si>
  <si>
    <t>Мали</t>
  </si>
  <si>
    <t>Мавритания</t>
  </si>
  <si>
    <t>Маврикий</t>
  </si>
  <si>
    <t>Молдова</t>
  </si>
  <si>
    <t>Монголия</t>
  </si>
  <si>
    <t>Черногория</t>
  </si>
  <si>
    <t>Марокко</t>
  </si>
  <si>
    <t>Мозамбик</t>
  </si>
  <si>
    <t>Несколько стран Африки (Программа Западно-Африканский Корридор)</t>
  </si>
  <si>
    <t>Несколько стран Африки (RMCC)</t>
  </si>
  <si>
    <t>Несколько стран Америки (Анды)</t>
  </si>
  <si>
    <t>Несколько стран Америки (CARICOM)</t>
  </si>
  <si>
    <t>Несколько стран Америки (CRN+)</t>
  </si>
  <si>
    <t>Несколько стран Америки (Meso)</t>
  </si>
  <si>
    <t>Несколько стран Америки (OECS)</t>
  </si>
  <si>
    <t>Несколько стран Америки (REDCA+)</t>
  </si>
  <si>
    <t>Несколько стран Западно-Тихоокеанского региона</t>
  </si>
  <si>
    <t>Мьянма</t>
  </si>
  <si>
    <t>Намибия</t>
  </si>
  <si>
    <t>Непал</t>
  </si>
  <si>
    <t>Никарагуа</t>
  </si>
  <si>
    <t>Нигер</t>
  </si>
  <si>
    <t>Нигерия</t>
  </si>
  <si>
    <t>Пакистан</t>
  </si>
  <si>
    <t>Панама</t>
  </si>
  <si>
    <t>Папуа Новая Гвинея</t>
  </si>
  <si>
    <t>Парагвай</t>
  </si>
  <si>
    <t>Перу</t>
  </si>
  <si>
    <t>Филиппины</t>
  </si>
  <si>
    <t>Румыния</t>
  </si>
  <si>
    <t>Российская Федерация</t>
  </si>
  <si>
    <t>Руанда</t>
  </si>
  <si>
    <t>Сан-Томе и Принсипи</t>
  </si>
  <si>
    <t>Сенегал</t>
  </si>
  <si>
    <t>Сербия</t>
  </si>
  <si>
    <t>Сьерра-Леоне</t>
  </si>
  <si>
    <t>Соломоновы Острова</t>
  </si>
  <si>
    <t>Сомали</t>
  </si>
  <si>
    <t>Южная Африка</t>
  </si>
  <si>
    <t>Шри-Ланка</t>
  </si>
  <si>
    <t>Судан</t>
  </si>
  <si>
    <t>Суринам</t>
  </si>
  <si>
    <t>Свазиленд</t>
  </si>
  <si>
    <t>Сирийская Арабская Республика</t>
  </si>
  <si>
    <t>Таджикистан</t>
  </si>
  <si>
    <t>Танзания</t>
  </si>
  <si>
    <t>Таиланд</t>
  </si>
  <si>
    <t>Восточный Тимор</t>
  </si>
  <si>
    <t>Того</t>
  </si>
  <si>
    <t>Тунис</t>
  </si>
  <si>
    <t>Турция</t>
  </si>
  <si>
    <t>Уганда</t>
  </si>
  <si>
    <t>Украина</t>
  </si>
  <si>
    <t>Тематическая Группа ООН по ВИЧ (Западный Берег и Газа)</t>
  </si>
  <si>
    <t>Узбекистан</t>
  </si>
  <si>
    <t>Вьетнам</t>
  </si>
  <si>
    <t>Йемен</t>
  </si>
  <si>
    <t>Замбия</t>
  </si>
  <si>
    <t>Занзибар (Танзания)</t>
  </si>
  <si>
    <t>Зимбабве</t>
  </si>
  <si>
    <t>АРВ</t>
  </si>
  <si>
    <t>Анти-ретровирусные препараты</t>
  </si>
  <si>
    <t>Вирус Иммунодефицита Человека</t>
  </si>
  <si>
    <t>ГФ</t>
  </si>
  <si>
    <t>Глобальный Фонд для Борьбы со СПИДом, Туберкулезом и Малярией</t>
  </si>
  <si>
    <t>ДУС</t>
  </si>
  <si>
    <t>Действие с установленным сроком</t>
  </si>
  <si>
    <t>М и О</t>
  </si>
  <si>
    <t>Мониторинг и Оценка</t>
  </si>
  <si>
    <t>МАФ</t>
  </si>
  <si>
    <t>Местный Агент Фонда</t>
  </si>
  <si>
    <t>МВ</t>
  </si>
  <si>
    <t>Меморандум о взаимопонимании</t>
  </si>
  <si>
    <t>ПДПР/ПТ</t>
  </si>
  <si>
    <t>Последние Данные о Проделанной Работе/Платежное Требование</t>
  </si>
  <si>
    <t>ПР</t>
  </si>
  <si>
    <t>Принципиальный Реципиент</t>
  </si>
  <si>
    <t>ПУ</t>
  </si>
  <si>
    <t>Предварительное условие</t>
  </si>
  <si>
    <t>СКМ</t>
  </si>
  <si>
    <t>Страновой Координационный Механизм</t>
  </si>
  <si>
    <t>СР</t>
  </si>
  <si>
    <t>Суб-реципиент</t>
  </si>
  <si>
    <t>ССР</t>
  </si>
  <si>
    <t>Суб-суб-реципиент</t>
  </si>
  <si>
    <t>УЗС</t>
  </si>
  <si>
    <t>Управление Закупками и Снабжением</t>
  </si>
  <si>
    <t>УФО</t>
  </si>
  <si>
    <t>Улучшенный Финансовый Отчет</t>
  </si>
  <si>
    <t>Kyrgyzstan</t>
  </si>
  <si>
    <t>UNDP</t>
  </si>
  <si>
    <t>Country</t>
  </si>
  <si>
    <t>Grant #</t>
  </si>
  <si>
    <t>Principal Recepient</t>
  </si>
  <si>
    <t>Start date (dd/mmm/yy):</t>
  </si>
  <si>
    <t>Last evaluation:</t>
  </si>
  <si>
    <t>Grant Name</t>
  </si>
  <si>
    <t xml:space="preserve">Local Foundation Agent: </t>
  </si>
  <si>
    <t xml:space="preserve">Fund Portfolio Manager: </t>
  </si>
  <si>
    <t>Corina Maxim</t>
  </si>
  <si>
    <t>“Effective control of HIV infection and tuberculosis in the Kyrgyz Republic”</t>
  </si>
  <si>
    <t>Phase:</t>
  </si>
  <si>
    <t>Grant Information</t>
  </si>
  <si>
    <t>Period for providing report information</t>
  </si>
  <si>
    <t xml:space="preserve">Reporting period: </t>
  </si>
  <si>
    <t>from:</t>
  </si>
  <si>
    <t>to:</t>
  </si>
  <si>
    <t>Date of information entry</t>
  </si>
  <si>
    <t>Information on Indicators</t>
  </si>
  <si>
    <t>Enter data in cells of the appropriate color</t>
  </si>
  <si>
    <t xml:space="preserve">Funding information: </t>
  </si>
  <si>
    <t>Management information</t>
  </si>
  <si>
    <t xml:space="preserve">Programme information: </t>
  </si>
  <si>
    <t xml:space="preserve">   Enter financial information in each orange cell</t>
  </si>
  <si>
    <t>F1: Budget and Global Fund disbursements</t>
  </si>
  <si>
    <t>Grant funding currency</t>
  </si>
  <si>
    <t>Payments</t>
  </si>
  <si>
    <t>Reporting period</t>
  </si>
  <si>
    <t>Budget (in $)</t>
  </si>
  <si>
    <t>Total budget</t>
  </si>
  <si>
    <t>Total payment amount</t>
  </si>
  <si>
    <t>%  of total volume</t>
  </si>
  <si>
    <t>F2: Budget and actual expenses according to grant objectives</t>
  </si>
  <si>
    <t>Total amount:</t>
  </si>
  <si>
    <t>Comments</t>
  </si>
  <si>
    <t>COVID diagnosis and testing</t>
  </si>
  <si>
    <t>Mitigating negative impacts on HIV programs</t>
  </si>
  <si>
    <t>Removing human rights and gender-related barriers to services</t>
  </si>
  <si>
    <t>Case management, clinical operations and treatment</t>
  </si>
  <si>
    <t>Infection prevention, control and protection of healthcare workers</t>
  </si>
  <si>
    <t>Laboratory systems</t>
  </si>
  <si>
    <t>Mitigating negative impacts for TB programs</t>
  </si>
  <si>
    <t>Surveillance: Epidemiological Survey and Contact Tracking</t>
  </si>
  <si>
    <t>Behavior change interventions</t>
  </si>
  <si>
    <t>Needle and syringe exchange programs</t>
  </si>
  <si>
    <t>Opioid substitution therapy and other medically assisted drug dependence treatment</t>
  </si>
  <si>
    <t>Treatment (MDR-TB)</t>
  </si>
  <si>
    <t>Case detection and diagnosis (MDR-TB)</t>
  </si>
  <si>
    <t>Community-based MDR-TB care</t>
  </si>
  <si>
    <t>Differentiated provision of ART and HIV care services</t>
  </si>
  <si>
    <t>Counseling and psychosocial support</t>
  </si>
  <si>
    <t>Institutional testing</t>
  </si>
  <si>
    <t>Community testing</t>
  </si>
  <si>
    <t>Community mobilization and advocacy (HIV/TB)</t>
  </si>
  <si>
    <t>Reducing stigma and discrimination (HIV/TB)</t>
  </si>
  <si>
    <t>Legal services on HIV and HIV/TB</t>
  </si>
  <si>
    <t>Quality management systems and accreditation</t>
  </si>
  <si>
    <t>Infrastructure and equipment management systems</t>
  </si>
  <si>
    <t>Regular reporting</t>
  </si>
  <si>
    <t>Grant Management</t>
  </si>
  <si>
    <t>Total:</t>
  </si>
  <si>
    <t>F3: Payments and expenses</t>
  </si>
  <si>
    <t>Before the reporting period</t>
  </si>
  <si>
    <t>Current reporting period</t>
  </si>
  <si>
    <t>Total spent and paid (in $)</t>
  </si>
  <si>
    <t>Paid by the Global Fund</t>
  </si>
  <si>
    <t>PR expenses and payments</t>
  </si>
  <si>
    <t>Paid to subrecipients</t>
  </si>
  <si>
    <t>Subrecipient expenses</t>
  </si>
  <si>
    <t>Last payment of funds: number of calendar days</t>
  </si>
  <si>
    <t>F4: Last reporting and payment cycle of the PR</t>
  </si>
  <si>
    <t>Estimated (days)</t>
  </si>
  <si>
    <t>Actual (days)</t>
  </si>
  <si>
    <t>n/a</t>
  </si>
  <si>
    <t>How many days later did the PR receive the payment?</t>
  </si>
  <si>
    <t>How many days later did sub-recipients receive payments?</t>
  </si>
  <si>
    <t>Management information:</t>
  </si>
  <si>
    <t>Enter management information in each blue cell.</t>
  </si>
  <si>
    <t>Completed</t>
  </si>
  <si>
    <t>Unfulfilled but not overdue</t>
  </si>
  <si>
    <t>Unfulfilled and overdue</t>
  </si>
  <si>
    <t>Total</t>
  </si>
  <si>
    <t>Time-bound actions (TBA) HIV/AIDS</t>
  </si>
  <si>
    <t>M2: Status of key management positions in the PR structure</t>
  </si>
  <si>
    <t>Project Management Department</t>
  </si>
  <si>
    <t>HIV AIDS</t>
  </si>
  <si>
    <t>TB</t>
  </si>
  <si>
    <t>General (both components)</t>
  </si>
  <si>
    <t>Planned</t>
  </si>
  <si>
    <t>Vacant</t>
  </si>
  <si>
    <t>Filled</t>
  </si>
  <si>
    <t>M3: Contractual Agreements (CA)</t>
  </si>
  <si>
    <t>Defined</t>
  </si>
  <si>
    <t>Assessed</t>
  </si>
  <si>
    <t>Approved</t>
  </si>
  <si>
    <t>Signatories of the agreement</t>
  </si>
  <si>
    <t>Receiving funding</t>
  </si>
  <si>
    <t>M4: Number of complete reports received by deadline</t>
  </si>
  <si>
    <t>Expected quantity</t>
  </si>
  <si>
    <t>Received quantity</t>
  </si>
  <si>
    <t>Not completed</t>
  </si>
  <si>
    <t>SSR Reports to SR HIV/AIDS</t>
  </si>
  <si>
    <t>SR Reports to PR HIV/AIDS</t>
  </si>
  <si>
    <t>SSR Reports to SR TB</t>
  </si>
  <si>
    <t>SR Reports to PR TB</t>
  </si>
  <si>
    <t>M5: Budget and procurement of medical supplies, medical equipment, medicines and pharmaceuticals</t>
  </si>
  <si>
    <t>Approved budget*</t>
  </si>
  <si>
    <t>Financial obligations</t>
  </si>
  <si>
    <t>Expenses</t>
  </si>
  <si>
    <t>Total approved budget*</t>
  </si>
  <si>
    <t>Total financial liabilities</t>
  </si>
  <si>
    <t>Total expenses</t>
  </si>
  <si>
    <t>* Includes only categories 4 and 5 of the PFD (medical products and medical equipment, medicines and pharmaceuticals)</t>
  </si>
  <si>
    <t>M6: Difference between current and reserve stocks</t>
  </si>
  <si>
    <t>Capreomycin  1000mg  Powder for injection</t>
  </si>
  <si>
    <t>Kanamycin  1000mg  Powder for injection</t>
  </si>
  <si>
    <t>Amikacin 500 mg/2 ml injections</t>
  </si>
  <si>
    <t>Cycloserine  250mg  Capsules</t>
  </si>
  <si>
    <t>Ethambutol  400mg  Coated tablets</t>
  </si>
  <si>
    <t>Isoniazid  300mg  Coated tablets</t>
  </si>
  <si>
    <t>Levofloxacin  250mg Coated tablets</t>
  </si>
  <si>
    <t>Moxifloxacin  400mg  Coated tablets</t>
  </si>
  <si>
    <t>Protionamide   250mg  Coated tablets</t>
  </si>
  <si>
    <t>Pretomanid 200 mg Pills</t>
  </si>
  <si>
    <t>Pyrazinamide  400mg  Tablets without coating</t>
  </si>
  <si>
    <t>Imipenem 500/Cilastatin 500</t>
  </si>
  <si>
    <t>Clofazemine 100 mg</t>
  </si>
  <si>
    <t>Linezolid 600 mg</t>
  </si>
  <si>
    <t>Bedaquiline 100 mg</t>
  </si>
  <si>
    <t>Delamanid 50 mg</t>
  </si>
  <si>
    <t>Products</t>
  </si>
  <si>
    <t>(1)
Number of tablets per 1 patient per day
(see National Treatment Protocol)</t>
  </si>
  <si>
    <t>(2 = 1 x 30)
Monthly course of treatment
(number of tablets per 1 patient for 30 days)</t>
  </si>
  <si>
    <t>(3)
Total number of patients receiving treatment</t>
  </si>
  <si>
    <t>(4 = 2 x 3)
Total number of tablets required for all patients for 1 month</t>
  </si>
  <si>
    <t>(5)
Current stocks in the central warehouse (with a valid expiration date for the next 3 months)</t>
  </si>
  <si>
    <t>(6 = 5 / 4)
Inventory level expressed in months of treatment for all available patients</t>
  </si>
  <si>
    <t>(7)
Reserve stock level
(expressed in months by country)</t>
  </si>
  <si>
    <t>(8 = 6 - 7)
Difference between current and reserve stocks</t>
  </si>
  <si>
    <t>RC AIDS\NCP</t>
  </si>
  <si>
    <t>Program information: HIV/AIDS</t>
  </si>
  <si>
    <t>Program indicators (Implementation results assessment system)</t>
  </si>
  <si>
    <t>Code</t>
  </si>
  <si>
    <t>Directly related?</t>
  </si>
  <si>
    <t>Enter program implementation data in each yellow cell.</t>
  </si>
  <si>
    <t>KP-1d⁽ᴹ⁾ Percentage of PWID covered by HIV prevention programs - minimum package of services</t>
  </si>
  <si>
    <t>Top 10</t>
  </si>
  <si>
    <t xml:space="preserve"> Top 10</t>
  </si>
  <si>
    <t>with current grant</t>
  </si>
  <si>
    <t xml:space="preserve"> with current grant</t>
  </si>
  <si>
    <t>HTS-5 Percentage of people newly diagnosed with HIV who started ART</t>
  </si>
  <si>
    <t>TCS-1.1⁽ᴹ⁾ Percentage of people receiving ART among all people living with HIV at the end of the reporting period</t>
  </si>
  <si>
    <t>KP-5 Percentage of PWID receiving OST who remain on treatment for at least 6 months after starting treatment</t>
  </si>
  <si>
    <t>HTS-3f⁽ᴹ⁾ Number of people in prisons or other closed institutions who took an HIV test during the reporting period and know their results</t>
  </si>
  <si>
    <t>KP-1c⁽ᴹ⁾ Percentage of SWs covered by HIV prevention programs - minimum package of services</t>
  </si>
  <si>
    <t>KP-1a⁽ᴹ⁾ Percentage of MSM covered by HIV prevention programs - minimum package of services</t>
  </si>
  <si>
    <t>HTS-3d⁽ᴹ⁾ Percentage of PWID tested for HIV during the reporting period and knowing their result</t>
  </si>
  <si>
    <t>HTS-3c⁽ᴹ⁾ Percentage of SWs tested for HIV during the reporting period and knowing their results</t>
  </si>
  <si>
    <t>HTS-3a⁽ᴹ⁾ Percentage of MSM tested for HIV during the reporting period and knowing their result</t>
  </si>
  <si>
    <t>KP-6a Percentage of MSM eligible to initiate pre-exposure prophylaxis (PrEP) who initiated antiretroviral PrEP during the reporting period</t>
  </si>
  <si>
    <t>TB/HIV-6⁽ᴹ⁾ Percentage of HIV-positive patients with new and/or recurrent tuberculosis receiving ART during tuberculosis treatment</t>
  </si>
  <si>
    <t>Target indicator</t>
  </si>
  <si>
    <t>Achieved</t>
  </si>
  <si>
    <t>Program Information: TB</t>
  </si>
  <si>
    <t>MDR TB-6: Percentage of TB patients with a DST result of at least rifampicin among the total number of registered (new and previously treated) cases in the same year.</t>
  </si>
  <si>
    <t xml:space="preserve">MDR TB-2: Number of bacteriologically confirmed registered DR-TB cases (RR-TB and/or MDR-TB)	</t>
  </si>
  <si>
    <t>MDR TB-3: Number of RR/MDR-TB cases started on second-line treatment</t>
  </si>
  <si>
    <t>MDR TB-7: Percentage of confirmed MDR-TB cases tested for susceptibility to fluoroquinolones and second-line injectable drugs</t>
  </si>
  <si>
    <t>WPTM_1: Implementation of the plan to expand treatment at the outpatient level: By the end of 2023, 23% of patients with tuberculosis receive treatment exclusively at the outpatient level</t>
  </si>
  <si>
    <t>WPTM_2: Improving access to fast and high-quality TB diagnostics in the southern region through the construction of a new modular laboratory of the third level of biological safety located on the territory of the Osh Regional TB Center. Goal for 2021: A construction company has been selected and contracted for the construction of a modular laboratory</t>
  </si>
  <si>
    <t>Achieved </t>
  </si>
  <si>
    <t xml:space="preserve">Achieved </t>
  </si>
  <si>
    <t>yes</t>
  </si>
  <si>
    <t>Started</t>
  </si>
  <si>
    <t>Financing</t>
  </si>
  <si>
    <t>Name:</t>
  </si>
  <si>
    <t>Definition</t>
  </si>
  <si>
    <t>Measurement</t>
  </si>
  <si>
    <t>Data source</t>
  </si>
  <si>
    <r>
      <rPr>
        <b/>
        <sz val="11"/>
        <color rgb="FF000000"/>
        <rFont val="Arial"/>
        <family val="2"/>
        <charset val="204"/>
      </rPr>
      <t>Cumulative Budget:</t>
    </r>
    <r>
      <rPr>
        <sz val="11"/>
        <color rgb="FF000000"/>
        <rFont val="Arial"/>
        <family val="2"/>
        <charset val="204"/>
      </rPr>
      <t xml:space="preserve"> The </t>
    </r>
    <r>
      <rPr>
        <b/>
        <sz val="11"/>
        <color rgb="FF000000"/>
        <rFont val="Arial"/>
        <family val="2"/>
        <charset val="204"/>
      </rPr>
      <t>amount</t>
    </r>
    <r>
      <rPr>
        <sz val="11"/>
        <color rgb="FF000000"/>
        <rFont val="Arial"/>
        <family val="2"/>
        <charset val="204"/>
      </rPr>
      <t xml:space="preserve"> of the grant budget, starting from the period of one (quarter, trimester, half-year) of the current phase until the end of the reporting period reflected in the indicator panel, </t>
    </r>
    <r>
      <rPr>
        <b/>
        <sz val="11"/>
        <color rgb="FF000000"/>
        <rFont val="Arial"/>
        <family val="2"/>
        <charset val="204"/>
      </rPr>
      <t>including</t>
    </r>
    <r>
      <rPr>
        <sz val="11"/>
        <color rgb="FF000000"/>
        <rFont val="Arial"/>
        <family val="2"/>
        <charset val="204"/>
      </rPr>
      <t xml:space="preserve"> this period.
</t>
    </r>
    <r>
      <rPr>
        <b/>
        <sz val="11"/>
        <color rgb="FF000000"/>
        <rFont val="Arial"/>
        <family val="2"/>
        <charset val="204"/>
      </rPr>
      <t>Cumulative Global Fund Disbursements</t>
    </r>
    <r>
      <rPr>
        <sz val="11"/>
        <color rgb="FF000000"/>
        <rFont val="Arial"/>
        <family val="2"/>
        <charset val="204"/>
      </rPr>
      <t xml:space="preserve">: The sum of all funds transferred by the Global Fund (GF) to the Principal Recipient (PR) or paid directly to providers (eg, medicines, equipment, mosquito nets) </t>
    </r>
    <r>
      <rPr>
        <b/>
        <sz val="11"/>
        <color rgb="FF000000"/>
        <rFont val="Arial"/>
        <family val="2"/>
        <charset val="204"/>
      </rPr>
      <t>up to</t>
    </r>
    <r>
      <rPr>
        <sz val="11"/>
        <color rgb="FF000000"/>
        <rFont val="Arial"/>
        <family val="2"/>
        <charset val="204"/>
      </rPr>
      <t xml:space="preserve"> and </t>
    </r>
    <r>
      <rPr>
        <b/>
        <sz val="11"/>
        <color rgb="FF000000"/>
        <rFont val="Arial"/>
        <family val="2"/>
        <charset val="204"/>
      </rPr>
      <t>including</t>
    </r>
    <r>
      <rPr>
        <sz val="11"/>
        <color rgb="FF000000"/>
        <rFont val="Arial"/>
        <family val="2"/>
        <charset val="204"/>
      </rPr>
      <t xml:space="preserve"> the end of the dashboard reporting period.</t>
    </r>
  </si>
  <si>
    <r>
      <rPr>
        <b/>
        <sz val="11"/>
        <color rgb="FF000000"/>
        <rFont val="Arial"/>
        <family val="2"/>
        <charset val="204"/>
      </rPr>
      <t xml:space="preserve">Cumulative Budget by Objective: </t>
    </r>
    <r>
      <rPr>
        <sz val="11"/>
        <color rgb="FF000000"/>
        <rFont val="Arial"/>
        <family val="2"/>
        <charset val="204"/>
      </rPr>
      <t xml:space="preserve">The amount of the grant budget </t>
    </r>
    <r>
      <rPr>
        <b/>
        <sz val="11"/>
        <color rgb="FF000000"/>
        <rFont val="Arial"/>
        <family val="2"/>
        <charset val="204"/>
      </rPr>
      <t>by objective</t>
    </r>
    <r>
      <rPr>
        <sz val="11"/>
        <color rgb="FF000000"/>
        <rFont val="Arial"/>
        <family val="2"/>
        <charset val="204"/>
      </rPr>
      <t xml:space="preserve">, from the first period of the current phase </t>
    </r>
    <r>
      <rPr>
        <b/>
        <sz val="11"/>
        <color rgb="FF000000"/>
        <rFont val="Arial"/>
        <family val="2"/>
        <charset val="204"/>
      </rPr>
      <t xml:space="preserve">until </t>
    </r>
    <r>
      <rPr>
        <sz val="11"/>
        <color rgb="FF000000"/>
        <rFont val="Arial"/>
        <family val="2"/>
        <charset val="204"/>
      </rPr>
      <t xml:space="preserve">the end of the reporting period reflected in the dashboard, including that period.
</t>
    </r>
    <r>
      <rPr>
        <b/>
        <sz val="11"/>
        <color rgb="FF000000"/>
        <rFont val="Arial"/>
        <family val="2"/>
        <charset val="204"/>
      </rPr>
      <t>Cumulative Expenditures by Task</t>
    </r>
    <r>
      <rPr>
        <sz val="11"/>
        <color rgb="FF000000"/>
        <rFont val="Arial"/>
        <family val="2"/>
        <charset val="204"/>
      </rPr>
      <t xml:space="preserve">: The sum of funds </t>
    </r>
    <r>
      <rPr>
        <b/>
        <sz val="11"/>
        <color rgb="FF000000"/>
        <rFont val="Arial"/>
        <family val="2"/>
        <charset val="204"/>
      </rPr>
      <t>by task</t>
    </r>
    <r>
      <rPr>
        <sz val="11"/>
        <color rgb="FF000000"/>
        <rFont val="Arial"/>
        <family val="2"/>
        <charset val="204"/>
      </rPr>
      <t xml:space="preserve"> spent directly by the PR, as well as funds transferred by the PR to all subrecipients (SRs) from the beginning of this phase </t>
    </r>
    <r>
      <rPr>
        <b/>
        <sz val="11"/>
        <color rgb="FF000000"/>
        <rFont val="Arial"/>
        <family val="2"/>
        <charset val="204"/>
      </rPr>
      <t>until</t>
    </r>
    <r>
      <rPr>
        <sz val="11"/>
        <color rgb="FF000000"/>
        <rFont val="Arial"/>
        <family val="2"/>
        <charset val="204"/>
      </rPr>
      <t xml:space="preserve"> the end of the reporting period reflected in the indicator panel,</t>
    </r>
    <r>
      <rPr>
        <b/>
        <sz val="11"/>
        <color rgb="FF000000"/>
        <rFont val="Arial"/>
        <family val="2"/>
        <charset val="204"/>
      </rPr>
      <t xml:space="preserve"> including</t>
    </r>
    <r>
      <rPr>
        <sz val="11"/>
        <color rgb="FF000000"/>
        <rFont val="Arial"/>
        <family val="2"/>
        <charset val="204"/>
      </rPr>
      <t xml:space="preserve"> this period, by task.</t>
    </r>
  </si>
  <si>
    <r>
      <rPr>
        <b/>
        <sz val="11"/>
        <color rgb="FF000000"/>
        <rFont val="Arial"/>
        <family val="2"/>
        <charset val="204"/>
      </rPr>
      <t xml:space="preserve">Global Fund Disbursement: Before the start of a given reporting period: </t>
    </r>
    <r>
      <rPr>
        <sz val="11"/>
        <color rgb="FF000000"/>
        <rFont val="Arial"/>
        <family val="2"/>
        <charset val="204"/>
      </rPr>
      <t>The amount of funds transferred by the Global Fund to the PR's account or paid directly to suppliers (for example, medicines, equipment, mosquito nets) before,</t>
    </r>
    <r>
      <rPr>
        <b/>
        <sz val="11"/>
        <color rgb="FF000000"/>
        <rFont val="Arial"/>
        <family val="2"/>
        <charset val="204"/>
      </rPr>
      <t xml:space="preserve"> but not including</t>
    </r>
    <r>
      <rPr>
        <sz val="11"/>
        <color rgb="FF000000"/>
        <rFont val="Arial"/>
        <family val="2"/>
        <charset val="204"/>
      </rPr>
      <t xml:space="preserve">, the start of the reporting period reflected in the dashboard. </t>
    </r>
    <r>
      <rPr>
        <b/>
        <sz val="11"/>
        <color rgb="FF000000"/>
        <rFont val="Arial"/>
        <family val="2"/>
        <charset val="204"/>
      </rPr>
      <t>Global Fund Disbursements: Reporting Period:</t>
    </r>
    <r>
      <rPr>
        <sz val="11"/>
        <color rgb="FF000000"/>
        <rFont val="Arial"/>
        <family val="2"/>
        <charset val="204"/>
      </rPr>
      <t xml:space="preserve"> The amount of funds transferred by the Global Fund to the PR account or paid directly to suppliers (eg, medicines, equipment, mosquito nets) during the reporting period reflected in the indicator panel.
</t>
    </r>
    <r>
      <rPr>
        <b/>
        <sz val="11"/>
        <color rgb="FF000000"/>
        <rFont val="Arial"/>
        <family val="2"/>
        <charset val="204"/>
      </rPr>
      <t>PR Disbursements and Expenditures: Before the start of a given reporting period:</t>
    </r>
    <r>
      <rPr>
        <sz val="11"/>
        <color rgb="FF000000"/>
        <rFont val="Arial"/>
        <family val="2"/>
        <charset val="204"/>
      </rPr>
      <t xml:space="preserve"> The total amount of funds reported as spent by PRs and/or paid to subrecipients prior to,</t>
    </r>
    <r>
      <rPr>
        <b/>
        <sz val="11"/>
        <color rgb="FF000000"/>
        <rFont val="Arial"/>
        <family val="2"/>
        <charset val="204"/>
      </rPr>
      <t xml:space="preserve"> but not including,</t>
    </r>
    <r>
      <rPr>
        <sz val="11"/>
        <color rgb="FF000000"/>
        <rFont val="Arial"/>
        <family val="2"/>
        <charset val="204"/>
      </rPr>
      <t xml:space="preserve"> the reporting period reflected in the dashboard. </t>
    </r>
    <r>
      <rPr>
        <b/>
        <sz val="11"/>
        <color rgb="FF000000"/>
        <rFont val="Arial"/>
        <family val="2"/>
        <charset val="204"/>
      </rPr>
      <t>PR Disbursements and Expenditures: Reporting Period:</t>
    </r>
    <r>
      <rPr>
        <sz val="11"/>
        <color rgb="FF000000"/>
        <rFont val="Arial"/>
        <family val="2"/>
        <charset val="204"/>
      </rPr>
      <t xml:space="preserve"> The total amount of funds reported as spent by PRs and/or paid to subrecipients during the reporting period reflected in the dashboard.
</t>
    </r>
    <r>
      <rPr>
        <b/>
        <sz val="11"/>
        <color rgb="FF000000"/>
        <rFont val="Arial"/>
        <family val="2"/>
        <charset val="204"/>
      </rPr>
      <t>Disbursements to subrecipients: Before the start of a given reporting period:</t>
    </r>
    <r>
      <rPr>
        <sz val="11"/>
        <color rgb="FF000000"/>
        <rFont val="Arial"/>
        <family val="2"/>
        <charset val="204"/>
      </rPr>
      <t xml:space="preserve"> The total amount of funds transferred by the PR to subrecipients up to, but not including, the start of the reporting period reflected in the dashboard. </t>
    </r>
    <r>
      <rPr>
        <b/>
        <sz val="11"/>
        <color rgb="FF000000"/>
        <rFont val="Arial"/>
        <family val="2"/>
        <charset val="204"/>
      </rPr>
      <t>Payments to subrecipients</t>
    </r>
    <r>
      <rPr>
        <sz val="11"/>
        <color rgb="FF000000"/>
        <rFont val="Arial"/>
        <family val="2"/>
        <charset val="204"/>
      </rPr>
      <t xml:space="preserve">: </t>
    </r>
    <r>
      <rPr>
        <b/>
        <sz val="11"/>
        <color rgb="FF000000"/>
        <rFont val="Arial"/>
        <family val="2"/>
        <charset val="204"/>
      </rPr>
      <t xml:space="preserve">Reporting period: </t>
    </r>
    <r>
      <rPr>
        <sz val="11"/>
        <color rgb="FF000000"/>
        <rFont val="Arial"/>
        <family val="2"/>
        <charset val="204"/>
      </rPr>
      <t xml:space="preserve">The total amount of funds transferred by the PR to subrecipients during the reporting period reflected in the indicator panel.
</t>
    </r>
    <r>
      <rPr>
        <b/>
        <sz val="11"/>
        <color rgb="FF000000"/>
        <rFont val="Arial"/>
        <family val="2"/>
        <charset val="204"/>
      </rPr>
      <t xml:space="preserve">Subrecipient Expenditures: Before the start of a given reporting period: </t>
    </r>
    <r>
      <rPr>
        <sz val="11"/>
        <color rgb="FF000000"/>
        <rFont val="Arial"/>
        <family val="2"/>
        <charset val="204"/>
      </rPr>
      <t xml:space="preserve">The total amount of expenses reported in the SR reports up to, </t>
    </r>
    <r>
      <rPr>
        <b/>
        <sz val="11"/>
        <color rgb="FF000000"/>
        <rFont val="Arial"/>
        <family val="2"/>
        <charset val="204"/>
      </rPr>
      <t>but not including</t>
    </r>
    <r>
      <rPr>
        <sz val="11"/>
        <color rgb="FF000000"/>
        <rFont val="Arial"/>
        <family val="2"/>
        <charset val="204"/>
      </rPr>
      <t xml:space="preserve">, the start of the reporting period reflected in the dashboard. </t>
    </r>
    <r>
      <rPr>
        <b/>
        <sz val="11"/>
        <color rgb="FF000000"/>
        <rFont val="Arial"/>
        <family val="2"/>
        <charset val="204"/>
      </rPr>
      <t xml:space="preserve">Subrecipient Expenditures: Reporting Period: </t>
    </r>
    <r>
      <rPr>
        <sz val="11"/>
        <color rgb="FF000000"/>
        <rFont val="Arial"/>
        <family val="2"/>
        <charset val="204"/>
      </rPr>
      <t>The total amount of expenses reported in the SR reports during the reporting period reflected in the dashboard.</t>
    </r>
  </si>
  <si>
    <t xml:space="preserve">How many days did it take to submit the FAR/FTR to the LFA office? </t>
  </si>
  <si>
    <t>The table is updated automatically. No data is entered into these cells.</t>
  </si>
  <si>
    <t>Grant Funding Currency (USD or EUR) Total Amount – The figures reflect the budget and disbursements for all periods of this phase up to and including the reporting period shown in the dashboard.</t>
  </si>
  <si>
    <r>
      <rPr>
        <b/>
        <sz val="11"/>
        <color rgb="FF000000"/>
        <rFont val="Arial"/>
        <family val="2"/>
        <charset val="204"/>
      </rPr>
      <t xml:space="preserve">• Cumulative - </t>
    </r>
    <r>
      <rPr>
        <sz val="11"/>
        <color indexed="8"/>
        <rFont val="Arial"/>
        <family val="2"/>
      </rPr>
      <t>Numbers reflect the budget, payments or expenses for all periods of this phase up to the beginning of the reporting period shown on the dashboard, including this period.</t>
    </r>
  </si>
  <si>
    <r>
      <t>Grant Funding Currency (USD or EUR)</t>
    </r>
    <r>
      <rPr>
        <b/>
        <sz val="11"/>
        <color rgb="FF000000"/>
        <rFont val="Arial"/>
        <family val="2"/>
        <charset val="204"/>
      </rPr>
      <t xml:space="preserve"> • Reporting Period </t>
    </r>
    <r>
      <rPr>
        <sz val="11"/>
        <color indexed="8"/>
        <rFont val="Arial"/>
        <family val="2"/>
      </rPr>
      <t xml:space="preserve">– Numbers reflect the budget, disbursements, or expenses for the reporting period shown on the dashboard.
• </t>
    </r>
    <r>
      <rPr>
        <b/>
        <sz val="11"/>
        <color rgb="FF000000"/>
        <rFont val="Arial"/>
        <family val="2"/>
        <charset val="204"/>
      </rPr>
      <t>Before the start of the reporting period</t>
    </r>
    <r>
      <rPr>
        <sz val="11"/>
        <color indexed="8"/>
        <rFont val="Arial"/>
        <family val="2"/>
      </rPr>
      <t xml:space="preserve"> - Figures reflect the total budget, payments or expenses for all periods up to, but not including, the start of the current period.</t>
    </r>
  </si>
  <si>
    <r>
      <t xml:space="preserve">Number of calendar days; this indicator is </t>
    </r>
    <r>
      <rPr>
        <b/>
        <sz val="11"/>
        <color rgb="FF000000"/>
        <rFont val="Arial"/>
        <family val="2"/>
        <charset val="204"/>
      </rPr>
      <t>not cumulative</t>
    </r>
    <r>
      <rPr>
        <sz val="11"/>
        <color indexed="8"/>
        <rFont val="Arial"/>
        <family val="2"/>
      </rPr>
      <t xml:space="preserve"> and relates only to the reporting period for which the last payment was received.</t>
    </r>
  </si>
  <si>
    <t>OR banking or accounting information; notifications from the Global Fund about the payment of funds; ARP/FTR; GF website.</t>
  </si>
  <si>
    <r>
      <rPr>
        <sz val="11"/>
        <rFont val="Arial"/>
        <family val="2"/>
      </rPr>
      <t>ARP/FTR</t>
    </r>
    <r>
      <rPr>
        <sz val="11"/>
        <color indexed="8"/>
        <rFont val="Arial"/>
        <family val="2"/>
      </rPr>
      <t>; PR data; SR reports to the Principal Recipient</t>
    </r>
  </si>
  <si>
    <t>E-mail and documentation of PR, LAF and GF; bank notifications or receipts from the PR regarding receipt of GF funds; SR reports to the principal recipient, compiled on the basis of bank documents.</t>
  </si>
  <si>
    <t>Management</t>
  </si>
  <si>
    <t>HIV/AIDS indicator</t>
  </si>
  <si>
    <t>Data Sources</t>
  </si>
  <si>
    <r>
      <rPr>
        <b/>
        <sz val="11"/>
        <color rgb="FF000000"/>
        <rFont val="Arial"/>
        <family val="2"/>
        <charset val="204"/>
      </rPr>
      <t xml:space="preserve">The number of planned leadership positions within the grant's PR structure that are currently filled or vacant. </t>
    </r>
    <r>
      <rPr>
        <sz val="11"/>
        <color rgb="FF000000"/>
        <rFont val="Arial"/>
        <family val="2"/>
        <charset val="204"/>
      </rPr>
      <t xml:space="preserve">The full-time equivalent value for </t>
    </r>
    <r>
      <rPr>
        <b/>
        <sz val="11"/>
        <color rgb="FF000000"/>
        <rFont val="Arial"/>
        <family val="2"/>
        <charset val="204"/>
      </rPr>
      <t>management</t>
    </r>
    <r>
      <rPr>
        <sz val="11"/>
        <color rgb="FF000000"/>
        <rFont val="Arial"/>
        <family val="2"/>
        <charset val="204"/>
      </rPr>
      <t xml:space="preserve"> positions provided for in the organization's structure (or otherwise planned) and directly responsible for the implementation of the grant in the structure of the PR and lead SR (if necessary). This includes newly hired and existing staff assigned to administer the grant, as well as any staff brought in from other departments or partner organizations.</t>
    </r>
  </si>
  <si>
    <t>The total number of periodic SR reports to the PR and sub-SR reports (SSRs) to the SR containing updated information on program financing, management and implementation, and received by the specified deadline. “Complete” is considered a report containing all the data required by the PR for the preparation of the FAR/FTR.
The deadline is set by the PR and specified in agreements with sub-recipients.</t>
  </si>
  <si>
    <r>
      <t xml:space="preserve">This indicator measures the budget approved for the procurement of medical supplies, medical equipment, pharmaceuticals and medicines (categories 4 and 5 specified in the new Detailed Financial Report - DFR) in the current grant phase, as well as the total financial obligations and expenses before the start of the grant. reporting period reflected in the indicator panel.
</t>
    </r>
    <r>
      <rPr>
        <b/>
        <sz val="11"/>
        <color rgb="FF000000"/>
        <rFont val="Arial"/>
        <family val="2"/>
        <charset val="204"/>
      </rPr>
      <t>Approved</t>
    </r>
    <r>
      <rPr>
        <sz val="11"/>
        <color indexed="8"/>
        <rFont val="Arial"/>
        <family val="2"/>
      </rPr>
      <t xml:space="preserve"> Budget: The total approved budget for procurement (Categories 4 and 5) for the entire grant phase. It does not include fees, management and operating expenses, etc.
</t>
    </r>
    <r>
      <rPr>
        <b/>
        <sz val="11"/>
        <color rgb="FF000000"/>
        <rFont val="Arial"/>
        <family val="2"/>
        <charset val="204"/>
      </rPr>
      <t>Cumulative Commitments</t>
    </r>
    <r>
      <rPr>
        <sz val="11"/>
        <color indexed="8"/>
        <rFont val="Arial"/>
        <family val="2"/>
      </rPr>
      <t xml:space="preserve">: The total amount of all orders placed and funds allocated to the PR for these purchases up to and including the beginning of the reporting period reflected in the dashboard. Ideally, by the end of the phase, the budget should match the volume of commitments.
</t>
    </r>
    <r>
      <rPr>
        <b/>
        <sz val="11"/>
        <color rgb="FF000000"/>
        <rFont val="Arial"/>
        <family val="2"/>
        <charset val="204"/>
      </rPr>
      <t>Cumulative Expenditures</t>
    </r>
    <r>
      <rPr>
        <sz val="11"/>
        <color indexed="8"/>
        <rFont val="Arial"/>
        <family val="2"/>
      </rPr>
      <t>: The total amount of actual expenditures for categories 4 and 5 up to and including the start of the reporting period reflected in the dashboard (paid by the PR or authorized for payment by other agencies such as the GF or others).</t>
    </r>
  </si>
  <si>
    <r>
      <t>Note:</t>
    </r>
    <r>
      <rPr>
        <sz val="11"/>
        <color rgb="FF000000"/>
        <rFont val="Arial"/>
        <family val="2"/>
        <charset val="204"/>
      </rPr>
      <t xml:space="preserve"> Category 6 of DFR is not considered part of the budget intended for the purchase of pharmaceuticals. Category 6 includes several types of costs that are difficult to disaggregate or quantify, such as warehousing costs, product distribution costs (particularly when distribution is made by ministries of health) and other costs related to operating costs within the procurement management system(PMS)</t>
    </r>
  </si>
  <si>
    <t>This indicator demonstrates the difference between the level of current (or last month) stocks of a specific product (drug in a single combination with fixed doses, mosquito nets, diagnostic kits, etc.) in a specific volume, expressed in monthly demand (number of months, in duration of treatment that can be provided by available supplies) of all patients covered by the program and a reserve or buffer stock level (also expressed in months) calculated from the disease program, warehouse system data, or essential medicines list for a specific drug and a specific dosage .
The difference in months is shown in the table in different colors:
• RED: when the difference is negative or zero (0); this indicates that the available inventory in months is below or equal to the established reserve level.
• YELLOW: when inventory levels are above the reserve level (&gt;0) but below the 3-month level (+3).
• GREEN: when the difference is between 3 and 18 months.
• PURPLE: When the difference is equal to or greater than 18 months, indicating a possible excess inventory.
For a full description of the methodology for calculating this indicator, see the User Guide.</t>
  </si>
  <si>
    <t>Cumulative quantity before the start of the reporting period reflected in the dashboard. The number of fulfilled and unfulfilled PCs and/or DDAs must be equal to the total number established for the grant by the Global Fund.</t>
  </si>
  <si>
    <t>Quantity in the current reporting period.</t>
  </si>
  <si>
    <t>PR documents; reports on the results of grant implementation.</t>
  </si>
  <si>
    <t>PR documentation.</t>
  </si>
  <si>
    <t>Cumulative quantity for a given reporting period. An SR is an institution or program with its own work plan, budget and targets.</t>
  </si>
  <si>
    <t>PR documentation; agreements with sub-recipients/memorandum of understanding (MoU); CCM documentation.</t>
  </si>
  <si>
    <t>Number of reports received. This figure reflects the reporting period only; it is not cumulative.</t>
  </si>
  <si>
    <t>Documentation of PR and SR.</t>
  </si>
  <si>
    <t>Currency of grant funding (USD or EUR).</t>
  </si>
  <si>
    <t>Approved budget as defined in the grant agreement (for categories 4 and 5 according to the Extended Financial Statement in the current phase); financial data of the PR (in relation to expenses); PS department data (in relation to orders placed and funds paid or financial obligations).</t>
  </si>
  <si>
    <t>Number of months.</t>
  </si>
  <si>
    <t>PR documentation: warehouse data</t>
  </si>
  <si>
    <t>TB indicator</t>
  </si>
  <si>
    <t>MDR TB-2:Number of bacteriologically confirmed registered DR-TB cases (RR-TB and/or MDR-TB)</t>
  </si>
  <si>
    <t>MDR TB-3: Number of RR/MDR-TB cases started on second-line treatment</t>
  </si>
  <si>
    <t>WPTM_2: Improving access to fast and high-quality TB diagnostics in the southern region through the construction of a new modular laboratory of the third level of biological safety located on the territory of the TB Center. Goal for 2021: A construction company has been selected and contracted for the construction of a modular laboratory</t>
  </si>
  <si>
    <t>Indicator number: name (No. in the Implementation Results Assessment System)</t>
  </si>
  <si>
    <t>Definition (based on Monitoring and Evaluation Plan)</t>
  </si>
  <si>
    <t>The indicator reflects the percentage of PWID from the estimated number who at least once during the reporting period received a minimum package of services (syringes, needles, wipes), condoms and information material (in the form of information brochures or information sessions).</t>
  </si>
  <si>
    <t>The indicator reflects the percentage of persons with known status at the end of the reporting period receiving ART in accordance with the approved national treatment protocol out of the estimated number of PLHIV.</t>
  </si>
  <si>
    <t>The indicator reflects the percentage of people receiving ART at the end of the reporting period out of the estimated number of PLHIV.</t>
  </si>
  <si>
    <t>The indicator reflects adherence/retention to opioid substitution therapy and covers the civil and penitentiary systems (countrywide).</t>
  </si>
  <si>
    <t>Percentage of prisoners tested for HIV and receiving post-test counselling.</t>
  </si>
  <si>
    <t>Percentage of SWs who received the minimum package of services at least once during the reporting period out of the estimated number of SWs. The “minimum package” refers to the following services: provision of condoms, thematic information materials in the form of brochures and/or conversations and/or counseling.</t>
  </si>
  <si>
    <t>Percentage of MSM who received at least one minimum package of services during the reporting period out of the estimated number of MSM. The “minimum package” refers to the following services: provision of condoms, thematic information materials in the form of brochures and/or conversations and/or counseling.</t>
  </si>
  <si>
    <t>Percentage of PWID who were tested for HIV and received post-test counseling.</t>
  </si>
  <si>
    <t>Percentage of SWs who were tested for HIV and received post-test counseling.</t>
  </si>
  <si>
    <t>Percentage of MSM who have been tested for HIV and received post-test counseling.</t>
  </si>
  <si>
    <t>Percentage of MSM who started PrEP during the reporting period out of those planned (150 MSM will receive PrEP annually).</t>
  </si>
  <si>
    <t>Percentage of HIV-positive new and relapsed TB patients who started TB treatment during the reporting period, who are already receiving ART or who started ART during TB treatment.</t>
  </si>
  <si>
    <t>Numerator: Number of TB patients registered during the reporting period with DST results. DST coverage includes both rapid molecular tests (Xpert MBT Rif) and standard culture tests. Denominator: Total number of registered TB cases in the same year; the denominator includes all bacteriologically confirmed new and previously treated TB cases.</t>
  </si>
  <si>
    <t xml:space="preserve">Kyrgyzstan is focused on achieving UN goals; Based on the resources and capabilities of the national TB program, coverage is expected to be 80% of UN targets.The absolute number of bacteriologically confirmed cases of DR TB and/or MDR/XDR (including XDR) registered during the reporting period.         
</t>
  </si>
  <si>
    <t>Kyrgyzstan is focused on achieving UN goals; Based on the resources and capabilities of the national TB program, coverage is expected to be 80% of UN targets. The indicator includes the absolute number of all laboratory-confirmed and suspected (clinical) cases of RR/MDR/XDR TB treated with second-line drugs during the reporting period. Based on the historical gap between the number of TB cases detected and the number of cases treated, it is expected that 95% of all reported TB cases will be covered in the first year.</t>
  </si>
  <si>
    <t>The number of confirmed RR/MDR-TB cases tested for resistance to second-line drugs during the reporting period by any method (2nd-line Hain test or phenotypic DST) is measured.</t>
  </si>
  <si>
    <t>“Started” - The plan to expand treatment at the outpatient level in the Kyrgyz Republic for the period 2021-2023 was approved by the Ministry of Health of the Kyrgyz Republic; “In progress” - A working group has been created to implement the Plan; “Completed” - 23% of patients with tuberculosis receive treatment exclusively at the outpatient level.</t>
  </si>
  <si>
    <t>“Not started” - The final decision on the young laboratory has not yet been made; “Started” - The tender for the construction company has been launched; “in process” - the construction company has been selected, “Completed” - a contract has been signed with the construction company.</t>
  </si>
  <si>
    <t>Indicators must be selected by the PR and the CCM members or the CCM Technical Committee, see Implementation Performance Evaluation Framework</t>
  </si>
  <si>
    <t>Not cumulative, data from SRs are presented in absolute numbers. At the SR level, data are cumulated and calculated as percentages. Numerator: the number of PWID covered by the minimum package during the reporting period, including imprisoned PWID; denominator: estimated number of PWID for 2013</t>
  </si>
  <si>
    <t>The indicator is not cumulative; it consists of two parts. Numerator: Number of people on ART at the end of the reporting period, denominator: Spectrum estimated number of PLHIV.</t>
  </si>
  <si>
    <t>Numerator: Number of PLHIV receiving ART at the end of the reporting period.
Denominator: Estimated number of PLHIV.
Data should be disaggregated by sex, age, duration of treatment and key group membership.</t>
  </si>
  <si>
    <t>Not cumulative. Numerator: number of PWID (new) who started treatment in the period preceding the reporting period, including those who died after starting treatment, who stopped treatment, and those who were lost to follow-up after 6 months, as well as the number of PWID continuing a continuous course of Anti TB treatment 6 months after its start, for the country including the State Penitentiary Service, denominator: the number of PWID who were involved in the OST program for the period preceding the reporting period.</t>
  </si>
  <si>
    <t>Not cumulative, data from SRs are presented in absolute numbers. At the SR level, data are cumulated and calculated as percentages. Numerator: number of PWID who were tested and know their results during the reporting period, including incarcerated PWID and OST clients; denominator: estimated number of PWID for 2013</t>
  </si>
  <si>
    <t xml:space="preserve">Not cumulative, data from SRs are presented in absolute numbers. At the SR level, data are cumulated and calculated as percentages. Numerator: number of people covered by the minimum package of SR for the reporting period; denominator: estimated number of SRs for 2013	</t>
  </si>
  <si>
    <t xml:space="preserve">Not cumulative, data from SRs are presented in absolute numbers. At the SR level, data are cumulated and calculated as percentages. Numerator: number of MSM covered by the minimum package during the reporting period; denominator: estimated number of MSM for 2016	</t>
  </si>
  <si>
    <t>Not cumulative, data from SRs are presented in absolute numbers. At the SR level, data are cumulated and calculated as percentages. Numerator: number of PWID who were tested and know their results during the reporting period; denominator: estimated number of PWID for 2013</t>
  </si>
  <si>
    <t>Not cumulative, data from SRs are presented in absolute numbers. At the SR level, data are cumulated and calculated as percentages. Numerator: number of SWs who have been tested and know their results for the reporting period; denominator: estimated number of SRs for 2013</t>
  </si>
  <si>
    <t>Not cumulative, data from SRs are presented in absolute numbers. At the SR level, data are cumulated and calculated as percentages. Numerator: number of MSM who were tested and know their results during the reporting period; denominator: estimated number of MSM for 2016</t>
  </si>
  <si>
    <t>Non-cumulative: Numerator: Number of eligible MSM who initiated PrEP* during the reporting period.
*People who started PrEP include those who started PrEP for the first time and those who may have stopped PrEP and restarted PrEP during the reporting period.
The criteria for starting PrEP will be: HIV-negative status, absence of signs and symptoms of acute HIV infection, as well as the presence of MSM at high risk of contracting HIV and possible benefit from PrEP. Any additional criteria will be context specific and will be based on the criteria described in the national clinical protocol.</t>
  </si>
  <si>
    <t>Non-cumulative: Numerator: number of PLHIV with newly diagnosed TB or relapsed TB who started TB treatment while already receiving ART, or among those who started ART while being treated for TB, during the reporting period.</t>
  </si>
  <si>
    <t>Denominator: Actual number of PLHIV with newly or re-diagnosed TB registered during the reporting period.</t>
  </si>
  <si>
    <t>Provide data broken down by age and gender in the notes.</t>
  </si>
  <si>
    <t>Measured in absolute numbers based on the quarterly statistical data of the RCI&amp;ES of NCP</t>
  </si>
  <si>
    <t>Numerator: Number of confirmed RR/MDR-TB cases tested for resistance to second-line drugs during the reporting period. Denominator: Total number of confirmed RR/MDR cases reported during the reporting period.</t>
  </si>
  <si>
    <t>Numerator: number of all TB cases (bacteriologically confirmed and clinically diagnosed), new and previously treated, treated on an outpatient basis (their hospitalization period was less than 30 days) during the reporting period Denominator: Total number of all TB cases (bacteriologically confirmed and clinically diagnosed) , new and previously treated, registered and started treatment during the reporting period.</t>
  </si>
  <si>
    <t>Reporting documentation of organizations - SR (quarterly), MIS database.</t>
  </si>
  <si>
    <t>Data from RCAIDS, ES.</t>
  </si>
  <si>
    <t>Data of RCN ARPDP</t>
  </si>
  <si>
    <t>Reporting documentation of organizations - SR (quarterly), MIS DB</t>
  </si>
  <si>
    <t>Data from RCAIDS, ES program.</t>
  </si>
  <si>
    <t>The reporting instrument refers to form TB 06, table. 1.</t>
  </si>
  <si>
    <t>The reporting instrument refers to form TB 06 U, table. 1.</t>
  </si>
  <si>
    <t>Measured in absolute numbers based on the quarterly statistical data of the RCI&amp;ES NCP.</t>
  </si>
  <si>
    <t>MDR-TB database of the RCI&amp;ES NCP.</t>
  </si>
  <si>
    <t>The reporting instrument refers to form TB 06, table. 3a and 3b.</t>
  </si>
  <si>
    <t>Program documents, Reporting instrument refers to form TB 06, table. 1.</t>
  </si>
  <si>
    <t>Project documents</t>
  </si>
  <si>
    <t>Implementation results assessment system</t>
  </si>
  <si>
    <t>Grant name:</t>
  </si>
  <si>
    <t>Component:</t>
  </si>
  <si>
    <t>Round:</t>
  </si>
  <si>
    <t>Reporting period:</t>
  </si>
  <si>
    <t>Local Foundation Agent:</t>
  </si>
  <si>
    <t>Prepared by:</t>
  </si>
  <si>
    <t>Grant No:</t>
  </si>
  <si>
    <t>Start date:</t>
  </si>
  <si>
    <t>Principal Recipient:</t>
  </si>
  <si>
    <t>General financing:</t>
  </si>
  <si>
    <t>Portfolio Grant Manager:</t>
  </si>
  <si>
    <t>Report preparation date:</t>
  </si>
  <si>
    <t>Financial indicators</t>
  </si>
  <si>
    <t>Comments:</t>
  </si>
  <si>
    <t>TCS-1.1⁽ᴹ⁾Percentage of people receiving ART among all people living with HIV at the end of the reporting period</t>
  </si>
  <si>
    <t>Indicators</t>
  </si>
  <si>
    <t>Target</t>
  </si>
  <si>
    <t>Notes</t>
  </si>
  <si>
    <t>Program indicators for TB</t>
  </si>
  <si>
    <t>MDR TB-6: Percentage of TB patients with a DST result of at least rifampicin among the total number of reported (new and previously treated) cases in the same year.</t>
  </si>
  <si>
    <t xml:space="preserve">MDR TB-3: Number of RR/MDR TB cases started on second-line drugs	</t>
  </si>
  <si>
    <t>MDR TB-7: Percentage of confirmed MDR-TB cases tested for susceptibility to fluoroquinolones and second-line injectable drugs</t>
  </si>
  <si>
    <t>Key factors contributing to the achievement of this indicator are improvements in the laboratory data communication system and the functioning of the sputum transport system.</t>
  </si>
  <si>
    <t>Notes and comments</t>
  </si>
  <si>
    <t xml:space="preserve">MDR TB-6: Percentage of TB patients with a DST result of at least rifampicin among the total number of registered (new and previously treated) cases in the same year.	</t>
  </si>
  <si>
    <t>completed</t>
  </si>
  <si>
    <t>Management indicators</t>
  </si>
  <si>
    <t>There are no preliminary conditions (PCs) for both components</t>
  </si>
  <si>
    <t>M1:Status of Preliminary Conditions (PCs) and Due Date Actions (DDA)</t>
  </si>
  <si>
    <t>Preliminary Conditions (PCs) TB</t>
  </si>
  <si>
    <r>
      <rPr>
        <b/>
        <sz val="11"/>
        <color rgb="FF000000"/>
        <rFont val="Arial"/>
        <family val="2"/>
        <charset val="204"/>
      </rPr>
      <t>The number of fulfilled or unfulfilled Preliminary Conditions</t>
    </r>
    <r>
      <rPr>
        <sz val="11"/>
        <color rgb="FF000000"/>
        <rFont val="Arial"/>
        <family val="2"/>
        <charset val="204"/>
      </rPr>
      <t xml:space="preserve"> (PCs) and Due Date Actions (DDA).
In the category of indicators "Unfulfilled requirements" we distinguish between PC and DDA with expired and unexpired deadlines.</t>
    </r>
  </si>
  <si>
    <t>There are a total of 24 staff positions for the HIV/TB grant, of which 5 are for the HIV component, 2 are for the TB component, the remaining 17 relate to both components, all staff positions have been filled</t>
  </si>
  <si>
    <t>Preliminary conditions (PCs) HIV/AIDS</t>
  </si>
  <si>
    <t>Time-bound actions (TBA)  TB</t>
  </si>
  <si>
    <t>For the HIV component, 35 out of 35 expected program reports by the SR were received on time, they were reviewed, finalized by the SP and accepted within the established time frame.
For the safety component, 7 out of 7 expected program reports by the SR were received on time, they were checked, finalized by the SR and accepted within the established time frame.</t>
  </si>
  <si>
    <t>For the HIV component, the program was implemented by a total of 22 Sub-recipients within the framework of 35 SR Agreements, under all Agreements SR received funding.
For the TB component, the program was implemented by only 5 Sub-recipients within the framework of 7 SR Agreements; under all Agreements SR received funding.</t>
  </si>
  <si>
    <t>The medications and medical supplies have been procured according to the needs for the year 2020. The calculations of these needs have taken into account the current stock, expected deliveries, and budget availability..</t>
  </si>
  <si>
    <t>Comments on TB:</t>
  </si>
  <si>
    <t>Comments on HIV:</t>
  </si>
  <si>
    <t>Stocks of antiretroviral drugs (ARVs) and tests are being monitored, and items with critically low stock levels have either already been supplied or are planned for the near future. Taking into account the change in the clinical protocol based on the latest WHO recommendations, Dolutegravir (DTG)-based regimens predominate (mainly on TLD), the use of single-drug regimens (single-drug regimens) will gradually decrease in their proportion. Medicines with a supply of more than 10 months have an acceptable shelf life and will be used before the expiration date. ARV drugs are also purchased from budget funds (FDC (TLD), FDC (TDF/FTC) 300/200 mg, DTG 50 mg, FDC (TDF/FTC/EFV). According to WHO recommendations, the country is gradually using existing stocks of LPV/r (for both adults and children) and then the prevailing regimens in children are those based on DTG in pediatric dosage and RAL. It is necessary to take into account that ART is given to stable patients for a period of 3-12 months (that is, ART on hand. patients have and this must be taken into account when assessing ARV supplies).</t>
  </si>
  <si>
    <t>Medicines and medical products</t>
  </si>
  <si>
    <t>Inventory level expressed in months of treatment for all available patients</t>
  </si>
  <si>
    <t>Level of reserve stocks in months</t>
  </si>
  <si>
    <t>The difference between current and safe stock levels</t>
  </si>
  <si>
    <t>HIV</t>
  </si>
  <si>
    <t>Ral 100mg (chews a tablet)</t>
  </si>
  <si>
    <t>Methadone</t>
  </si>
  <si>
    <t>Cartridges (Viral load)</t>
  </si>
  <si>
    <t>Express testing (for perigingival fluid)</t>
  </si>
  <si>
    <t>Amoxicillin + Potassium clavulanate  875mg+125mg  Coated tablets</t>
  </si>
  <si>
    <t>Ethambutol  400mg Coated tablets</t>
  </si>
  <si>
    <t>Levofloxacin  250mg  Coated tablets</t>
  </si>
  <si>
    <t>Pyrazinamide  400mg Coated tablets</t>
  </si>
  <si>
    <t>Genexpert cartridges</t>
  </si>
  <si>
    <t>During the reporting period, the budget was spent in full:
- $129,952 Sub-recipients: RCCGVGV, RCPN, and 11 NGOs (salaries of specialists working with the community, doctors and nurses of MDK and medical teams, psychologists, related transport costs and administrative expenses, online consultations, specialized mini -sessions)
- UNDP $41,865 for technical support of a mobile application on HIV-related testing, support and treatment; mobile cards; trainings: on effective interaction between medical workers and NGO employees; The role of nursing staff in the implementation of PTAO; Expanding HIV testing using rapid testing with counseling; for probation officers to inform about tuberculosis; for the prevention of emotional burnout syndrome.</t>
  </si>
  <si>
    <t>During the reporting period, the budget was spent in full:
- $29,092 Sub-recipients: 3 NGOs (salary for community outreach specialists, experts in developing national COVID response mechanisms, related travel and administrative costs)
- UNDP $6,121 for training on combating gender-based violence for NGOs.</t>
  </si>
  <si>
    <t>As part of this intervention, in 2023 the budget was spent by 86% and the following main expenses were incurred:
- 2 ambulances were purchased for the amount of $151,177
- computed tomograph worth $387,040
- processor for digital radiography and thermal film worth $5,020
- associated costs for PSM in the amount of $39,065.
At the same time, there are financial obligations as of December 31, 2023 in the amount of $72,681 for laboratory equipment and consumables, which will be paid in 2024 after delivery. Taking into account these obligations, budget utilization will be 97%</t>
  </si>
  <si>
    <t>As part of this intervention, $31,985 of disinfectant and related PSM costs were paid in 2023. At the same time, a second tranche of insurance was received in the amount of $27,723 for burned goods under these interventions in 2022 during a fire in a warehouse.</t>
  </si>
  <si>
    <t>As part of this intervention in 2023, there were expenses for:
- purchase of the HumaStar 200 automatic biochemical analyzer with consumables in the amount of $57,436
- Incubator worth $6,101
- other and related expenses for PSM
 At the same time, there are financial obligations as of December 31, 2023 in the amount of $140,851 for reagents for the chemical analyzer and laboratory equipment, which will be paid in 2024 after delivery. Taking into account these obligations, budget utilization will be 101%</t>
  </si>
  <si>
    <t>As part of this intervention, there are financial obligations as of December 31, 2023 in the amount of $13,515 for COVD tests for genomic sequencing, which will be paid in 2024 after delivery. Taking into account these obligations, budget utilization will be 100%</t>
  </si>
  <si>
    <t>As part of this intervention, 83% of the allocated budget was used and the following main expenses were incurred:
- $242,935 by sub-recipients of RCCHVGV, RCPN, CH and 14 NGOs (salaries of outreach and social workers, peer consultants, specialists in managing databases and medical products, dermavenerologists, proctologists, nurses, psychologists, database specialists MIS data, social support for clients, document recovery, food and hygiene packages, relevant transport costs, specialized mini-sessions and trainings, expert in procurement efficiency analysis)
- $273,245 UNDP (purchase of lubricants and female condoms, and associated costs for PSM; laboratory tests; hygiene products, products; specialized trainings) At the same time, the second tranche of insurance was received in the amount of $58,709 (total amount of tranche -1 million) for burned goods under these interventions in 2022 during a fire in a warehouse.</t>
  </si>
  <si>
    <t>During the reporting period, the budget was spent by 98%:
-$210,835 Sub-recipients: RCPN and 8 NGOs (salary for social and outreach workers, peer consultants, online consultants, medical product management specialists, psychiatrist/norcologist, community outreach specialists (PSH worker) in the INS , allowances for deputy coordinator for the NEP program in the INS, specialist in voluntary testing and counseling for HIV in the INS, specialized training, M&amp;E expenses)
- $363,235 UNDP for the purchase of containers for disposal, alcohol wipes, syringes and related expenses for PSM, expenses for 8 participants of a training tour to Vilnius for employees of state medical organizations and NGOs on improving OST and HIV prevention, expenses for trainings on community empowerment PWID/PWID in overcoming legal barriers, training for health workers of PHC and HIV Center on motivational counseling in order to expand the coverage of MSM/GP to PrEP services, training on the use of instructions on HIV and TB prevention by employees authorized by government agencies of the Ministry of Health Justice and organization of continuity of treatment for groups of groups of people, the basics of psychosocial counseling, training representatives of NGOs and PTAO sites in motivational counseling skills, new approaches in the treatment of PWID, the Modern drug scene, psychostimulants, harm reduction and online work. At the same time, a second tranche of insurance was received in the amount of $109,396 (total tranche amount -1 million) for burned goods under these interventions in 2022 during a fire in a warehouse.</t>
  </si>
  <si>
    <t>During the reporting period, the budget was spent by 43%:
- $43,585 Sub-recipients: RCPN (salary of social/peer workers, payment for providing surgical care to PTM clients, allowances for nurses and doctors of PTM sites for servicing and retaining clients, expenses for M&amp;E visits of employees)
- UNDP $238,848 for the purchase of methadone, rapid tests, water distiller, gloves, and related expenses for PSM. At the same time, the second tranche of insurance was received in the amount of $8,0022 (total tranche amount -1 million) for burnt goods under these interventions in 2022 during a fire in a warehouse.
At the same time, there are financial obligations as of 12/31/2023 in the amount of $60,563 for naloxone, dispenser, and bottles and associated costs for PSM, which will be paid in 2024 after delivery. Disbursement taking into account obligations will be 52%. The main reason for incomplete budget disbursement is the cancellation of the purchase of buprenorphine and naloxone</t>
  </si>
  <si>
    <t>As part of this intervention, in 2023, 83% of the allocated budget was used for the purchase of TB diagnostic tests; bactericidal irradiators (UV); UV lamps; steam disinfectors, biosafety cabinets; quantitative micro PCR analyzer; cartridges; mycobacterial growth indicator tubes and other laboratory consumables and reagents, as well as associated costs for PSM. At the same time, a second tranche of insurance was received in the amount of $76,884 (total tranche amount -1 million) for burned goods under these interventions in 2022 during a fire in a warehouse.
At the same time, there are unpaid contractual obligations in the amount of $97,841 as of December 31, 2023 to pay related costs for PSM. Taking into account obligations, the percentage of budget implementation will be 88%.</t>
  </si>
  <si>
    <t>This task includes the C19RM budget for funds allocated for: purchases of tests, laboratory reagents, medical diagnostic equipment, and related supply management costs.
In 2023 the following was purchased:
- furniture for laboratories in the amount of $21,742;
- 12 air conditioners for NCP and OCPBT in the amount of $9,397;
- generator for Chuisky OTsKGVG and HIV in the amount of $7,247
- voltage stabilizers for NCP, Naryn, Talas and Issyk-Kul OCPBT in the amount of $9,078;
- GeneXpert platform and tests for rapid identification of RNA coronavirus SARS-CoV-2 in the amount of $124,900, including delivery costs.
-costs for PSM expenses in the amount of $4,277
Also as of 12/31/2023 there is an unpaid liability for $26,780 for IT equipment, which will be paid in 2024 after delivery</t>
  </si>
  <si>
    <t>As part of this intervention, the transportation costs of the NCP in the Osh region in February 2023 were paid. to a working meeting to discuss the current epidemiological situation with TB in the Kyrgyz Republic and further ways to improve it within the framework of the implementation of the Program of the Cabinet of Ministers of the Kyrgyz Republic Tuberculosis 6 for 2022-2026</t>
  </si>
  <si>
    <t>During the reporting period, the budget was spent by 83%:
- $50,000 contribution paid for 2022 to the ZK directly from the Global Fund
- $84,895 Sub-recipients: NCP and 3 NGOs (allowance for doctors and nurses and laboratory assistants of the NCP, medical specialists of the NCP as part of an operational study on modified treatment regimens for patients with resistant forms of TB, salary for case managers, expenses for M&amp;E visits)
- UNDP $1,363,926 for the purchase of anti-TB drugs, an X-ray machine and related costs for PSM. At the same time, a second tranche of insurance was received in the amount of $582,502 (total tranche amount -1 million) for burned goods under these interventions in 2022 during a fire in a warehouse. for the expenses of 3 participants in Riga for the course Innovations in the treatment and management of drug-resistant TB; 2 participants to Geneva for a regional meeting on accelerating progress in achieving HIV testing goals in EECA countries; 5 participants to Minsk for training on Planning, implementation and monitoring of short treatment regimens for TB/RR-TB/LTBI, 2 participants to Dubai for training on maintenance of the GeneXpert system, 3 participants to Moscow to participate in the conference Tuberculosis and modern infections, training on increasing the capacity of PHC m/nurses on TB, a workshop on the results of the MHKR board in order to increase the effectiveness of TB services, training for m/s TB PHC offices on regulatory and practical aspects of alternative methods of controlled treatment, sputum collection and IC, training on the TB detection algorithm ,training for primary health care TB specialists on effective counseling, patient care and effective counseling skills for nurses of TB departments; for expenses for M&amp;E visits of employees of the NCP, Ministry of Health and Human Resources
At the same time, there are financial obligations as of December 31, 2023 in the amount of $106,112 for anti-TB drugs, installation and training on an X-ray machine and associated costs for PSM, which will be paid in 2024 after delivery.
The unused budget balance mainly relates to savings on PSM expenses.</t>
  </si>
  <si>
    <t>As part of this intervention, 82% of the allocated budget was used in 2023 and the following main expenses were incurred:
- $217,838 Sub-recipients: 4 NGOs (salaries of specialists working with the community, doctors and nurses, psychologists, case managers, M&amp;E specialists; related travel expenses, online consultations, specialized mini-sessions, grocery and hygiene packages, payment for fluorography, motivational payments to patients for adherence to treatment, and Internet payments to patients for video-controlled treatment)
- UNDP $29,550 for MSCT of the chest organs for children in Bishkek, Osh and Jalal-Abad; mobile cards, food and hygiene products.
The unused budget of $54,322 primarily relates to incentive payments to patients for adherence due to fewer patients than budgeted; and the installation of stairs for the Naryn TB Center was not carried out due to the high risk of safety issues, taking into account that the building is old and there was a possibility that the plaster/wall could collapse over time, causing cracks to appear throughout the building. Equipping the isolator at NCP with oxygen supply pipes was not implemented because the end user was unable to respond in a timely manner to clarifications during the tender process.</t>
  </si>
  <si>
    <t>During the reporting period, the budget was spent by 174%:
- $68,6742 Sub-recipients: RCCHVGV and 11 NGOs (additional allowance for a doctor-consultant for motivational payments to children living with HIV, motivational payments to children with HIV, food and hygiene packages, specialized mini-sessions, support for document restoration)
- UNDP $1,363,926 for the purchase of ARV drugs, diagnostic tests for determining viral load, cartridges, flow cytometer, laboratory refrigerator-freezer, autoclave, biosafety cabinet, medical aspirator, etc. and related expenses for PSM, office. goods and school supplies for children living with HIV, food and hygiene packages, transportation costs for the delivery of biomaterials.
 Overexpenditure in this intervention due to the fact that heppatitis tests and related medications were also purchased. This purchase was made at an additional request from the RCCGVGV at the expense of savings generated from exchange rate differences, which were included in the budget under another intervention, with the permission of the Global Fund. At the same time, a second tranche of insurance was received in the amount of $7,992 (total tranche amount -1 million) for burned goods under these interventions in 2022 during a fire in a warehouse.
At the same time, there are financial obligations as of 12/31/2023 in the amount of $39,751 for ARV drugs and Vitamin B6 and associated costs for PSM, which will be paid in 2024 after delivery.</t>
  </si>
  <si>
    <t>During the reporting period, the budget was spent by 63%:
- $130,985 Sub-recipients: RCCHVGV and 6 NGOs (salaries of social workers and peer consultants, doctors and nurses working with PLHIV, doctors in correctional facilities, doctors for improving ET and doctors for PrEP based on NGOs, psychologists , deputy coordinator for treatment and care, motivational payments to employees for achieving indicators in the identification and effectiveness of ARV treatment for HIV, )
- UNDP $29,641 for technical support for the preparation of a training tour to promote and expand PrEP services among KGN, expenses of 8 participants of a training tour to Vilnius for employees of state medical organizations and NGOs on improving OST and HIV prevention, for conference services for conducting training on the “Patient School” and its 6 modules, using the HIVapp mobile application for KGN.
The remaining unused budget is primarily due to lower payments from Sub-Recipients to staff due to low rates of ARV participation and retention in treatment, and due to the fact that less work was carried out as part of plans to improve HIV and TB indicators. trainings and fewer experts and consultants involved than expected</t>
  </si>
  <si>
    <t>As part of this intervention, 133% of the allocated budget was used in 2023, because last year's obligations for the purchase of enzyme-linked immunosorbent test systems intended for screening for HIV infection were paid. ELISA tests were also purchased.</t>
  </si>
  <si>
    <t>As part of this intervention, in 2023 the budget was spent by 70% and the following main expenses were incurred: purchase of rapid diagnostic tests for HIV; gloves; Monolisa HCV Ag-Ab test reagent kits; tests for self-diagnosis for HIV OraQuick HIV Self-Test; OraQuick® HCV Rapid Antibody Test for determining antibodies to HCV; associated costs for PSM. At the same time, a second tranche of insurance was received in the amount of $77,514 (total tranche amount -1 million) for burned goods under these interventions in 2022 during a fire in a warehouse.
At the same time, there are financial obligations as of December 31, 2023 in the amount of $3,765 related to transportation costs. Taking into account these obligations, budget utilization will be 71%</t>
  </si>
  <si>
    <t>As part of this intervention, 129% of the allocated budget was used in 2023. The deviation was mainly due to cost overruns on holding a forum for PLHIV, MSM, PWID, SW at the country level due to an increase in the number of participants. The following main expenses were incurred:
- $117,043 Sub-recipients: 11 NGOs (salaries of lawyers, lawyers, outreach and social workers, M&amp;E specialists, consultants for providing social support to those released from prison, related travel expenses, specialized mini-sessions, working meetings, conducting thematic events, developing information documents)
- UNDP $143,550 for travel expenses of participants and conference services for holding a workshop on improving the effectiveness of anti-tuberculosis measures in Naryn and Talas regions; training on teaching advocacy mechanisms; national forum of civil society carrying out its activities in the field of combating HIV and TB; training tour for 15 participants to promote and expand PrEP services among KGN; conducting a media campaign to support the rights of people living with HIV and reducing stigma and discrimination against them; working meeting on creating an enabling environment for expanding access to services with organizations working with SW</t>
  </si>
  <si>
    <t>During the reporting period, the budget was spent by 94%:
- $84,202 Sub-recipients: 10 NGOs (salaries for outreach and social workers, case managers, MIS database specialists, ReAct database administrator, psychologist, food and hygiene packages, document recovery, specialized mini-sessions, support in the restoration of documents, payment to experts to analyze the implementation of the transition plan to public financing, to analyze the implementation of public procurement in the field of TB, to develop by-laws on HIV and TB issues in accordance with the approved Laws “On the Protection of the Health of Citizens of the Kyrgyz Republic” and “On public health", to analyze law enforcement practices, Updating the regulatory framework related to prevention programs for groups of groups of groups. Updating the Instructions on HIV prevention and the educational and methodological manual "Theory and Practice of Harm Reduction" for employees of the Ministry of Internal Affairs, Updating the regulatory framework related to preventive programs for the KGN, the working group for the revision of clinical protocols for STIs, for analysis and monitoring of the implementation of the Roadmap for the transition to state funding of HIV programs, for amendments to the list of vital drugs (EDL) and the state guarantee program (SGP) . For the treatment of HIV infection, TB, HCV, HRT, PTM, treatment of STIs, vaccination against HBV, to analyze the situation/observance of the rights of PWID, for conducting a comprehensive analysis of restrictions on obtaining personal documents for representatives of key population groups to overcome them, Development of Interdepartmental Instructions for ensuring continuity of prevention, treatment, care and support services for PLHIV, TB patients and/or representatives of groups of groups in custody or released from prison, Training for personnel on rights and Instructions. Payment to trainers and trainers for conducting two 2-day medical trainings. workers of primary health care (phthisiatricians of district tuberculosis offices) and regional TB clinics on issues of stigma and discrimination, and other specialized trainings, working meetings, M&amp;E expenses)
- UNDP $241,427 for technical support: payment to an expert for organizing a training tour to Vilnius for government employees. medical and non-medical organizations, an expert in analyzing the regulations of neighboring countries to assess the availability of tests when treating people with TB in the Russian Federation and the Republic of Kazakhstan, an expert in introducing HIV prevention and human rights issues into training programs for judges, an expert in developing an order of the Ministry of Health of the Russian Federation on approval algorithm/instructions for issuing long-term PTP in health care organizations and community-based persons undergoing TB treatment, providing advocacy services and promoting funding for the methadone maintenance treatment program from the state budget. and so on. expenses for specialized trainings and meetings.</t>
  </si>
  <si>
    <t>During the reporting period, the budget was spent by 105%:
- $144,6062 Sub-recipients: RCHC and 2 NGOs (salary to street lawyers, mentors, lawyers, experts for the development of the training module “TB Patients School”, information documents “Patient Diary”, other IOM and video material, specialized trainings, meetings with partners)
- UNDP $21,685 for training for primary care doctors, NGO employees and case managers; working meeting with the joint venture on the implementation of projects to actively identify new TB cases; training on the legal basis of TB prevention programs for case managers and NGO employees, a round table on the introduction of HIV prevention and human rights issues into the activities of the judiciary in the Kyrgyz Republic, training School of patients and effective counseling skills.
At the same time, a second tranche of insurance was received in the amount of $3,712 (total tranche amount -1 million) for burned goods under these interventions in 2022 during a fire in a warehouse.
At the same time, there are financial obligations as of December 31, 2023 in the amount of $4,752 for the purchase of tablets, which will be paid in 2024 after delivery.</t>
  </si>
  <si>
    <t>During the reporting period, the budget was spent by 118%:
- $15,0492 Sub-recipients: RCCHVGV and CRH (for trainings for laboratory technicians, payments to consultants to strengthen methodological and practical assistance to medical personnel (doctors and nurses) at the primary health care level)
- $80,418 UNDP to pay for an expert to develop training programs for laboratory technicians and conduct them on the topic Organization and implementation of a quality management system in an HIV diagnostic laboratory; expenses for these trainings; payment for an engineer for the maintenance and repair of laboratory equipment; payment for an expert in the preparation of biological standard samples for monitoring HIV testing; for EQA services for NRL. Budget overruns due to actual high prices for servicing laboratory equipment</t>
  </si>
  <si>
    <t>The budget was used by 29%. Unused budget balance associated with renovation work of the Osh Tuberculosis Laboratory. The costs for renovation work at the Osh TB Laboratory were inflated because the calculations were based on an order invoice provided by IML RED GMBH (WHO - Supranational Reference Laboratory for Tuberculosis), which GIZ hired to carry out renovation work at the Osh TB Laboratory.</t>
  </si>
  <si>
    <t>During the reporting period, the budget was spent by 125%:
- $24,274 by sub-recipients: RCKGVGV and RCPN (conducting a round table on the results of the BPI, expenses for M&amp;E and mentoring visits, payments to M&amp;E consultants)
- UNDP $22,698 for mobile cards for BPI, for experts in the development/adaptation of protocols for formative assessment, BPI and headcount assessment among SWs in the Kyrgyz Republic, expenses for 4 participants to participate in Tbilisi in the Regional Workshop on improving the quality of data analysis on HIV prevalence infections in the KGN, costs of a working meeting to discuss the results of the BPI.
budget overspending due to the fact that the budget under the agreement with the RCCVGV was increased after the budget audit of the grant was carried out</t>
  </si>
  <si>
    <t>During the reporting period, the budget was spent by 62%:
- $779,904 by sub-recipients: RCCGVGV, RCPN, RCPH, NCF, CRZ and 22 NGOs (salary for coordinators, accountants, allowances for NCF technical specialists, office and other administrative expenses)
- $1,875,240 UNDP for the purchase of furniture, IT equipment, expenses for meetings with sub-recipients, travel to Geneva to discuss a new grant, expenses for the UNDP PIU (salaries of employees, M&amp;E visits, audit of sub-recipients, office expenses , GMS)
At the same time, there are financial obligations as of 12/31/2023 in the amount of $92,408 for IT equipment and GMS, relating to the entire amount of paid obligations that will be paid in 2024 after delivery.
The remainder of the unused budget relates to the purchase of IT equipment for the joint venture, due to the fact that the tender for the purchase of IT equipment for the project joint ventures was announced three times, the contract was not concluded due to the receipt of technically inappropriate proposals; the purchase of 2 office machines for UNDP was canceled; the balance of the unused amount of exchange rate difference, which the Global Fund did not allow to be used for the budget audit due to the fact that the proposed activities were not included in the PAAR list, because only activities from PAAR can be covered from foreign exchange savings; unused GMS amount related to unused budget balances from other interventions</t>
  </si>
  <si>
    <t>Завершено</t>
  </si>
  <si>
    <t>не начато</t>
  </si>
  <si>
    <t>Not started</t>
  </si>
  <si>
    <t>The total number of PWID covered by preventive services, including PWID in penitentiary institutions, amounted to 19,831 people. This amounts to 79.3% against a target of 80%. The percentage of achievement of this indicator is 99%.
5 NGOs implemented projects among PWID in Bishkek, Chui region, Osh city, Osh region, Jalal-Abad city, Jalal-Abad region, Talas city and Talas region, Karakol city. In addition, the penitentiary system has syringe exchange points. The minimum package of services includes the provision of syringes, alcohol wipes and an information component (IOM or counseling).
The program mainly covers PWID over 25 years of age (97.24%), young PWID and users of new psychoactive substances remain inaccessible to prevention programs.</t>
  </si>
  <si>
    <t>During the reporting period, 89% (919 out of 1031) of people newly diagnosed with HIV started ART. Since October 2023, a strategy has been introduced to motivate primary care doctors to detect HIV according to clinical indications. This strategy has been in effect since July 2022 at the hospital level. Four specialists were involved in the implementation of rapid testing using a drop of blood at the primary level of medical care and in hospitals. In 2023, 13 new cases of HIV infection were identified at the primary health care level. At the hospital level in 2023, 10,728 tests were carried out, 79 new cases of HIV were detected in 2023 (0.7%).
The percentage of achievement of this indicator is 99% in 2023 compared to 102% in 2022, with a slight decrease in the indicator.
All of them started ART within 30 days of diagnosis. Data provided by the Republican Center for Control of Bloodborne Viral Hepatitis and HIV (RCCHVIVH).”</t>
  </si>
  <si>
    <t>As of December 31, 2023, 6,353 PLHIV were receiving ARV therapy (2,883 women, 3,470 men). Together with the RCCHVH&amp;HIV, regional centers for Control of Hemocontact Viral Hepatitis and HIV  and NGOs, a number of measures were taken to increase the number of PLHIV receiving ART, such as:
• Distribution of ARV drugs for a longer period for 5150 PLHIV (3-6-12 months), delivery of ARV drugs to patients' homes with the support of multidisciplinary teams (164 visits in total). 3 multidisciplinary teams provided services to 870 PLHIV/PLHIV based on NGOs, 2 mobile teams performed the following work: delivery of ARV drugs to 162 PLHIV and identified 28 patients who were lost to follow-up and then re-involved in the HIV care program;
• Providing social support and motivational payments to children living with HIV (in total in 2023, payments in the amount of 5,056,000 soms were made to children - in the 1st quarter - 449 children living with HIV, in the 2nd quarter - 444, in the 3rd quarter - 435 and in the 4th quarter – 375);
• Most patients switched to Dolutegravir-based treatment regimen (5,905 PLHIV out of 6,353);
• 2 centers operated to support PLHIV when connecting to ART among those newly starting treatment and care; 224 PLHIV were covered by support services.
Despite all the above measures taken, the percentage of achievement of the indicator was 64% (in 2022 - 71%).
In 2024, the OR will continue to implement activities aimed at attracting PLHIV to start ART and strengthening adherence.</t>
  </si>
  <si>
    <t>The OST program continued to be implemented by the RCPN both in the civilian sector and in the penitentiary system. As of December 31, 2023 (including IDUs), 724 PWID were on therapy, 622 (85.9%) were on therapy for more than 6 months, 144 new clients entered the OST program during the reporting period, and 70 of them were on therapy within 6 months of the inclusion date and the retention rate is 48.61%, while in 2022 it was 54.2%. The percentage of achievement of this indicator for the reporting period was 61%.
During the reporting period, the UNDP/GF project took the following actions: (1) NGOs working with PWID paid more attention to conducting thematic mini-sessions and peer consultations aimed at improving knowledge about OST among PWID; (2) participation in the implementation of updated OST guidelines to include a variety of treatment options; (3) training OST doctors on the prevention of burnout syndrome, training OST nurses on updated clinical guidelines; (4) a study tour to Lithuania to improve the skills of OST doctors in the management of OST patients; (5) transfer of the OST program to funding from the state budget to ensure continuity of OST and increase staff motivation in providing OST services; (6) training of NGOs working with PWID in psychosocial counseling skills (7) revision of the order of the Ministry of Health in order to increase the number of clients eligible for 5-day methadone and apply a ranking scale for 2-5-day methadone. The activities will continue in 2024.</t>
  </si>
  <si>
    <t>During the reporting period, 7,159 prisoners (m-6715/f-444) were tested for HIV and know their results. Among the tested prisoners, 32 cases of HIV infection were identified (3 women, 29 men).
The target was 70.63%, 111.23% was achieved, respectively, the percentage of achievement was 120%, while in 2022 this figure was 106%.
Such a high testing coverage is due to the fact that in 2023, a total medical examination of prisoners was carried out in all institutions, requiring mandatory HIV testing, regardless of when it was last carried out. Reporting data on prisoners is presented for 16 institutions of the State Penitentiary Service, in 12 of which I work on prevention programs, a UNDP/GF project.</t>
  </si>
  <si>
    <t>For 2023, the rate of achievement of this indicator was 102%, which is 18% higher than in 2022. The number of SWs covered by the minimum package of services was 5813.
6 NGOs implemented projects among SRs in Bishkek, Chui region, Osh city, Osh region, Jalal-Abad city, Jalal-Abad region, Naryn city, Naryn region, Talas city and Talas region, Kyzyl-Kiya, Cholpon-Ata, Balykchy cities, Karakol city and Issyk-Kul region.
In addition to existing services, services for the diagnosis and treatment of STIs (syphilis, gonorrhea, trichomoniasis) were provided. In 2023, 624 SWs underwent laboratory testing for STIs and 502 SWs received treatment for STIs (including syphilis-206, gonorrhea-68, trichomoniasis-48, others-180).</t>
  </si>
  <si>
    <t>During the reporting period, the percentage of achievement of this indicator was 117%, which is 6% higher than the achievement for 2022. The number of MSM covered by the minimum package of services was 15,830.
Three NGOs provided preventive services to MSM in the cities of Bishkek, Osh, Jalal-Abad, Talas, as well as in Issyk-Kul, Osh and Chui regions.
In addition to existing services, services for the diagnosis and treatment of STIs are provided. During 2023, 220 MSM were screened for STIs and 152 MSM were treated for STIs (including syphilis-26, gonorrhea-39, trichomoniasis-1, others-84). Everyone who was diagnosed with one or another STI received treatment.</t>
  </si>
  <si>
    <t>During the reporting period, 17,692 PWID were tested for HIV. The achievement rate in 2023 is 102%, in 2022 the achievement rate was similar. Most PWID are tested using rapid saliva tests (for key populations, this is much more convenient than ELISA, as it is carried out on the basis of NGOs, which increases the willingness of the community to be tested). 10 PWID were identified with a preliminary positive result of a rapid HIV test, then all 10 were confirmed, 7 PWID were identified at NGOs, 3 at the State Penitentiary Service. In 2024, mechanisms will be developed for the provision of preventive services through online platforms and the distribution of medical products and self-testing kits through testing machines and/or vending machines.</t>
  </si>
  <si>
    <t>During the reporting period, 4670 SWs were tested for HIV. The percentage of achievement of this indicator in 2023 is 93.4% compared to 85% in 2022. All SWs received rapid saliva testing (for key populations this is much more convenient than ELISA, as it is carried out on the basis of NGOs, which increases the community’s willingness to be tested). 2 SWs had preliminary positive results of a rapid test for HIV, all 2 were confirmed. In 2024, mechanisms will be developed for the provision of preventive services through online platforms and the distribution of medical products and self-testing through testing machines and/or condom dispensers.</t>
  </si>
  <si>
    <t>During the reporting period, 10,492 MSM were tested. The achievement rate for this indicator in 2023 is 87%, compared to 102% in 2022.
All MSM tested underwent rapid saliva tests. 8 MSM had a preliminary positive result of a rapid test for HIV, then all 8 results were confirmed.
The decrease in the indicator compared to the previous year is caused by the following: many clients were tested using self-testing as part of other projects and refused testing a second time, some clients refused HIV testing and only needed to obtain LPA, the NGO “Kyrgyz Indigo” stopped working within the framework of the UNDP/GF project from the 4th quarter of 2023, however, the NGO “AntiAIDS” reached some of the Kyrgyz Indigo clients, but mainly to provide LPA.
In 2024, mechanisms will be developed for the provision of preventive services through online platforms and the distribution of medical products and self-testing through testing machines and/or condom dispensers.</t>
  </si>
  <si>
    <t>In 2023, 261 MSM received PrEP (target 150), the percentage of achievement of the indicator was 174%, which is a significant improvement compared to 2022 (22%).
The overfulfillment is due to the promotion of PrEP among MSM, as well as the contribution of other projects promoting PrEP in the country. The UNDP/GF project continued to collaborate with ECOM and conducted several trainings on PrEP for medical staff of the CHVH&amp;HIV Centers and NGO staff in Bishkek and Osh, a training tour was conducted to Berlin for 3 doctors and 3 managers of the CHVH&amp;HIV Centers from Bishkek and Osh, as well as 7 employees from 2 NGOs to gain additional knowledge and study best practices for PrEP provision in NGOs and government service providers in Germany. To expand access, PrEP services for MSM/TG are provided through NGOs. Since November 2022, doctors from the CHVH&amp;HIV Centers in Bishkek and Osh have been visiting NGOs one day a week for counseling, HIV testing and PrEP provision.</t>
  </si>
  <si>
    <t>During the reporting period, 114 of 115 PLHIV with a new or recurrent case of tuberculosis received ART during treatment for tuberculosis, the achievement rate was 103%, while in 2022 this figure was 102%, respectively, the rate remains at the same high level.</t>
  </si>
  <si>
    <t>As part of the Global Fund grant, the country receives comprehensive support to fulfill this indicator; the problem lies in the failure to implement the diagnostic algorithm in some cases.</t>
  </si>
  <si>
    <t>Despite the Plan to improve the implementation of this indicator (NCF, UNDP, partners), the number of registered cases of RR/MDR TB continues to decline. According to the recommendations of the WHO mission (2023), the country should focus efforts at the primary health care level and conduct active case detection among target populations.</t>
  </si>
  <si>
    <t>3262 cases of bacteriologically confirmed tuberculosis were registered during the reporting period, 3101 of them had DST results to second-line drugs, including GenExpert (95%). This indicator has not changed compared to the previous reporting period. In fact, there are no barriers in the country to improve the implementation of this indicator: within the framework of the Global Fund grant, UNDP contributed to support this activity, including purchasing all necessary laboratory reagents and reagents, providing technical support for laboratory equipment (engineer), maintaining laboratory personnel (27 laboratory specialists were paid for retention in the workplace, including 7 employees of the State Penitentiary Service), supported 7 regional coordinators for the pathological material transportation system to improve the implementation of the diagnostic algorithm, purchased and supplied additional laboratory and diagnostic equipment, including 2 Tru-Nata, one CT machine, stationary and portable X-ray machines.</t>
  </si>
  <si>
    <t>During the reporting period, 836 RR/MDR-TB cases were registered, including 768 laboratory-confirmed RR/MDR-TB cases. The goal was achieved by only 42%. 17 RU/MDR cases were registered in the penitentiary system, and 751 in the civilian sector. Compared to the previous reporting period, registration of RR/MDR-TB cases decreased by another 10%; compared to the pre-pandemic period, detection decreased by 42%: 858 in 2022, 914 in 2021, 1108 in 2020 and 1440 in 2019.
Considering the trend in decreasing detection of TB cases, which is recognized by all international experts and the WHO mission as under-detection, as well as the failure to achieve the target indicators of the National Program (1200 cases of RR/MDR TB in 2023) and the Global Fund grant, on the recommendation of the Global Fund with the support of UNDP, the country developed a Plan for improvement of indicators, which included 22 activities, incl. creation of a favorable regulatory environment, expansion of active case detection among vulnerable groups and examination of contacts, improvement of access and quality of TB counseling at the primary level, holding coordination meetings, study tours for NTP and INS employees, and other activities. The plan was implemented from October 2022 to December 2023, the estimated cost of the plan was about $300 thousand. All activities, with the exception of one (cancelled by the NCP), were completed. In particular, coordination meetings were held, 500 medical workers were trained; NGOs identified and screened 3,272 people from contact groups and 3,083 from vulnerable groups in Osh and Issyk-Kul regions, in settlement colonies in Chui region and in the probation service in Bishkek; A total of 829 cases with symptomatic TB were identified, 641 of whom underwent further TB testing (77%), 32 cases of active TB were identified, and 7 cases of other pathology. 244 children were examined using computed tomography, 88 (36%) were diagnosed with TB.
Despite the implementation of this plan, the number of detected cases of RR/MDR TB continues to decline. According to the recommendations of the WHO mission (2023 report), it is necessary to continue ABC activities among the most vulnerable groups..</t>
  </si>
  <si>
    <t>The achievement of this indicator depends entirely on the number of registered RR/MDR cases (previous indicator): 836 RR/MDR cases were registered during the reporting period (bacteriologically confirmed and clinical), 776 of them were taken for treatment (93%). Of the 776 cases taken for treatment, 708 are bacteriologically susceptible cases, and 68 are clinically diagnosed: contacts, children and previously treated cases. The proportion of clinical cases in the last three years has increased compared to previous years: 3% in 2019, 4.5% in 2020, 7.4% in 2021, 11% in 2022, and 8.8% in 2023, although DST coverage for drugs second row is constantly improving (see MDR TB-7.1 indicator).
Compared to the previous reporting period, the number of RR/MDR-TB cases taken for treatment decreased: 904 in 2022, 934 in 2021; 986 in 2020, and 1376 in 2019. However, treatment coverage has improved compared to the pre-pandemic period: from 83% in 2019 to 93% in 2020, and has remained above 90% since then.
To ensure access to quality treatment, UNDP purchased and delivered all second-line drugs in accordance with the NCP application; Treatment for patients is prescribed taking into account drug sensitivity (more than 85% have DST for PVR).</t>
  </si>
  <si>
    <t xml:space="preserve">В отчетном периоде 662 из 767 лабораторно подтвержденных случаев РУ/МЛУ ТБ были протестированы на чувствительность к препаратам второго ряда (86%). 18% (122 случая), протестированных на ТЛЧ к ПВР, имели устойчивость к фторхинолонам (пре-ШЛУ ТБ), и 3% (22) имеют устойчивость к новым и перепрофилированным препаратам (ШЛУ). Факторы, которые вносят вклад в достижение этого индикатора: (1) функционирующая по всей стране система транспортировки патологического материала, (2) лабораторная информационная система связана с электронной картой ТБ01, что позволяет получать результаты ТЛЧ  в режиме реального времени, (3) Областные ЛУ-Координаторы и координаторы по системе транспортировки  мониторят внедрение диагностического алгоритма. </t>
  </si>
  <si>
    <t>During the reporting period, 662 of 767 laboratory-confirmed RR/MDR-TB cases were tested for susceptibility to second-line drugs (86%). 18% (122 cases) tested for PVR DST were fluoroquinolone resistant (pre-XDR TB), and 3% (22) were resistant to new and repurposed drugs (XDR). Factors that contribute to the achievement of this indicator: (1) a system for transporting pathological material operating throughout the country, (2) the laboratory information system is linked to the electronic TB01 card, which allows obtaining DST results in real time, (3) Regional LU- Coordinators and transportation system coordinators monitor the implementation of the diagnostic algorithm.</t>
  </si>
  <si>
    <t>According to national M&amp;E procedures, this indicator includes all TB cases that started treatment and spent less than 30 days in hospital during the intensive phase. The indicator is assessed after three months of treatment. During the reporting period, 4810 TB cases were registered in the civilian sector, 4705 of them began treatment, 930 of them were exclusively outpatient treatment according to the definition (19.7%). The indicator was met only by 44%, and therefore the IAF and GF rated this measure as “not implemented.” To achieve this indicator, the implementation of the Outpatient Treatment Expansion Plan, developed by the NCF with the support of UNDP and partners, was launched in October 2022. The plan included 28 activities, mainly at the PHC level, aimed at increasing the capacity of PHC to provide outpatient treatment. Practice has shown that most of these activities require routine implementation. The main barrier to expanding outpatient treatment is the case-based funding system for hospitals: due to the reduction in the number of detected TB cases, hospitals are trying to hospitalize every person with TB.</t>
  </si>
  <si>
    <t>Not started yet</t>
  </si>
  <si>
    <t xml:space="preserve">During the reporting period, 19,831 PWID received the minimum package of services, including 3,273 women. 5 NGOs and the Republican Center for Mental Health and Narcology carry out activities throughout the country and in the penitentiary system. It was planned to cover 80% of the estimated number of PWID with a minimum package of services (25,000, last estimate 2013), 79.32% was achieved, so the percentage of achievement of the indicator was 99% in 2023, in 2022 - 97%. The minimum package of services includes the provision of syringes, alcohol wipes and an information component (provision of IOM and/or consultation).		</t>
  </si>
  <si>
    <t>During the reporting period, 919 out of 1031 newly diagnosed with HIV infection started ART, which amounted to 89.04%, of which 362 women (39.39%) and 557 men (60.61%). ARV therapy started within 30 days of diagnosis, the percentage of achievement of this indicator was 99% in 2023, while in 2022 it was 102%. Since October 2023, a strategy has been introduced to motivate primary care doctors to detect HIV according to clinical indications. This strategy has been in effect since July 2022 at the hospital level. Four specialists were involved in the implementation of rapid testing using a drop of blood at the primary level of health care and in hospitals with the support of the UNDP/GF project. Thus, in 2023, 13 new cases of HIV infection were identified at the primary health care level, at the hospital level in 2023, 10,728 tests were carried out and 79 cases were identified..</t>
  </si>
  <si>
    <t xml:space="preserve">As of December 31, 2023, 6,353 PLHIV were receiving ARV therapy (2,883 women, 3,470 men). The latest available data on the estimated number of PLHIV is 11,000 according to UNAIDS/SPECTRUM. The target was 90%, 57.75% achieved, i.e. the achievement percentage was 64%, which is 7% less than in 2022.
The lag during the reporting period is mainly due to (according to the data of the Republican Center for HIV and HIV): - insufficient vigilance of medical workers in identifying cases of HIV infection, which leads to late diagnosis;
- interruption of antiretroviral therapy (ART) among patients is a significant problem, insufficient adherence to treatment of patients with HIV infection;
- reforms in the healthcare system have led to frequent changes in medical personnel, which makes it difficult to work with patients, especially with key populations (key population groups);
- expansion of the functions of the AIDS service has led to overload of specialists, which reduces the quality of services provided and reduces the time devoted to patients;
- low wages and an unstable socio-economic situation lead to staff turnover.                                                                                                                                                                         				</t>
  </si>
  <si>
    <t>Programme indicators on HIV/AIDS</t>
  </si>
  <si>
    <t>SR HIV/AIDS</t>
  </si>
  <si>
    <t>SR TB</t>
  </si>
  <si>
    <t>Система оценки результатов реализации</t>
  </si>
  <si>
    <t>Показатели должны быть выбраны ОР и членами СКК или Техническим комитетом СКК, см. Систему оценки результатов реализации</t>
  </si>
  <si>
    <t>Источник данных</t>
  </si>
  <si>
    <t>Измерение</t>
  </si>
  <si>
    <t>Определение</t>
  </si>
  <si>
    <t>Номер показателя: название (№ в Системе оценки результатов реализации)</t>
  </si>
  <si>
    <t>Проектные документы</t>
  </si>
  <si>
    <t xml:space="preserve">"Не начато" - Окончательное решение по юной лаборатории еще не принято; "Начато" - Тендер на строительную компанию запущен; "в процессе" - строительная компания отобрана, "Завершено" - подписан контракт со строительной компанией.  </t>
  </si>
  <si>
    <t>WPTM_2: Улучшение доступа к быстрой и высококачественной диагностике ТБ в южном регионе через строительство новой модульной лаборатории третьего уровня биологической безопасности расположенной на территории ООЦБТ.  Цель на 2021 год: Отобрана и законтрактирована строительная фирма для строительства модульной лаборатории</t>
  </si>
  <si>
    <t>Программные документы, Отчетный инструмент  относится к форме ТБ 06, табл. 1. </t>
  </si>
  <si>
    <t xml:space="preserve">Числитель: количество всех ТБ случаев (бактериологически подтвержденных и клинически диагностированных), новых и ранее леченых, получавших лечение на амбулаторном уровне (период их госпитализации составил менее 30 дней) в отчетный период  Знаменатель: Общее количество всех ТБ случаев (бактериологически подтвержденных и клинически диагностированных), новых и ранее леченых, зарегистрированных и начавших лечение в течение отчетного периода. </t>
  </si>
  <si>
    <t xml:space="preserve">"Начато"- План по расширению лечения на амбулаторном уровне в КР на период 2021-2023 года одобрен МЗ КР; "В процессе" - Создана рабочая группа по реализацию Плана; "Завершено" - 23% больных с туберкулезом получают лечение исключительно на амбулаторном уровне. </t>
  </si>
  <si>
    <t>WPTM_1: Реализация плана по расширению лечения на амбулаторном уровне: К концу 2023 года 23% больных с туберкулезом получают лечение исключительно на амбулаторном уровне</t>
  </si>
  <si>
    <t>Отчетный инструмент  относится к форме ТБ 06, табл. 3а и 3б. </t>
  </si>
  <si>
    <t>Числитель: Количество подтвержденных РУ/МЛУ ТБ случаев протестированных на устойчивость к препаратам второго ряда в отчетный период. Знаменатель: Общее количество подтвержденных случаев РУ/МЛУ, зарегистрированных в отчетный период. </t>
  </si>
  <si>
    <t>Измеряется количество подтвержденных РУ/МЛУ ТБ случаев, протестированных на устойчивость к  препаратам второго ряда в отчетный период любым методом (Хайн-тест 2го ряда или фенотипический ТЛЧ). </t>
  </si>
  <si>
    <t>MDR TB-7: Процент подтвержденных МЛУ-ТБ случаев, протестированных на чувствительность к фторхинолонам и инъекционным препаратам второго ряда</t>
  </si>
  <si>
    <t>База данных МЛУ-ТБ НЦФ РЦИиЭ</t>
  </si>
  <si>
    <t>Измеряется в абсолютных числах  на основании ежеквартальных статистических данных РЦИиЭ НЦФ.</t>
  </si>
  <si>
    <t xml:space="preserve">Кыргызстан сфокусирован на достижении целей ООН; исходя из ресурсов и возможностей национальной противотуберкулезной программы ожидается, что охват составит 80% от целей ООН. Индикатор включает абсолютное число всех лабораторно-подтвержденных и предполагаемых (клинических) случаев РУ/МЛУ/ШЛУ ТБ, взятых на лечение препаратами второго ряда в отчетный период. Основываясь на историческом разрыве между числом выявленных ТБ случаев и числом случаев, взятых на лечение, ожидается, что в первый год будет охвачено 95% от всех зарегистрированных случаев ТБ. </t>
  </si>
  <si>
    <t>MDR TB-3: Количество случаев с РУ/МЛУ ТБ, начавших лечение препаратами второго ряда</t>
  </si>
  <si>
    <t>Отчетный инструмент  относится к форме ТБ 06 У, табл. 1. </t>
  </si>
  <si>
    <t xml:space="preserve">Кыргызстан сфокусирован на достижении целей ООН; исходя из ресурсов и возможностей национальной противотуберкулезной программы ожидается, что охват составит 80% от целей ООН.  Абсолютное количество бактериологически подтвержденных случаев ЛУ РУ ТБ и/или МЛУ/ШЛУ (включая ШЛУ), зарегистрированных за отчетный период.                                      
</t>
  </si>
  <si>
    <t>MDR TB-2: Количество бактериологически подтвержденных зарегистрированных ЛУ-ТБ случаев (РУ-ТБ и/или МЛУ-ТБ)</t>
  </si>
  <si>
    <t>Отчетный инструмент  относится к форме ТБ 06, табл. 1. </t>
  </si>
  <si>
    <t>Данные в разбивке по возрасту и полу указать в примечаниях</t>
  </si>
  <si>
    <t xml:space="preserve">Числитель: Кол-во ТБ пациентов, зарегистрированных в отчетный период, имеющих ТЛЧ результат. Охват методами ТЛЧ включает как быстрые молекулярные тесты (Xpert  MBT Rif), так и стандартные культуральные тесты. Знаменатель: Общее количество зарегистрированных ТБ случаев в этом же году; знаменатель включает все бактериологически подтвержденные новые и ранее леченые ТБ случаи. </t>
  </si>
  <si>
    <t>MDR TB-6: Процент ТБ пациентов с результатом ТЛЧ как минимум к рифампицину среди общего количества зарегистрированных (новых и ранее леченных) случаев том же году.</t>
  </si>
  <si>
    <t>Знаменатель: Фактическое число ЛЖВ с впервые или повторно выявленным ТБ, зарегистрированных за отчетный период.</t>
  </si>
  <si>
    <t>Определение (на основании Плана мониторинга и оценки)</t>
  </si>
  <si>
    <t>Показатель по ТБ</t>
  </si>
  <si>
    <t>Данные РЦ СПИД, программа ЭС.</t>
  </si>
  <si>
    <t>Не куммулятивный: Числитель: количество ЛЖВ с впервые выявленным ТБ или с рецидивом ТБ , которые начали противотуберкулезное лечение при этом уже получают АРТ, или среди тех кто начал АРТ во время лечения туберкулеза, в течение отчетного периода.</t>
  </si>
  <si>
    <t xml:space="preserve">Процент ВИЧ-положительных новых и рецидивирующих больных туберкулезом, которые начали лечение ТБ в течение отчетного периода, которые уже получают АРТ или начавшие АРТ во время лечения ТБ. </t>
  </si>
  <si>
    <t xml:space="preserve">TB/HIV-6⁽ᴹ⁾ Процент ВИЧ-позитивных пациентов с новым и/или рецидивным туберкулезом, получающих АРТ во время лечения туберкулеза </t>
  </si>
  <si>
    <t>Данные РЦ СПИД, ЭС.</t>
  </si>
  <si>
    <t xml:space="preserve">Не куммулятивный: Числитель: Количество отвечающих критериям МСМ, которые начали ДКП* в течение отчетного периода. 
*К людям, которые начали ДКП, относятся те, кто начал ДКП впервые, и те, кто, возможно, прекратил ДКП и возобновил ДКП в отчетный период. 
Критериями для начала ДКП будет: ВИЧ-отрицательный статус, отсутствие признаков и симптомов острой ВИЧ-инфекции, а также наличие у МСМ высокого риска заразиться ВИЧ и возможная польза от ДКП. Все дополнительные критерии будут зависеть от контекста и будут основываться на критериях, описанных в национальном клиническом протоколе. </t>
  </si>
  <si>
    <t>Процент МСМ, начавших ДКП в течении отчетного периода из числа запланированных (150 МСМ будут получать ДКП ежегодно).</t>
  </si>
  <si>
    <t>KP-6a Процент МСМ, подходящих по критериям для начала доконтактной профилактики (ДКП), которые начали антиретровирусную ДКП в течение отчетного периода</t>
  </si>
  <si>
    <t>Отчетная документация организаций - СР (ежеквартально), БД МИС.</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</si>
  <si>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МСМ, прошедших тестирование и знающих свои результаты за отчетный период; знаменатель: оценочное количество МСМ за 2016 г. </t>
  </si>
  <si>
    <t>Процент МСМ, прошедших тестирование на ВИЧ и получивших после-тестовое консультирование.</t>
  </si>
  <si>
    <t>HTS-3a⁽ᴹ⁾ Процент МСМ, протестированных на ВИЧ за отчетный период и знающих свой результат</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</si>
  <si>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СР, прошедших тестирование и знающих свои результаты за отчетный период; знаменатель: оценочное количество СР за 2013 г. </t>
  </si>
  <si>
    <t>Процент СР, прошедших тестирование на ВИЧ и получивших после-тестовое консультирование.</t>
  </si>
  <si>
    <t>HTS-3c⁽ᴹ⁾ Процент СР, протестированных на ВИЧ за отчетный период и знающих свой результат</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</si>
  <si>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ЛУИН, прошедших тестирование и знающих свои результаты за отчетный период; знаменатель: оценочное количество ЛУИН за 2013 г. </t>
  </si>
  <si>
    <t>Процент ЛУИН, прошедших тестирование на ВИЧ и получивших после-тестовое консультирование.</t>
  </si>
  <si>
    <t>HTS-3d⁽ᴹ⁾ Процент ЛУИН, протестированных на ВИЧ за отчетный период и знающих свой результат</t>
  </si>
  <si>
    <t>Отчетная документация организаций - СР (ежеквартально), БД МИС</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</si>
  <si>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охваченных минимальным пакетом МСМ за отчетный период; знаменатель: оценочное количество МСМ за 2016 г. 		</t>
  </si>
  <si>
    <t>Процент МСМ, которые получили хотя бы один раз минимальный пакет услуг в течение отчетного периода из оценочного числа МСМ. Под «минимальным пакетом» понимаются перечисленные ниже услуги: предоставление презервативов, тематических информационных материалов виде брошюр и/или бесед и/или консультирование.</t>
  </si>
  <si>
    <t>KP-1a⁽ᴹ⁾ Процент МСМ, охваченных программами по профилактике ВИЧ - минимальный пакет услуг</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</si>
  <si>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охваченных минимальным пакетом СР за отчетный период; знаменатель: оценочное количество СР за 2013 г. 		</t>
  </si>
  <si>
    <t>Процент СР, которые получили хотя бы один раз минимальный пакет услуг в течение отчетного периода из оценочного числа СР. Под «минимальным пакетом» понимаются перечисленные ниже услуги: предоставление презервативов, тематических информационных материалов виде брошюр и/или бесед и/или консультирование .</t>
  </si>
  <si>
    <t>KP-1c⁽ᴹ⁾ Процент СР, охваченных программами по профилактике ВИЧ - минимальный пакет услуг</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</si>
  <si>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ЛУИН, прошедших тестирование и знающих свои результаты за отчетный период, включая заключенных ЛУИН и клиентов ОЗТ; знаменатель: оценочное количество ЛУИН за 2013 г. </t>
  </si>
  <si>
    <t>Процент заключенных, прошедших тестирование на ВИЧ и получивших после-тестовое консультирование.</t>
  </si>
  <si>
    <t>HTS-3f⁽ᴹ⁾ Количество людей в тюрьмах или других закрытых учреждениях, которые прошли тест на ВИЧ в течение отчетного периода и знают свои результаты</t>
  </si>
  <si>
    <t>Данные РЦН, ЭРЗПТ</t>
  </si>
  <si>
    <t xml:space="preserve">Не куммулятивный. Числитель: количество  ЛУИН (новых), начавших лечение в период, предшествующий отчетному, включая тех, которые умерли после начала лечения, которые прекратили лечение, и тех, за кем был утрачен контроль через 6 месяцев, а также по числу ЛУИН продолжающих непрерывный курс ПТМ лечения спустя 6 месяцев после его начала, по стране включая ГСИН, знаменатель: количество ЛУИН, которые  были вовлечены в программу ОЗТ за период, предшествующий отчетному.		</t>
  </si>
  <si>
    <t>Индикатор отражает приверженность/удержание на опиоидной заместительной терапии и охватывает гражданский и пенитенциарный системы (по стране). </t>
  </si>
  <si>
    <t>KP-5 Процент ЛУИН, получающих ОЗТ, которые находятся на лечении не менее 6 месяцев после начала лечения</t>
  </si>
  <si>
    <t>Числитель: Число ЛЖВ, получающих АРТ на конец отчетного периода.
Знаменатель: Оценочное число ЛЖВ.
Данные необходимо направлять в разбивке по полу, возрасту, указывать продолжительность лечения и принадлежность к ключевой группе.</t>
  </si>
  <si>
    <t xml:space="preserve">Индикатор отражает процент  лиц, получающих АРТ на конец отчетного периода из оценочного количества ЛЖВ. </t>
  </si>
  <si>
    <t>TCS-1.1⁽ᴹ⁾ Процент людей, получающих АРТ, среди всех людей, живущих с ВИЧ, на конец отчетного периода</t>
  </si>
  <si>
    <t>Индикатор не кумулятивный, состоит из двух частей. Числитель: Число людей, находящихся на АРТ на конец отчетного периода, знаменатель: оценочное число ЛЖВ по Спектруму. </t>
  </si>
  <si>
    <t>Индикатор отражает процент  лиц с известным статусом на конец отчетного периода получающие АРТ в соответствии с утвержденным национальным протоколом лечения из оценочного числа ЛЖВ. </t>
  </si>
  <si>
    <t>HTS-5 Процент людей с впервые выявленным ВИЧ, начавших АРТ</t>
  </si>
  <si>
    <t xml:space="preserve">Не кумулятивный, данные от СР представляются в абсолютных числах.На уровне ОР осуществляется кумуляция данных и расчеты в процентах. Числитель: количество охваченных минимальным пакетом ЛУИН за отчетный период, включая заключенных ЛУИН; знаменатель: оценочное количество ЛУИН за 2013 г. </t>
  </si>
  <si>
    <t>Индикатор  отражает процент ЛУИН из оценочного числа, которые хотя бы один раз в течении отчетного периода получили минимальный пакет услуг (шприцы, иглы, салфетки), презервативы и информационный материал (в виде информационных брошюр или информационных сессий).</t>
  </si>
  <si>
    <t>KP-1d⁽ᴹ⁾ Процент ЛУИН, охваченных программами по профилактике ВИЧ - минимальный пакет услуг</t>
  </si>
  <si>
    <t>Показатель по ВИЧ /СПИД</t>
  </si>
  <si>
    <t>Программные показатели (Система оценки результатов реализации)</t>
  </si>
  <si>
    <t>Документация ОР: складские данные</t>
  </si>
  <si>
    <t>Количество месяцев.</t>
  </si>
  <si>
    <t xml:space="preserve">Этот показатель демонстрирует разницу между уровнем текущих (или за последний месяц) запасов конкретной продукции (лекарственного препарата в единой комбинации с фиксированными дозами, москитных сеток, диагностических наборов и т.д.) в конкретном объеме, выраженном в месячной потребности (количество месяцев, в течение которых лечение может быть обеспечено имеющимися запасами) всех пациентов, охваченных программой, и резервным или буферным уровнем запасов (также выраженном  в месяцах), рассчитанным на основании программы по заболеванию, данных складской системы или списка основных лекарственных средств в отношении конкретного препарата и конкретной дозировки.  
Разница в месяцах показана в таблице различным цветом:
• КРАСНЫЙ: когда разница имеет отрицательное значение или равна нулю (0); это указывает на то, что имеющийся объем запасов в месяцах ниже установленного резервного уровня или равен ему.
• ЖЕЛТЫЙ: когда объем запасов выше резервного уровня (&gt;0), но ниже 3-х месячного уровня (+3).
• ЗЕЛЕНЫЙ: когда разница находится в пределах между 3 и 18 месяцами.
• ФИОЛЕТОВЫЙ: когда разница равна или больше 18 месяцев, что указывает на возможный избыток запасов.
Для ознакомления с полным описанием методики расчета этого показателя см. Руководство для пользователя.
</t>
  </si>
  <si>
    <r>
      <t xml:space="preserve">Примечание: </t>
    </r>
    <r>
      <rPr>
        <sz val="11"/>
        <color indexed="8"/>
        <rFont val="Arial"/>
        <family val="2"/>
      </rPr>
      <t xml:space="preserve">Категория 6 в ПФО не считается частью бюджета, предназначенной для закупки фармацевтических препаратов. Категория 6 включает несколько видов расходов, которые трудно разделить на составные части или измерить количественно, например, затраты на складское хранение, затраты на распределение продукции (в частности, когда распределение производится министерствами здравоохранения) и прочие затраты, относящиеся к текущим расходам в рамках системы управления закупками (СУЗ).  </t>
    </r>
  </si>
  <si>
    <r>
      <t>Утвержденный бюджет, определенный в грантовом соглашении (в отношении категорий 4 и 5 согласно Расширенному финансовому отчету в текущей фазе); финансовые данные ОР (в отношении расходов); данные отде</t>
    </r>
    <r>
      <rPr>
        <sz val="11"/>
        <rFont val="Arial"/>
        <family val="2"/>
      </rPr>
      <t>ла УСЗ (в отнош</t>
    </r>
    <r>
      <rPr>
        <sz val="11"/>
        <color indexed="8"/>
        <rFont val="Arial"/>
        <family val="2"/>
      </rPr>
      <t>ении размещенных заказов и проплаченных средств или финансовых обязательств).</t>
    </r>
  </si>
  <si>
    <t>Валюта финансирования гранта (долл. США или евро).</t>
  </si>
  <si>
    <r>
      <t xml:space="preserve">Этот показатель измеряет бюджет, утвержденный для закупки товаров медицинского назначения, медицинского оборудования, фармацевтических препаратов и лекарственных средств (категории 4 и 5, указанные в новом Подробном финансовом отчете </t>
    </r>
    <r>
      <rPr>
        <sz val="11"/>
        <color indexed="8"/>
        <rFont val="Symbol"/>
        <family val="1"/>
        <charset val="2"/>
      </rPr>
      <t>-</t>
    </r>
    <r>
      <rPr>
        <sz val="11"/>
        <color indexed="8"/>
        <rFont val="Arial"/>
        <family val="2"/>
      </rPr>
      <t xml:space="preserve"> ПФО) в текущей фазе гранта, а также общий объем финансовых обязательств и расходов до начала отчетного периода, отраженного в панели показателей.  
</t>
    </r>
    <r>
      <rPr>
        <b/>
        <sz val="11"/>
        <color indexed="8"/>
        <rFont val="Arial"/>
        <family val="2"/>
      </rPr>
      <t xml:space="preserve">Утвержденный </t>
    </r>
    <r>
      <rPr>
        <sz val="11"/>
        <color indexed="8"/>
        <rFont val="Arial"/>
        <family val="2"/>
      </rPr>
      <t>бюджет:</t>
    </r>
    <r>
      <rPr>
        <b/>
        <sz val="11"/>
        <color indexed="8"/>
        <rFont val="Arial"/>
        <family val="2"/>
      </rPr>
      <t xml:space="preserve"> </t>
    </r>
    <r>
      <rPr>
        <sz val="11"/>
        <color indexed="8"/>
        <rFont val="Arial"/>
        <family val="2"/>
      </rPr>
      <t xml:space="preserve">Общий утвержденный бюджет для осуществления закупок (по категориям 4 и 5) </t>
    </r>
    <r>
      <rPr>
        <b/>
        <i/>
        <sz val="11"/>
        <color indexed="8"/>
        <rFont val="Arial"/>
        <family val="2"/>
      </rPr>
      <t>для всей фазы</t>
    </r>
    <r>
      <rPr>
        <sz val="11"/>
        <color indexed="8"/>
        <rFont val="Arial"/>
        <family val="2"/>
      </rPr>
      <t xml:space="preserve"> гранта. Он не включает сборы, затраты на управление и операционные расходы и т.д.
</t>
    </r>
    <r>
      <rPr>
        <b/>
        <sz val="11"/>
        <color indexed="8"/>
        <rFont val="Arial"/>
        <family val="2"/>
      </rPr>
      <t>Совокупные обязательства:</t>
    </r>
    <r>
      <rPr>
        <sz val="11"/>
        <color indexed="8"/>
        <rFont val="Arial"/>
        <family val="2"/>
      </rPr>
      <t xml:space="preserve"> Общая сумма всех размещенных заказо</t>
    </r>
    <r>
      <rPr>
        <sz val="11"/>
        <rFont val="Arial"/>
        <family val="2"/>
      </rPr>
      <t>в и денежных средств, выделенны</t>
    </r>
    <r>
      <rPr>
        <sz val="11"/>
        <color indexed="8"/>
        <rFont val="Arial"/>
        <family val="2"/>
      </rPr>
      <t xml:space="preserve">х ОР на эти закупки </t>
    </r>
    <r>
      <rPr>
        <b/>
        <i/>
        <sz val="11"/>
        <color indexed="8"/>
        <rFont val="Arial"/>
        <family val="2"/>
      </rPr>
      <t>до</t>
    </r>
    <r>
      <rPr>
        <sz val="11"/>
        <color indexed="8"/>
        <rFont val="Arial"/>
        <family val="2"/>
      </rPr>
      <t xml:space="preserve"> начала отчетного периода, отраженного в панели показателей, </t>
    </r>
    <r>
      <rPr>
        <b/>
        <i/>
        <sz val="11"/>
        <color indexed="8"/>
        <rFont val="Arial"/>
        <family val="2"/>
      </rPr>
      <t>и включая</t>
    </r>
    <r>
      <rPr>
        <sz val="11"/>
        <color indexed="8"/>
        <rFont val="Arial"/>
        <family val="2"/>
      </rPr>
      <t xml:space="preserve"> этот период. В идеале к концу фазы величина бюджета должна соответствовать объему обязательств.
</t>
    </r>
    <r>
      <rPr>
        <b/>
        <sz val="11"/>
        <color indexed="8"/>
        <rFont val="Arial"/>
        <family val="2"/>
      </rPr>
      <t>Совокупные расходы:</t>
    </r>
    <r>
      <rPr>
        <sz val="11"/>
        <color indexed="8"/>
        <rFont val="Arial"/>
        <family val="2"/>
      </rPr>
      <t xml:space="preserve"> Общая сумма фактических расходов по категориям 4 и 5 </t>
    </r>
    <r>
      <rPr>
        <b/>
        <i/>
        <sz val="11"/>
        <color indexed="8"/>
        <rFont val="Arial"/>
        <family val="2"/>
      </rPr>
      <t xml:space="preserve">до </t>
    </r>
    <r>
      <rPr>
        <sz val="11"/>
        <color indexed="8"/>
        <rFont val="Arial"/>
        <family val="2"/>
      </rPr>
      <t>начала отчетного периода, отраженного в панели показателей,</t>
    </r>
    <r>
      <rPr>
        <b/>
        <i/>
        <sz val="11"/>
        <color indexed="8"/>
        <rFont val="Arial"/>
        <family val="2"/>
      </rPr>
      <t xml:space="preserve"> и включая </t>
    </r>
    <r>
      <rPr>
        <sz val="11"/>
        <color indexed="8"/>
        <rFont val="Arial"/>
        <family val="2"/>
      </rPr>
      <t>этот период (оплаченных ОР или разрешенных для оплаты другими учреждениями, такими как ГФ или другими).</t>
    </r>
  </si>
  <si>
    <t>Документация ОР и СР.</t>
  </si>
  <si>
    <t>Количество  полученных отчетов. Эта цифра отражает только отчетный период; она не является совокупной.</t>
  </si>
  <si>
    <t xml:space="preserve">Общее количество периодических отчетов СР для ОР и отчетов суб-СР (ССР) для СР, содержащих обновленную информацию о финансировании, управлении и осуществлении программ, и полученных к установленному сроку. "Полным" считается отчет, содержащий все данные, которые требует ОР для составления ИОР/ЗПС.
Контрольный срок устанавливается ОР и указывается в соглашениях с суб-реципиентами.  </t>
  </si>
  <si>
    <t>Документация ОР; соглашения с субреципиентами/ меморандум о взаимопонимании (МоВ); документация СКК.</t>
  </si>
  <si>
    <r>
      <t xml:space="preserve">Совокупное количество к данному отчетному периоду. СР </t>
    </r>
    <r>
      <rPr>
        <sz val="11"/>
        <color indexed="8"/>
        <rFont val="Symbol"/>
        <family val="1"/>
        <charset val="2"/>
      </rPr>
      <t>-</t>
    </r>
    <r>
      <rPr>
        <sz val="11"/>
        <color indexed="8"/>
        <rFont val="Arial"/>
        <family val="2"/>
      </rPr>
      <t xml:space="preserve"> это учреждение или программа со своим планом работы, бюджетом и целевыми показателями.</t>
    </r>
  </si>
  <si>
    <r>
      <rPr>
        <b/>
        <sz val="11"/>
        <color indexed="8"/>
        <rFont val="Arial"/>
        <family val="2"/>
      </rPr>
      <t>Определеные:</t>
    </r>
    <r>
      <rPr>
        <sz val="11"/>
        <color indexed="8"/>
        <rFont val="Arial"/>
        <family val="2"/>
      </rPr>
      <t xml:space="preserve"> Общее количество потенциальных СР, определенных ОР для данной фазы. </t>
    </r>
    <r>
      <rPr>
        <b/>
        <sz val="11"/>
        <color indexed="8"/>
        <rFont val="Arial"/>
        <family val="2"/>
      </rPr>
      <t>Прошли оценку:</t>
    </r>
    <r>
      <rPr>
        <sz val="11"/>
        <color indexed="8"/>
        <rFont val="Arial"/>
        <family val="2"/>
      </rPr>
      <t xml:space="preserve"> Общее количество потенциальных СР, уровень квалификации которых для выполнения функций СР для данного гранта получил положительную оценку ОР. </t>
    </r>
    <r>
      <rPr>
        <b/>
        <sz val="11"/>
        <color indexed="8"/>
        <rFont val="Arial"/>
        <family val="2"/>
      </rPr>
      <t>Одобренные:</t>
    </r>
    <r>
      <rPr>
        <sz val="11"/>
        <color indexed="8"/>
        <rFont val="Arial"/>
        <family val="2"/>
      </rPr>
      <t xml:space="preserve"> Общее количество одобренных СР. </t>
    </r>
    <r>
      <rPr>
        <b/>
        <sz val="11"/>
        <color indexed="8"/>
        <rFont val="Arial"/>
        <family val="2"/>
      </rPr>
      <t>Подписавшие соглашение:</t>
    </r>
    <r>
      <rPr>
        <sz val="11"/>
        <color indexed="8"/>
        <rFont val="Arial"/>
        <family val="2"/>
      </rPr>
      <t xml:space="preserve"> Общее количество  СР, подписавших соглашения/ контракты с ОР в рамках данного гранта. </t>
    </r>
    <r>
      <rPr>
        <b/>
        <sz val="11"/>
        <color indexed="8"/>
        <rFont val="Arial"/>
        <family val="2"/>
      </rPr>
      <t>П</t>
    </r>
    <r>
      <rPr>
        <b/>
        <sz val="11"/>
        <color indexed="8"/>
        <rFont val="Arial"/>
        <family val="2"/>
        <charset val="204"/>
      </rPr>
      <t>олучающие ф</t>
    </r>
    <r>
      <rPr>
        <b/>
        <sz val="11"/>
        <color indexed="8"/>
        <rFont val="Arial"/>
        <family val="2"/>
      </rPr>
      <t>инансирование:</t>
    </r>
    <r>
      <rPr>
        <sz val="11"/>
        <color indexed="8"/>
        <rFont val="Arial"/>
        <family val="2"/>
      </rPr>
      <t xml:space="preserve"> Общее количество  СР, получающих финансирование и/или поставки от ОР.
Количество определенных, квалифицированных, одобренных, подписавших соглашение и получающих финансирование СР, за исключением случаев:  
Когда продолжает действовать одобрение, полученное для Фазы I, если для назначения СР в Фазе II одобрение не требуется. 
Когда такой СР больше не входит в категорию потенциальных, квалифицированных и одобренных, если соглашение с СР было подписано в предыдущей Фазе, но  </t>
    </r>
    <r>
      <rPr>
        <b/>
        <sz val="11"/>
        <color indexed="8"/>
        <rFont val="Arial"/>
        <family val="2"/>
      </rPr>
      <t>не</t>
    </r>
    <r>
      <rPr>
        <sz val="11"/>
        <color indexed="8"/>
        <rFont val="Arial"/>
        <family val="2"/>
      </rPr>
      <t xml:space="preserve"> осуществляется в нынешней Фазе .</t>
    </r>
  </si>
  <si>
    <t xml:space="preserve">Документация ОР. </t>
  </si>
  <si>
    <t>Количество в текущем отчетном периоде.</t>
  </si>
  <si>
    <r>
      <t>Количество запланированных руководящих должностей в структуре ОР гранта, заполненных или вакантных в настоящее время.</t>
    </r>
    <r>
      <rPr>
        <sz val="11"/>
        <color indexed="8"/>
        <rFont val="Arial"/>
        <family val="2"/>
      </rPr>
      <t xml:space="preserve"> Эквивалентное значение продолжительности полного рабочего времени для </t>
    </r>
    <r>
      <rPr>
        <b/>
        <sz val="11"/>
        <color indexed="8"/>
        <rFont val="Arial"/>
        <family val="2"/>
      </rPr>
      <t>руководящих</t>
    </r>
    <r>
      <rPr>
        <sz val="11"/>
        <color indexed="8"/>
        <rFont val="Arial"/>
        <family val="2"/>
      </rPr>
      <t xml:space="preserve"> должностей, предусмотренных в структуре организации (или запланированных иным образом) и непосредственно ответственных за реализацию гранта в структуре ОР и ведущих СР (при необходимости). Сюда относятся недавно принятые на работу и имеющиеся сотрудники, которым поручено управление грантом, а также любой персонал, задействоованный из других подразделений или партнерских организаций.</t>
    </r>
  </si>
  <si>
    <t>Документы ОР; отчеты о результатах реализации гранта.</t>
  </si>
  <si>
    <t>Совокупное количество до начала отчетного периода, отраженного на панели показателей. Количество выполненных и невыполненных ПУ и/или ДУС должно быть равно общему количеству, установленному для гранта Глобальным фондом.</t>
  </si>
  <si>
    <r>
      <t xml:space="preserve">Количество выполненных или невыполненных Предварительных условий (ПУ) и Действий с установленным сроком исполнения (ДУС). 
</t>
    </r>
    <r>
      <rPr>
        <sz val="11"/>
        <color indexed="8"/>
        <rFont val="Arial"/>
        <family val="2"/>
      </rPr>
      <t>В категории показателей  "Невыполненные требования" мы различаем ПУ и ДУС с истекшим и неистекшим сроком исполнения.</t>
    </r>
  </si>
  <si>
    <t>Источники Данных</t>
  </si>
  <si>
    <t>Наименование:</t>
  </si>
  <si>
    <t>Управление</t>
  </si>
  <si>
    <t>Электронная почта и документация ОР, МАФ и ГФ; банковские уведомления или расписки ОР в получении средств ГФ; отчеты СР основному реципиенту, составленные на основе банковских документов.</t>
  </si>
  <si>
    <r>
      <t xml:space="preserve">Количество  календарных дней; этот показатель </t>
    </r>
    <r>
      <rPr>
        <b/>
        <sz val="11"/>
        <color indexed="8"/>
        <rFont val="Arial"/>
        <family val="2"/>
      </rPr>
      <t>не является совокупным</t>
    </r>
    <r>
      <rPr>
        <sz val="11"/>
        <color indexed="8"/>
        <rFont val="Arial"/>
        <family val="2"/>
      </rPr>
      <t xml:space="preserve"> и относится только к тому отчетному периоду, на который был получен последний платеж.</t>
    </r>
  </si>
  <si>
    <r>
      <t xml:space="preserve">Сколько дней понадобилось для подачи ИОР/ЗПС в офис МАФ </t>
    </r>
    <r>
      <rPr>
        <b/>
        <sz val="11"/>
        <color indexed="53"/>
        <rFont val="Arial"/>
        <family val="2"/>
      </rPr>
      <t xml:space="preserve"> </t>
    </r>
    <r>
      <rPr>
        <sz val="11"/>
        <color indexed="8"/>
        <rFont val="Arial"/>
        <family val="2"/>
      </rPr>
      <t xml:space="preserve">– этот показатель измеряет количество календарных дней, потребовавшихся ОР для направления местному агенту Фонда (МАФ) окончательных вариантов Итоговой оценки результатов и Запроса на перевод средств (ИОР/ЗПС) после завершения периода. "Окончательными" считаются ИОР/ЗПС, по которым МАФ не запрашивает каких-либо дополнительных уточняющих данных от ОР. Предполагаемый срок составляет 45 дней после завершения периода, указанного в грантовом соглашении.                                                                                                                                                Фактическй срок равен количеству дней, истекших с даты завершения периода и до даты предоставления основным реципиентом окончательных ИОР/ЗПС в офис МАФ.  </t>
    </r>
    <r>
      <rPr>
        <b/>
        <sz val="11"/>
        <color indexed="8"/>
        <rFont val="Arial"/>
        <family val="2"/>
      </rPr>
      <t xml:space="preserve">
Спустя сколько дней ОР получил платеж</t>
    </r>
    <r>
      <rPr>
        <sz val="11"/>
        <color indexed="8"/>
        <rFont val="Arial"/>
        <family val="2"/>
      </rPr>
      <t xml:space="preserve"> – этот показатель измеряет количество календарных дней,  потребовавшихся Глобальному фонду для последней выплаты на счет ОР после того, как МАФ получил  отвечающий требованиям ИОР/ЗПС. 
Предполагаемый срок составляет 45 дней. 
Фактический срок равен числу дней, истекших с даты направления основным реципиентом отвечающего требованиям ИОР/ЗПС в офис МАФ и до поступления платежа на банковской счет ОР.   </t>
    </r>
    <r>
      <rPr>
        <b/>
        <sz val="11"/>
        <color indexed="8"/>
        <rFont val="Arial"/>
        <family val="2"/>
      </rPr>
      <t xml:space="preserve">
Спустя сколько дней суб-реципиенты получили платежи</t>
    </r>
    <r>
      <rPr>
        <sz val="11"/>
        <color indexed="8"/>
        <rFont val="Arial"/>
        <family val="2"/>
      </rPr>
      <t xml:space="preserve"> – этот показатель измеряет среднее количество дней, потребовавшихся для осуществления платежей всем СР.
Предполагаемый срок определяется на местах основным реципиентом и субреципиентами, желательно в Руководстве по грантовым операциям. 
Фактический срок равен среднему количеству дней, истекших с даты получения платежа ГФ основным реципиентом и до даты получения средств каждым СР. Различные СР могут получать средства в различные даты, и этот показатель является средней величиной в отношении последней выплаты всем СР.</t>
    </r>
  </si>
  <si>
    <r>
      <rPr>
        <sz val="11"/>
        <rFont val="Arial"/>
        <family val="2"/>
      </rPr>
      <t>ОПР/ЗПС</t>
    </r>
    <r>
      <rPr>
        <sz val="11"/>
        <color indexed="8"/>
        <rFont val="Arial"/>
        <family val="2"/>
      </rPr>
      <t>; данные ОР; отчеты СР  основному реципиенту.</t>
    </r>
  </si>
  <si>
    <r>
      <t xml:space="preserve">Валюта финансирования гранта (долл. США или евро)                                                • </t>
    </r>
    <r>
      <rPr>
        <b/>
        <sz val="11"/>
        <color indexed="8"/>
        <rFont val="Arial"/>
        <family val="2"/>
      </rPr>
      <t>Отчетный период</t>
    </r>
    <r>
      <rPr>
        <sz val="11"/>
        <color indexed="8"/>
        <rFont val="Arial"/>
        <family val="2"/>
      </rPr>
      <t xml:space="preserve">  – Цифры отражают бюджет, выплаты или расходы за отчетный период, показанный на панели показателей.
• </t>
    </r>
    <r>
      <rPr>
        <b/>
        <sz val="11"/>
        <color indexed="8"/>
        <rFont val="Arial"/>
        <family val="2"/>
      </rPr>
      <t>До начала отчетного периода</t>
    </r>
    <r>
      <rPr>
        <sz val="11"/>
        <color indexed="8"/>
        <rFont val="Arial"/>
        <family val="2"/>
      </rPr>
      <t xml:space="preserve"> - Цифры отражают общий бюджет, выплаты или расходы за все периоды до начала текущего периода, </t>
    </r>
    <r>
      <rPr>
        <b/>
        <i/>
        <sz val="11"/>
        <color indexed="8"/>
        <rFont val="Arial"/>
        <family val="2"/>
      </rPr>
      <t xml:space="preserve">не включая </t>
    </r>
    <r>
      <rPr>
        <sz val="11"/>
        <color indexed="8"/>
        <rFont val="Arial"/>
        <family val="2"/>
      </rPr>
      <t>его.</t>
    </r>
  </si>
  <si>
    <r>
      <t>Выплаты ГФ: До начала данного отчетного периода:</t>
    </r>
    <r>
      <rPr>
        <sz val="11"/>
        <color indexed="8"/>
        <rFont val="Arial"/>
        <family val="2"/>
      </rPr>
      <t xml:space="preserve"> Сумма средств, переведенных Глобальныи Фондом на расчетный счет ОР или выплаченных непосредственно поставщикам (например, лекарственных средств, оборудования, москитных сеток) до начала отчетного периода, отраженного на панели показателей, </t>
    </r>
    <r>
      <rPr>
        <b/>
        <i/>
        <sz val="11"/>
        <color indexed="8"/>
        <rFont val="Arial"/>
        <family val="2"/>
      </rPr>
      <t xml:space="preserve">но не включая </t>
    </r>
    <r>
      <rPr>
        <sz val="11"/>
        <color indexed="8"/>
        <rFont val="Arial"/>
        <family val="2"/>
      </rPr>
      <t xml:space="preserve">этот период.  </t>
    </r>
    <r>
      <rPr>
        <b/>
        <sz val="11"/>
        <color indexed="8"/>
        <rFont val="Arial"/>
        <family val="2"/>
      </rPr>
      <t>Выплаты ГФ:</t>
    </r>
    <r>
      <rPr>
        <sz val="11"/>
        <color indexed="8"/>
        <rFont val="Arial"/>
        <family val="2"/>
      </rPr>
      <t xml:space="preserve"> </t>
    </r>
    <r>
      <rPr>
        <b/>
        <sz val="11"/>
        <color indexed="8"/>
        <rFont val="Arial"/>
        <family val="2"/>
      </rPr>
      <t>Отчетный период:</t>
    </r>
    <r>
      <rPr>
        <sz val="11"/>
        <color indexed="8"/>
        <rFont val="Arial"/>
        <family val="2"/>
      </rPr>
      <t xml:space="preserve"> Сумма средств, переведенных Глобальныи Фондом на расчетный счет ОР или выплаченных непосредственно поставщикам (например, лекарственных средств, оборудования, москитных сеток) в течение отчетного периода, отраженного на панели показателей. 
</t>
    </r>
    <r>
      <rPr>
        <b/>
        <sz val="11"/>
        <color indexed="8"/>
        <rFont val="Arial"/>
        <family val="2"/>
      </rPr>
      <t>Выплаты ОР и расходы :</t>
    </r>
    <r>
      <rPr>
        <sz val="11"/>
        <color indexed="8"/>
        <rFont val="Arial"/>
        <family val="2"/>
      </rPr>
      <t xml:space="preserve"> </t>
    </r>
    <r>
      <rPr>
        <b/>
        <sz val="11"/>
        <color indexed="8"/>
        <rFont val="Arial"/>
        <family val="2"/>
      </rPr>
      <t>До начала данного отчетного периода:</t>
    </r>
    <r>
      <rPr>
        <sz val="11"/>
        <color indexed="8"/>
        <rFont val="Arial"/>
        <family val="2"/>
      </rPr>
      <t xml:space="preserve"> Общая сумма средств, указанных в отчетах как израсходованные ОР и/или выплаченные субреципиентам до начала отчетного периода, отраженного на панели показателей, </t>
    </r>
    <r>
      <rPr>
        <b/>
        <i/>
        <sz val="11"/>
        <color indexed="8"/>
        <rFont val="Arial"/>
        <family val="2"/>
      </rPr>
      <t>но не включая</t>
    </r>
    <r>
      <rPr>
        <sz val="11"/>
        <color indexed="8"/>
        <rFont val="Arial"/>
        <family val="2"/>
      </rPr>
      <t xml:space="preserve"> данный период.  </t>
    </r>
    <r>
      <rPr>
        <b/>
        <sz val="11"/>
        <color indexed="8"/>
        <rFont val="Arial"/>
        <family val="2"/>
      </rPr>
      <t>Выплаты ОР и расходы: Отчетный период:</t>
    </r>
    <r>
      <rPr>
        <sz val="11"/>
        <color indexed="8"/>
        <rFont val="Arial"/>
        <family val="2"/>
      </rPr>
      <t xml:space="preserve"> Общая сумма средств, указанных в отчетах как израсходованные ОР и/или выплаченные субреципиентам в течение отчетного периода, отраженного на панели показателей.</t>
    </r>
    <r>
      <rPr>
        <b/>
        <sz val="11"/>
        <color indexed="8"/>
        <rFont val="Arial"/>
        <family val="2"/>
      </rPr>
      <t xml:space="preserve">
Выплаты субреципиентам: До начала данного отчетного периода: </t>
    </r>
    <r>
      <rPr>
        <sz val="11"/>
        <color indexed="8"/>
        <rFont val="Arial"/>
        <family val="2"/>
      </rPr>
      <t xml:space="preserve">Общая сумма средств, переведенных ОР субреципиентам до начала отчетного периода, отраженного на панели показателей, но не включая данный период.  </t>
    </r>
    <r>
      <rPr>
        <b/>
        <sz val="11"/>
        <color indexed="8"/>
        <rFont val="Arial"/>
        <family val="2"/>
      </rPr>
      <t xml:space="preserve">Выплаты субреципиентам: Отчетный период: </t>
    </r>
    <r>
      <rPr>
        <sz val="11"/>
        <color indexed="8"/>
        <rFont val="Arial"/>
        <family val="2"/>
      </rPr>
      <t xml:space="preserve">Общая сумма средств, переведенных ОР субреципиентам в течение отчетного периода, отраженного на панели показателей. </t>
    </r>
    <r>
      <rPr>
        <b/>
        <sz val="11"/>
        <color indexed="8"/>
        <rFont val="Arial"/>
        <family val="2"/>
      </rPr>
      <t xml:space="preserve">
Расходы субреципиентов: До начала данного отчетного периода: </t>
    </r>
    <r>
      <rPr>
        <sz val="11"/>
        <color indexed="8"/>
        <rFont val="Arial"/>
        <family val="2"/>
      </rPr>
      <t xml:space="preserve">Общая сумма расходов, указанных в отчетах СР, до начала отчетного периода, отраженного на панели показателей, </t>
    </r>
    <r>
      <rPr>
        <b/>
        <i/>
        <sz val="11"/>
        <color indexed="8"/>
        <rFont val="Arial"/>
        <family val="2"/>
      </rPr>
      <t>но не включая</t>
    </r>
    <r>
      <rPr>
        <sz val="11"/>
        <color indexed="8"/>
        <rFont val="Arial"/>
        <family val="2"/>
      </rPr>
      <t xml:space="preserve"> данный период.  </t>
    </r>
    <r>
      <rPr>
        <b/>
        <sz val="11"/>
        <color indexed="8"/>
        <rFont val="Arial"/>
        <family val="2"/>
      </rPr>
      <t>Расходы субреципиентов: Отчетный период:</t>
    </r>
    <r>
      <rPr>
        <sz val="11"/>
        <color indexed="8"/>
        <rFont val="Arial"/>
        <family val="2"/>
      </rPr>
      <t xml:space="preserve"> Общая сумма расходов, указанных в отчетах СР, в течение отчетного периода, отраженного на панели показателей.</t>
    </r>
  </si>
  <si>
    <t>Банковская или бухгалтерская информация ОР; уведомления ГФ о выплате средств; ОПР/ЗПС; веб-сайт ГФ.</t>
  </si>
  <si>
    <r>
      <t xml:space="preserve">• </t>
    </r>
    <r>
      <rPr>
        <b/>
        <sz val="11"/>
        <color indexed="8"/>
        <rFont val="Arial"/>
        <family val="2"/>
      </rPr>
      <t>Совокупный</t>
    </r>
    <r>
      <rPr>
        <sz val="11"/>
        <color indexed="8"/>
        <rFont val="Arial"/>
        <family val="2"/>
      </rPr>
      <t xml:space="preserve"> – Цифры отражают бюджет, выплаты или расходы за все периоды данной фазы до начала отчетного периода, показанного на панели показателей, включая данный период.</t>
    </r>
  </si>
  <si>
    <r>
      <t xml:space="preserve">Совокупный бюджет по задачам: </t>
    </r>
    <r>
      <rPr>
        <sz val="11"/>
        <color indexed="8"/>
        <rFont val="Arial"/>
        <family val="2"/>
      </rPr>
      <t xml:space="preserve">Сумма бюджета гранта </t>
    </r>
    <r>
      <rPr>
        <b/>
        <sz val="11"/>
        <color indexed="8"/>
        <rFont val="Arial"/>
        <family val="2"/>
      </rPr>
      <t>по задачам</t>
    </r>
    <r>
      <rPr>
        <sz val="11"/>
        <color indexed="8"/>
        <rFont val="Arial"/>
        <family val="2"/>
      </rPr>
      <t xml:space="preserve">, начиная с первого периода текущей фазы </t>
    </r>
    <r>
      <rPr>
        <b/>
        <i/>
        <sz val="11"/>
        <color indexed="8"/>
        <rFont val="Arial"/>
        <family val="2"/>
      </rPr>
      <t>и до</t>
    </r>
    <r>
      <rPr>
        <b/>
        <sz val="11"/>
        <color indexed="8"/>
        <rFont val="Arial"/>
        <family val="2"/>
      </rPr>
      <t xml:space="preserve"> </t>
    </r>
    <r>
      <rPr>
        <sz val="11"/>
        <color indexed="8"/>
        <rFont val="Arial"/>
        <family val="2"/>
      </rPr>
      <t>завершения</t>
    </r>
    <r>
      <rPr>
        <b/>
        <sz val="11"/>
        <color indexed="8"/>
        <rFont val="Arial"/>
        <family val="2"/>
      </rPr>
      <t xml:space="preserve"> </t>
    </r>
    <r>
      <rPr>
        <sz val="11"/>
        <color indexed="8"/>
        <rFont val="Arial"/>
        <family val="2"/>
      </rPr>
      <t xml:space="preserve">отчетного периода, отраженного на панели показателей, </t>
    </r>
    <r>
      <rPr>
        <b/>
        <i/>
        <sz val="11"/>
        <color indexed="8"/>
        <rFont val="Arial"/>
        <family val="2"/>
      </rPr>
      <t>включая</t>
    </r>
    <r>
      <rPr>
        <sz val="11"/>
        <color indexed="8"/>
        <rFont val="Arial"/>
        <family val="2"/>
      </rPr>
      <t xml:space="preserve"> данный период.  </t>
    </r>
    <r>
      <rPr>
        <b/>
        <sz val="11"/>
        <color indexed="8"/>
        <rFont val="Arial"/>
        <family val="2"/>
      </rPr>
      <t xml:space="preserve">
Совокупные расходы по задачам:</t>
    </r>
    <r>
      <rPr>
        <sz val="11"/>
        <color indexed="8"/>
        <rFont val="Arial"/>
        <family val="2"/>
      </rPr>
      <t xml:space="preserve"> Сумма средств </t>
    </r>
    <r>
      <rPr>
        <b/>
        <i/>
        <sz val="11"/>
        <color indexed="8"/>
        <rFont val="Arial"/>
        <family val="2"/>
      </rPr>
      <t>по задачам,</t>
    </r>
    <r>
      <rPr>
        <sz val="11"/>
        <color indexed="8"/>
        <rFont val="Arial"/>
        <family val="2"/>
      </rPr>
      <t xml:space="preserve"> израсходованных непосредственно ОР, а также средства, переведенные ОР всем субреципиентам (СР) с начала данной фазы и </t>
    </r>
    <r>
      <rPr>
        <b/>
        <i/>
        <sz val="11"/>
        <color indexed="8"/>
        <rFont val="Arial"/>
        <family val="2"/>
      </rPr>
      <t>до</t>
    </r>
    <r>
      <rPr>
        <sz val="11"/>
        <color indexed="8"/>
        <rFont val="Arial"/>
        <family val="2"/>
      </rPr>
      <t xml:space="preserve"> завершения отчетного периода, отраженного на панели показателей, </t>
    </r>
    <r>
      <rPr>
        <b/>
        <i/>
        <sz val="11"/>
        <color indexed="8"/>
        <rFont val="Arial"/>
        <family val="2"/>
      </rPr>
      <t>включая</t>
    </r>
    <r>
      <rPr>
        <sz val="11"/>
        <color indexed="8"/>
        <rFont val="Arial"/>
        <family val="2"/>
      </rPr>
      <t xml:space="preserve"> данный  период, по задачам. </t>
    </r>
  </si>
  <si>
    <t>Валюта финансирования гранта (долл. США или евро) Общая сумма – Цифры отражают бюджет и выплаты за все периоды данной фазы до начала отчетного периода, показанного на панели показателей, включая данный период.</t>
  </si>
  <si>
    <r>
      <t>Совокупный бюджет: Сумма</t>
    </r>
    <r>
      <rPr>
        <sz val="11"/>
        <color indexed="8"/>
        <rFont val="Arial"/>
        <family val="2"/>
      </rPr>
      <t xml:space="preserve"> бюджета гранта, начиная с периода одного (квартала, триместра, полугодия) текущей фазы и </t>
    </r>
    <r>
      <rPr>
        <b/>
        <i/>
        <sz val="11"/>
        <color indexed="8"/>
        <rFont val="Arial"/>
        <family val="2"/>
      </rPr>
      <t>до</t>
    </r>
    <r>
      <rPr>
        <sz val="11"/>
        <color indexed="8"/>
        <rFont val="Arial"/>
        <family val="2"/>
      </rPr>
      <t xml:space="preserve"> завершения отчетного периода, отраженного на панели показателей, </t>
    </r>
    <r>
      <rPr>
        <b/>
        <i/>
        <sz val="11"/>
        <color indexed="8"/>
        <rFont val="Arial"/>
        <family val="2"/>
      </rPr>
      <t>включая</t>
    </r>
    <r>
      <rPr>
        <sz val="11"/>
        <color indexed="8"/>
        <rFont val="Arial"/>
        <family val="2"/>
      </rPr>
      <t xml:space="preserve"> этот период. </t>
    </r>
    <r>
      <rPr>
        <b/>
        <sz val="11"/>
        <color indexed="8"/>
        <rFont val="Arial"/>
        <family val="2"/>
      </rPr>
      <t xml:space="preserve">
Совокупные выплаты Глобальным Фондом:</t>
    </r>
    <r>
      <rPr>
        <sz val="11"/>
        <color indexed="8"/>
        <rFont val="Arial"/>
        <family val="2"/>
      </rPr>
      <t xml:space="preserve"> Сумма всех средств, переведенных Глобальным фондом (ГФ) основному реципиенту (ОР) или выплаченных непосредственно поставщикам (например, лекарственных средств, оборудования, москитных сеток) и </t>
    </r>
    <r>
      <rPr>
        <b/>
        <i/>
        <sz val="11"/>
        <color indexed="8"/>
        <rFont val="Arial"/>
        <family val="2"/>
      </rPr>
      <t>до</t>
    </r>
    <r>
      <rPr>
        <sz val="11"/>
        <color indexed="8"/>
        <rFont val="Arial"/>
        <family val="2"/>
      </rPr>
      <t xml:space="preserve"> завершения отчетного периода, отраженного на панели показателей,</t>
    </r>
    <r>
      <rPr>
        <b/>
        <i/>
        <sz val="11"/>
        <color indexed="8"/>
        <rFont val="Arial"/>
        <family val="2"/>
      </rPr>
      <t xml:space="preserve"> включая </t>
    </r>
    <r>
      <rPr>
        <sz val="11"/>
        <color indexed="8"/>
        <rFont val="Arial"/>
        <family val="2"/>
      </rPr>
      <t xml:space="preserve">данный период.  </t>
    </r>
  </si>
  <si>
    <t>Финансирование</t>
  </si>
  <si>
    <t>Достигнуто</t>
  </si>
  <si>
    <t>Целевой показатель</t>
  </si>
  <si>
    <t>Таблица обновляется автоматически. Данные в эти ячейки не вводятся</t>
  </si>
  <si>
    <t xml:space="preserve">Начато </t>
  </si>
  <si>
    <t>Начато</t>
  </si>
  <si>
    <t xml:space="preserve">Достигнуто </t>
  </si>
  <si>
    <t xml:space="preserve">WPTM_1: Реализация плана по расширению лечения на амбулаторном уровне: К концу 2023 года 23% больных с туберкулезом получают лечение исключительно на амбулаторном уровне		</t>
  </si>
  <si>
    <t>да</t>
  </si>
  <si>
    <t>Топ 10</t>
  </si>
  <si>
    <t xml:space="preserve"> Топ 10</t>
  </si>
  <si>
    <t>MDR TB-3: Количество случаев с РУ/МЛУ ТБ, начавших лечение препаратами второго ряда</t>
  </si>
  <si>
    <t xml:space="preserve">MDR TB-2: Количество бактериологически подтвержденных зарегистрированных ЛУ-ТБ случаев (РУ-ТБ и/или МЛУ-ТБ)		</t>
  </si>
  <si>
    <t xml:space="preserve">     Введите данные о реализации программы в каждую ячейку желтого цвета.</t>
  </si>
  <si>
    <t>Информация о программе: ТБ</t>
  </si>
  <si>
    <t>Достигнуто </t>
  </si>
  <si>
    <t>с текущим грантом</t>
  </si>
  <si>
    <t>TB/HIV-6⁽ᴹ⁾ Процент ВИЧ-позитивных пациентов с новым и/или рецидивным туберкулезом, получающих АРТ во время лечения туберкулеза</t>
  </si>
  <si>
    <t xml:space="preserve"> с текущим грантом</t>
  </si>
  <si>
    <t>Информация о программе: ВИЧ/СПИД</t>
  </si>
  <si>
    <t>Деламанид 50 мг</t>
  </si>
  <si>
    <t>Бедаквилин 100 мг</t>
  </si>
  <si>
    <t>Линезолид 600 мг</t>
  </si>
  <si>
    <t>Имипенем500/Циластатин 500</t>
  </si>
  <si>
    <t>Клофаземин 100 мг</t>
  </si>
  <si>
    <t>Pyrazinamide  400mg  Таблетки без оболочки</t>
  </si>
  <si>
    <t>Pretomanid 200 mg Таблетки</t>
  </si>
  <si>
    <t>Protionamide   250mg  Таблетки в оболочке</t>
  </si>
  <si>
    <t>Moxifloxacin  400mg  Таблетки в оболочке</t>
  </si>
  <si>
    <t>Levofloxacin  250mg  Таблетки в оболочке</t>
  </si>
  <si>
    <t>Isoniazid  300mg  Таблетки без оболочки</t>
  </si>
  <si>
    <t>Ethambutol  400mg  Таблетки в оболочке</t>
  </si>
  <si>
    <t>Cycloserine  250mg  Капсулы</t>
  </si>
  <si>
    <t>Amikacin 500 mg/2 ml инъекции</t>
  </si>
  <si>
    <t>Kanamycin  1000mg  Порошок для инъекций</t>
  </si>
  <si>
    <t>Capreomycin  1000mg  Порошок для инъекций</t>
  </si>
  <si>
    <t>ВИЧ/СПИД</t>
  </si>
  <si>
    <t>РЦ СПИД\НЦФ</t>
  </si>
  <si>
    <t>ПРООН</t>
  </si>
  <si>
    <t>(8 = 6 - 7)
Разница между текущим и резерным запасами</t>
  </si>
  <si>
    <t xml:space="preserve">(7)
Уровень резервного запаса
(выраженный в месяцах по странам) </t>
  </si>
  <si>
    <t>(6 = 5 / 4)
Уровень запасов, выраженный в кол-ве месяцев лечения для всех имеющихся пациентов</t>
  </si>
  <si>
    <t>(5)
Текущие запасы на центральном складе (с действительным сроком годности на ближайшие 3 месяца)</t>
  </si>
  <si>
    <t>(4 = 2 x 3)
Общее кол-во таблеток, необходимое для всех пациентов на 1месяц</t>
  </si>
  <si>
    <t>(3)
Общее кол-во пациентов, получающих лечение</t>
  </si>
  <si>
    <t>(2 = 1 x 30)
Месячный курс лечения 
(кол-во таблеток на 1 пациента на 30 дней)</t>
  </si>
  <si>
    <t>(1)
Кол-во таблеток на 1 пациента в день
(см. Национальный протокол по лечению)</t>
  </si>
  <si>
    <t>Продукция</t>
  </si>
  <si>
    <t>Компонент</t>
  </si>
  <si>
    <t>M6: Разница между текущим и резервным запасами</t>
  </si>
  <si>
    <t>* Включает только категории 4 и 5 ПФО (товары медицинского назначения и медицинское оборудование, лекарственные средства и фармацевтические препараты)</t>
  </si>
  <si>
    <t>Общий объем расходов</t>
  </si>
  <si>
    <t>Общий объем финансовых обязательств</t>
  </si>
  <si>
    <t>Совокупный утвердженный бюджет*</t>
  </si>
  <si>
    <t>Расходы</t>
  </si>
  <si>
    <t>Финансовые обязательства</t>
  </si>
  <si>
    <t>Утвержденный бюджет*</t>
  </si>
  <si>
    <t>M5: Бюджет и закупки товаров медицинского назначения, медицинского оборудования,  лекарственных средств и фармацевтических препаратов</t>
  </si>
  <si>
    <t>Отчеты СР для ОР ТБ</t>
  </si>
  <si>
    <t>Отчеты ССР для СР ТБ</t>
  </si>
  <si>
    <t>Отчеты СР для ОР ВИЧ СПИД</t>
  </si>
  <si>
    <t>Отчеты ССР для СР ВИЧ/СПИД</t>
  </si>
  <si>
    <t>Незавершенные</t>
  </si>
  <si>
    <t>Полученное кол-во</t>
  </si>
  <si>
    <t>Ожидаемое кол-во</t>
  </si>
  <si>
    <t>M4: Количество полных отчетов, полученных к установленному сроку</t>
  </si>
  <si>
    <t>СР ТБ</t>
  </si>
  <si>
    <t>СР ВИЧ/СПИД</t>
  </si>
  <si>
    <t>Получающие финансирование</t>
  </si>
  <si>
    <t>Подписавшие соглашение</t>
  </si>
  <si>
    <t>Одобренные</t>
  </si>
  <si>
    <t>Прошедшие оценку</t>
  </si>
  <si>
    <t>Определеные</t>
  </si>
  <si>
    <t xml:space="preserve">M3: Контрактные соглашения (СР) </t>
  </si>
  <si>
    <t>Общее (оба компонента)</t>
  </si>
  <si>
    <t>Вакантно</t>
  </si>
  <si>
    <t>Заполнено</t>
  </si>
  <si>
    <t>Запланировано</t>
  </si>
  <si>
    <t>Отдел управления проектом</t>
  </si>
  <si>
    <t>M2: Статус ключевых руководящих должностей в структуре ОР</t>
  </si>
  <si>
    <t>Действия с установленным сроком исполнения (ДУС) ТБ</t>
  </si>
  <si>
    <t>Предварительные условия (ПУ) ТБ</t>
  </si>
  <si>
    <t>Действия с установленным сроком исполнения (ДУС) ВИЧ/СПИД</t>
  </si>
  <si>
    <t>Предварительные условия (ПУ) ВИЧ/СПИД</t>
  </si>
  <si>
    <t>Всего</t>
  </si>
  <si>
    <t>Невыполненные и просроченные</t>
  </si>
  <si>
    <t>Невыполненные, но непросроченные</t>
  </si>
  <si>
    <t>Выполненные</t>
  </si>
  <si>
    <t>M1: Статус Предварительных условий (ПУ) и Действий с установленным сроком исполнения (ДУС)</t>
  </si>
  <si>
    <t>Введите данные об управлении в каждую ячейку голубого цвета.</t>
  </si>
  <si>
    <t>Информация об управлении:</t>
  </si>
  <si>
    <t>н/п</t>
  </si>
  <si>
    <t>Спустя сколько дней суб-реципиенты получили платежи</t>
  </si>
  <si>
    <t xml:space="preserve">Спустя сколько дней ОР получил платеж </t>
  </si>
  <si>
    <t xml:space="preserve">Сколько дней понадобилось для подачи ИОР/ЗПС в офис МАФ </t>
  </si>
  <si>
    <t>Фактические (дни)</t>
  </si>
  <si>
    <t>Расчетные (дни)</t>
  </si>
  <si>
    <t>Последняя выплата средств: количество календарных дней</t>
  </si>
  <si>
    <t>F4: Последний отчетный и платежный цикл ОР</t>
  </si>
  <si>
    <t>Расходы субреципиентов</t>
  </si>
  <si>
    <t>Выплачено субреципиентам</t>
  </si>
  <si>
    <t>Расходы и платежи ОР</t>
  </si>
  <si>
    <t>Выплачено Глобальным фондом</t>
  </si>
  <si>
    <t>Текущий отчетный период</t>
  </si>
  <si>
    <t>До отчетного периода</t>
  </si>
  <si>
    <t>F3: Выплаты и расходы</t>
  </si>
  <si>
    <t>Всего:</t>
  </si>
  <si>
    <t>За отчетный период бюджет был израсходован на 62%:
- 779 904$ Суб-получателями: РЦКГВГВ, РЦПН, РЦУЗ, НЦФ, ЦРЗ  и 22  НПО (з/п координаторов, бухгалтеров, надбавки техничнским специалистам НЦФ, офисные и др.административные расходы)
- 1 875 240$ ПРООН на закуп мебели, IT оборудования,  расходы на проведение встреи с суб-получателями, на поездку в Женеву по обсуждению нового гранта, расходв ПРООН ОРП (з/п сотрудников, МиО визиты, аудит суб-получателей, офисные расходы, GMS)
При этом имеются фин.обязательства на 31.12.2023 на сумму 92 408$ на IT оборудование и GMS, относящийся ко всей сумме наоплаченных обязательств, которые будут оплачены в 2024 после доставки. 
Остаток неиспользованного бюджета относится к закупу IT оборудования для СП,  в виду того, что тендер на закупку ИТ-оборудования для проектных СР объявлялся трижды, контракт не заключался из-за поступления технически несоответствующих предложений; был отменен закуп 2х офисных машин для ПРООН; остаток неиспользованной суммы курсовой разницы, которую ГФ не разрешил использовать для бюджетной ревизии в виду того, что педложенные мероприятия не были включены в список PAAR, т.к. только мероприяти из PAAR, могут быть покрыты из экономии за счет курсовой разницы; неиспользованной сумме GMS, относящейся к неиспользованным остаткам бюджета по другим интервенциям</t>
  </si>
  <si>
    <t>Управление грантом</t>
  </si>
  <si>
    <t>За отчетный период бюджет был израсходован на 125%:
- 24 274$ Суб-получателями: РЦКГВГВ и РЦПН (проведение круглого стола по результатм БПИ, расходы на МиО и менторские визиты, оплаты консультантам МиО)
- 22 698$ ПРООН на мобильные карты для БПИ, на экспертов по разработке /адаптации протоколов по формативной оценке, БПИ и оценке численности среди СР в КР, расходы 4х участников для участия в Тбилиси в Региональном семинаре по повышению кчества анализа данных о распространенности ВИЧ-инфекции в КГН, расходы рабочей встречи по обсуждению результатов БПИ.
перерасход бюджета в виду того, что бюджет в рамках соглашения с РЦКВГВ был увеличен уже после того, как была проведена бюджетная ревизия гранта</t>
  </si>
  <si>
    <t>Регулярная отчетность</t>
  </si>
  <si>
    <t>Бюджет был использован на 29%.  Неиспользованный остаток бюджета, связанный с ремонтными работами Ошской туберкулёзной лаборатории. Затраты на ремонтные работы в Ошской туберкулёзной лаборатории были завышены, поскольку расчеты основывались на счете заказа, предоставленном IML RED GMBH (ВОЗ – Наднациональной справочной лабораторией туберкулеза), которую GIZ наняла для проведения ремонтных работ в Ошской туберкулёзной лаборатории.</t>
  </si>
  <si>
    <t>Системы управления инфраструктурой и оборудованием</t>
  </si>
  <si>
    <t>За отчетный период бюджет был израсходован на 118%:
- 15 0492$ Суб-получателями: РЦКГВГВ и ЦРЗ (на тренинги для лаборантов, выплаты консультантам для усиления методической и практической помощи медицинскому персоналу (врачам и медицинским сестрам) на уровне ПМСП)
- 80 418$ ПРООН на оплату эксперта по разработке программ тренингов для лаборантов и их проведения на тему Организация и внедрение системы менеджмента качества в лаборатории диагностики ВИЧ; расходы на данные тренинги; оплата иненера по ослуживанию и ремонту лабораторного оборудования; оплата эксперта по подготовке биологических станартноых образцов для контроля тестирования на ВИЧ; на услуги по ВОК для НРЛ. Перерасход бюджета в виду фактических высоких цен на обслуживание лабораторное оборудовнаие</t>
  </si>
  <si>
    <t>Системы менеджмента качества и аккредитация</t>
  </si>
  <si>
    <t xml:space="preserve">За отчетный период бюджет был израсходован на 105%:
- 144 6062$ Суб-получателями: РЦУЗ и 2  НПО (з/п уличным юристам, менторам, юристам, экспертам за разработку тренингового модуля "Школа ТБ пациентов", информационных документов "Дневник пациента", других ИОМ и видео материала, профильные тренинги, встречи с партнерами)
- 21 685$ ПРООН на тренинг для врачей ПМСП, сотрудников НПО и кейс-менеджеров; рабочую встречу с СП по реализации проектов по активному выявлению новых случаев ТБ; тренинг по правовым основам профилактических программ по ТБ для кейс-менеджеров и сотрудников НПО, круглый стол по внедрению вопросов профилактики ВИЧ и прав человека в деятельность судебных органов в КР, тренинг Школа пациентов и навыки эффективного консультирования.
При этом был получен второй транш страховки на сумму 3 712$  (общая сумма транша -1 млн) за сгоревшие товары под даннй интервенций в 2022 г во время пожара на складе. 
При этом имеются фин.обязательства на 31.12.2023 на сумму 4 752$ на закуп планшетов, которые будут оплачены в 2024 после доставки. </t>
  </si>
  <si>
    <t>Юридические услуги по ВИЧ и ВИЧ/ТБ</t>
  </si>
  <si>
    <t>За отчетный период бюджет был израсходован на 94%:
- 84 202$ Суб-получателями: 10  НПО (з/п аутрич и соц.работникам, кейс-мееджерам, специалистам по базе данных МИС, Администратор БД ReAct, психолог, продуктовые и гигиеннические пакеты, восстановление документов, профильные мини-сессии, поддержка в восстановление документов, оплата экспертам для проведения анализа реализации плана перехода на государственное финансирование, для проведения анализа осуществления государственных закупок в сфере ТБ, по разработке подзаконных актов по вопросам ВИЧ и ТБ в соответствии с утвержденными Законами "Об охране здоровья граждан КР" и "Об общественном здравоохранении",для анализа правоприменительных практик, Обновление нормативно-правовой базы, относящейся к профилакическим прграммам для КГН. Обновление Инструкции по профилактике ВИЧ и учебно-методического пособия "Теория и практика снижения вреда" для сотрудников МВД,  Обновление нормативно-правовой базы, относящейся к профилактическим прграммам для КГН, рабочей группы по пересмотру клинических протоколов по ИППП , для анализа и мониторинга исполнения Дорожной карты по переходу на государственное финансирование программ по ВИЧ, по внесение изменений в перечень жизненно важных лекарственных средств (ПЖВЛС) и программу государственных гарантий (ПГГ). Для лечения ВИЧ-инфекции, ТБ, ВГС, ЗГТ, ПТМ, лечению ИППП, вакцинации против ВГВ, для анализа положения\соблюдения прав ЛУИН, за проведение комплексного анализа ограничений получения личных документов для представителей ключевых групп населения по их преодолению, Разработка Межведомственных Инструкций  по обеспечению непрерывности услуг профилактики, лечения, ухода и поддержки для ЛЖВ, больных ТБ и \или представителей КГН, заключаемых под стражу, либо освобождающихся из мест лишения свободы,    Тренинги для личного состава по правам и Инструкции. Оплата тренерам, тренерам за проведение двух 2-х дневных тренинга  мед. работникам ПМСП (врачи-фтизиатры районных туб кабинетов) и ОЦБТ по вопросам стигмы и дискриминации, и прочие профильные тренинги, рабочие встречи, расходы на МиО )
- 241 427$ ПРООН на техническую поддержку: оплату эксперту за организацию обучающего тура в Вильнюс для сотрудников гос. мед и немедицинских органищаций, эксперту по проведению анализа НПА стран ближнего зарубежья для оценки доступности прохождения анализов при лечении лиц с ТБ в РФ и РК, эксперту по внедрению вопросов профилактики ВИЧ и прав человека в программы учебной подготовки судей, эксперта по разработке приказа МЗКР об утверждении алгоритма / инструкции выдачи ПТП на длительный срок в организациях здравоохранения и на базе сообществ лицам, находящимся на лечении по ТБ, на предоставлене услуг по адвокации и продвижению финансирования программы поддерживающей терапии метадоном из средств гос.бюджета. и т.п. расходны на профильные тренинги, встречи.</t>
  </si>
  <si>
    <t>Снижение стигмы и дискриминации (ВИЧ / ТБ)</t>
  </si>
  <si>
    <t>В рамках данной интервенции в 2023 г. было использовано 129% выделенного бюджета. Отклонение произошло главным образом из-за перерасхода средств на проведение форум для ЛЖВ, МСМ,ЛУИН,СР,к на страновом уровне из-за увеличения количества участников. Были произведены следующие основные расходы:
- 117 043$ Суб-получателями: 11 НПО (з/плата адвокатов, юристов, аутрич и соц.работников, МиО специалистов, консультантов по оказанию социальной поддержки освобожденным из мест лишения свободы, соответствующие  транпортные расходы, профильные мини-сессии, рабочие встречи, проведение тематический акций, разработка инфо-документов)
- 143 550$ ПРООН на траспортные расходы участников и конферен-услуги по проведению рабочего совещания по повышению эффективности противотуберкулезных мероприятий в Нарынской, Таласской областях; тренинга по обучению механизмам адвокации; национального форума гражданского общества, осуществляющего свою деятельность в сфере противодействия ВИЧ и ТБ; обучающий тур 15 участников  по продвижению и расширению услуг по ДКП среди КГН; проведение медиакампании в поддержку прав людей, живущих с ВИЧ, и снижения стигмы и дискриминации по отношению к ним; рабочей встрече по формированию благоприятной среды для расширения доступа к услугам с организациями, работающими с СР</t>
  </si>
  <si>
    <t>Мобилизация сообщества и адвокация (ВИЧ / ТБ)</t>
  </si>
  <si>
    <t>В рамках данной интервенции в 2023 г. бюджет был освоен на 70% и были произведены следующие основные расходы: закуп экспресс диагностических тестов на ВИЧ; перчаток; наборов реагентов тестов Monolisa HCV Ag-Ab; тестов для самодиагностики на ВИЧ OraQuick HIV Self-Test; экспресс-тестов OraQuick® HCV Rapid Antibody Test для определения антител к ВГС ; сопутствующие расходы на PSM. При этом был получен второй транш страховки на сумму 77 514$ (общая сумма транша -1 млн) за сгоревшие товары под даннй интервенций в 2022 г во время пожара на складе.
При этом имеются фин.обязательства на 31.12.2023 на сумму 3 765$, относящиеся к  расходам на перевозку. С учетом этих обязательств освоение бюджета составит 71%</t>
  </si>
  <si>
    <t>Тестирование в сообществах</t>
  </si>
  <si>
    <t>В рамках данной интервенции в 2023 г. было использовано 133% выделенного бюджета, т.к. были оплачены обязательства прошлого года по закупке иммуноферментных тест-систем, предназначенная для скрининга ВИЧ-инфекции.  Также были закуплены тесты ELISA.</t>
  </si>
  <si>
    <t>Тестирование в учреждениях</t>
  </si>
  <si>
    <t>За отчетный период бюджет был израсходован на 63%:
- 130 985$ Суб-получателями: РЦКГВГВ и 6  НПО (з/плата соц.работников и равных консультантов, врачей и м/сестер, работающих с ЛЖВ, врачей в ИК, врачей по улучшению ЭТ и врачей для ДКП на базе НПО, психологов, зам. координатора по лечению и уходу, мотивационные выплаты сотрудникам по достижению индикаторов в выявлении и эффектинов АРВ лечению от ВИЧ, )
- 29 641$ ПРООН на техническую поддержку для подготовки обучающего тура по продвижению и расширению усулг по ДКП среди КГН, расходы 8 участников обучающего тура в Вильнюс для сотрудников гос.мед организации и НПО по улучшению ОСТ и профилактике ВИЧ, на конферен-услуги по проведению тренинга по "Школе пациентов" и ее 6 модулям, использовнаия мобильного приложения HIVapp для КГН.
Остаток неиспользованного бюджета в основном связан с меньшими выплатами со стороны Суб-получателей персоналу из-за низких идентификационных показателей при участии в АРВ и удержании на лечении, а также  в виду того, что в рамках планов по улучшению показателей по ВИЧ и ТБ  было проведено меньше тренингов и привлечено меньше экспертов и консультантов, чем предполагалось</t>
  </si>
  <si>
    <t>Консультации и психосоциальная поддержка</t>
  </si>
  <si>
    <t xml:space="preserve">За отчетный период бюджет был израсходован на 174%:
- 68 6742$ Суб-получателями: РЦКГВГВ и 11  НПО (надбавка врачу-консультанту по мотивационным выплатам детям, живущим с ВИЧ, мотивационные выплаты детям с ВИЧ, продуктовые и гигиеннические пакеты, профильные мини-сессии, поддержка в восстановление документов)
- 1 363 926$ ПРООН на закуп АРВ препаратов, диагностических тестов для опре-деления вирусной нагрузки, картриджей, проточного цитофлуориметра, лабораторного холодильника-морозильника, автоклава, кабинета биобезопасности, медицинского аспиратора  и т.п.и соответствующие расходы на PSM, канц.товары и школьные принадлежности для детей, живущих с ВИЧ, продуктовые и гигиенические пакеты, траспортные расходы по доставке биоматериалов.
 Перерасход в данной интервенции в виду того, что также были закуплены тесты на геппатит и соответствующие  лекарства. Данная закупка была произвелена по дополнительному запросу от РЦКГВГВ за счет сэкономленных средств, образовашихся от курсовой разницы, которые вклбчены в бюджете под другой интервенцией, с разрешения ГФ. При этом был получен второй транш страховки на сумму 7 992$  (общая сумма транша -1 млн) за сгоревшие товары под даннй интервенций в 2022 г во время пожара на складе. 
При этом имеются фин.обязательства на 31.12.2023 на сумму 39 751$ на АРВ препараты и Витамин B6 и сопутствующие расходы на PSM, которые будут оплачены в 2024 после доставки. </t>
  </si>
  <si>
    <t>Дифференцированное предоставление услуг АРВТ и помощь при ВИЧ</t>
  </si>
  <si>
    <t>В рамках данной интервенции в 2023 г. было использовано 82% выделенного бюджета  и были произведены следующие основные расходы:
-  217 838$ Суб-получателями: 4 НПО (з/плата специалистов по работе с сообществом, врачей и м/сестер, психологов, кейс-менеджеров, МиО специалистов; соответствующие  транпортные расходы, онлайн-консультации, профильные мини-сессии, продуктовые и гигиенические пакеты, оплата за флюрографию, мотивационные выплаты пациентам за приверженность к лечению, и выплаты-пособия на интернет пациентам за видео-контролируемое лечение)
- 29 550$ ПРООН на МСКТ органов грудной клетки детям в Бишкеке, Оше и Жалал-Абаде; мобильные карты, продукты и гигиенические товары.
Неиспользованный бюджет в размере 54 322$ в основном относится к мотивационным выплатам пациентам за приверженность ввиду меньшего количества пациентов, чем заложеено в бюджете; а также не были произведены работы по установке лестниц для Нарынского противотуберкулезного центра, ввиду высокого риска проблем с безопасностью, принимая во внимание, что здание старое и существовала вероятность того, что штукатурка/стена со временем может обрушиться, по всему зданию появятся трещины. Оснащение изолятора в НЦФ трубами для подачи кислорода не было реализовано, поскольку конечный потребитель не смог своевременно дать ответ на разъяснения в ходе тендерного процесса.</t>
  </si>
  <si>
    <t>Оказание помощи при МЛУ-ТБ по месту жительства</t>
  </si>
  <si>
    <t>В рамках данной интервенции в 2023 г. было использовано 83% выделенного бюджета на закуп диагностических ТБ тестов; бактерицидных облучателей (УФ); УФ ламп;  паровые дезинфекторы, шкафы биобезопасности; количественный микро ПЦР-анализатора; картриджи;  пробирок-индикаторов роста микобактерий   и др лаб расходных материалов и реагентов, а также сопутствующие расходы на PSM. При этом был получен второй транш страховки на сумму 76 884$ (общая сумма транша -1 млн) за сгоревшие товары под даннй интервенций в 2022 г во время пожара на складе.
При этом имеются неоплаченные контрактные обязательства в размере 97 841$ на 31 декабря 2023 г. по оплате сопутствующих раходов на PSM. С учетом обязательств процент освоения бюджета составит 88%.</t>
  </si>
  <si>
    <t>Выявление и диагностика случаев (МЛУ-ТБ)</t>
  </si>
  <si>
    <t>За отчетный период бюджет был израсходован на 83%:
- 50 000$ оплачен взнос за 2022 г в ЗК напрямую ГФ 
- 84 895$ Суб-получателями: НЦФ и 3  НПО (надбавка врачам и мед.сестрам и лаборантом НЦФ, мед.специалистам НЦФ в рамках операционного исследования по модифицированным режимам лечения больных с устойчивыми формами ТБ, з/п кейс-менеджерам, расходы на МиО визиты,)
- 1 363 926$ ПРООН на закуп противо ТБ препаратов, рентген-аппарата и соответствующие расходы на PSM.  При этом был получен второй транш страховки на сумму 582 502$  (общая сумма транша -1 млн) за сгоревшие товары под даннй интервенций в 2022 г во время пожара на складе. на расходы 3х участников в Ригу на курс Иновации в леченнии и ведении лекарственно-устойчивого ТБ; 2х участников в Женеву на региональное совещание по ускорению прогресса в достижении целей тестирования на ВИЧ в странах ВЕЦА; 5ти участников в Минск на тренинг по Планированию, внедрению и мониторингу коротких режимов лечения ТБ/РУ-ТБ/ЛТБИ, 2х участников в Дубаи по обучению по техническому обслуживанию системы GeneXpert, 3х участников в Москву на участие в конференции Туберкулез и современные инфекции, тренинг по повышению потенциала м/сестер ПМСП по ТБ, рабочее совещание по результатам коллегии МЗКР в целях повышения эффективности противо ТБ службы, тренинг для м/с ТБ кабинетов ПМСП нормативным и практическим аспекатам альтернативных методов контролируемого лечения, сбору мокроты и ИК, тренинг по алгоритму выявления ТБ,тренинг для фтизиатров ПМСП по эффективному консультированию, шклда пациентов и навыки эффективного консультирования для м/сестер ЛУ ТБ отделений; на расходы по МиО визитам сотрудников НЦФ, МЗКР
При этом имеются фин.обязательства на 31.12.2023 на сумму 106 112$ на противо ТБ препараты, установку и тренинг по рентген-аппарату и сопутствующие расходы на PSM, которые будут оплачены в 2024 после доставки. 
Неиспользованный остаток бюджета в основном относится к экономии по расходам по PSM.</t>
  </si>
  <si>
    <t>Лечение (МЛУ ТБ)</t>
  </si>
  <si>
    <t>За отчетный период бюджет был израсходован на 43%:
- 43 585$ Суб-получателями:РЦПН (з/п соц./равных работникоа, Оплата за оказание хирургичесокй помощи клиентам ПТМ, надбавки мед.сестрам и врачам сайтов ПТМ за обслуживание и удержание клиентов, расходы на МиО визиты сотрудников )
- 238 848$ ПРООН на закуп метадона, экспресс-тестов, Дистиллятор воды, перчатки, и соответствующие расходы на PSM, При этом был получен второй транш страховки на сумму 8 0022$  (общая сумма транша -1 млн) за сгоревшие товары под даннй интервенций в 2022 г во время пожара на складе. 
При этом имеются фин.обязательства на 31.12.2023 на сумму 60 563$ на налоксон, диспенсер, и бутыли и сопутствующие расходы на PSM, которые будут оплачены в 2024 после доставки. Освоение с учетом обязательств будет составлять 52%.Основная причина неполного освоения бюджета - отмена закупки бупренорфина и налоксона</t>
  </si>
  <si>
    <t>Опиоидная заместительная терапия и другое лечение наркозависимости с медицинской помощью</t>
  </si>
  <si>
    <t xml:space="preserve">За отчетный период бюджет был израсходован на 98%:
-210 835$ Суб-получателями: РЦПН и 8  НПО (з/п соц. и аутрич работникам, равным консультантам, олайн консультантам, специалистам по управлению мед.товарами, психиатру/норкологу, специалистов по работе с сообществом (работник ПОШ)  в СИН, надбавки зам.координатора по программе  ПОШ в СИН, специалист по по  добровольному тестированию и консультированию на ВИЧ в СИН профильные  тренинги, МиО расходы)
- 363 235$ ПРООН на закуп контейнеров для утилизации, спиртовые салфетки, шприцы и соответствующие расходы на PSM, расходы 8 участников обучающего тура в Вильнюс для сотрудников гос.мед организации и НПО по улучшению ОСТ и профилактике ВИЧ, расходы на тренинги по расширению возможностей сообщества ЛУН/ЛУИН в преодолении правовых барьеров, тренинга для мед.работников ПМСП и ЦКГВГи ВИЧ по вопросам мотивационного консультирования с целью расширения охвата МСМ/ТГ к услугам ДКП, тренинга по применеию инструкций о профилактики ВИЧ и ТБ сотрудниками , уолномоченными го.органами Ми-ва юстиции и организация непрерывности лечения для КГН, основы психосоциального консультирования, обучение представителей НПО и сайтов ПТАО навыкам мотивационного консультирования, новые подходы в лечении ЛУИН, Современная наркосцена, психостимуляторы, снижение вреда и онлайн работа. При этом был получен второй транш страховки на сумму 109 396$  (общая сумма транша -1 млн) за сгоревшие товары под даннй интервенций в 2022 г во время пожара на складе. 
 </t>
  </si>
  <si>
    <t>Программы обмена игл и шприцев</t>
  </si>
  <si>
    <t>В рамках данной интервенции было использовано 83% выделенного бюджета и были произведены следующие основные расходы:
- 242 935$ Суб-получателями  РЦКГВГВ, РЦПН, ЦЗ  и 14  НПО (з/плата аутрич и соц работников, равных консультантов,  специалистов по управлению базами данных и продуктами медицинского назначения, дермавенерологов, проктологов, м/сестер, психологов, специалистов по базе данных МИС, соц.поддержка клиентов, восстановление документов, продуктовые и гигиенические пакеты, соответствующие  транпортные расходы, профильные мини-сессии и тренинги, эксперт по анализу эффективности закупок)
- 273 245$ ПРООН (закуп любрикантов и женских презервативов, и сопутствующие расходы на PSM; лабораторные исследования; гигиенические ср-ва, продукты; профильные тренинги)ю При этом был получен второй транш страховки на сумму 58 709$  (общая сумма транша -1 млн) за сгоревшие товары под даннй интервенций в 2022 г во время пожара на складе.</t>
  </si>
  <si>
    <t>Мероприятия по изменению поведения</t>
  </si>
  <si>
    <t>В рамках данной интервенции имеются фин.обязательства на 31.12.2023 на сумму 13 515$ на ковд тесты для геномного секвенирования, которые будут оплачены в 2024 после доставки. С учетом этих обязательств освоение бюджета составит 100%</t>
  </si>
  <si>
    <t>Надзор: эпидемиологическое расследование и отслеживание контактов</t>
  </si>
  <si>
    <t xml:space="preserve">В рамках данной интервенции были оплачены транспортные расходы НЦФ по Ошской области  в феврале 2023г. на рабочее совещание по обсуждению текущей эпидемиологической ситации по ТБ в КР и дальнейших путях ее улучшения а рамках реал-ции Программы Кабнета Министров КР Туберкулез 6 на 2022-2026 годы </t>
  </si>
  <si>
    <t>Смягчение негативных воздействий для программ по ТБ</t>
  </si>
  <si>
    <t>В рамках данной интервенции в 2023 г. были расходы на:
- закуп Анализатора биохимического автоматического HumaStar 200 с расходными материалами на сумму 57 436$
- Инкубатор на сумму 6 101$
- прочие и сопутствующие расходы на PSM 
 При этом имеются фин.обязательства на 31.12.2023 на сумму 140 851$ на реагенты для химического анализатора и лаб.оборудовнаие, которые будут оплачены в 2024 после доставки. С учетом этих обязательств освоение бюджета составит 101%</t>
  </si>
  <si>
    <t>Лабораторные системы</t>
  </si>
  <si>
    <t>В рамках данной интервенции в 2023 г. были оплачены расходы на сумму 31 985$, связанных с закупкой дезинфицирующих средств и сопутствующими расходами на PSM. При этом был получен второй транш страховки на сумму 27 723$ за сгоревшие товары под даннй интервенций в 2022 г во время пожара на складе.</t>
  </si>
  <si>
    <t>Профилактика инфекций, контроль и защита медицинских работников</t>
  </si>
  <si>
    <t>В рамках данной интервенции в 2023 г. бюджет был освоен на 86% и были произведены следующие основные расходы:
- закуплены 2 машины скорой помощи на сумму 151 177$
- компьютерный томограф на сумму 387 040$ 
- процессор для цифровой радиографии и темопленки на сумму 5 020$
- сопутствующие расходы на PSM на сумму 39 065$.
При этом имеются фин.обязательства на 31.12.2023 на сумму 72 681$ на лаб.оборудовнаие и расходные материалы, которые будут оплачены в 2024 после доставки. С учетом этих обязательств освоение бюджета составит 97%</t>
  </si>
  <si>
    <t>Кейс-менеджмент, клинические операции и лечение</t>
  </si>
  <si>
    <t>За отчетный период бюджет был израсходован в полном объеме:
- 29 092$ Суб-получателями: 3  НПО (з/плата специалистов по работе с сообществом, экспертов по разработке национальных механизмах реагирования на COVID, соответствующие  транпортные расходы и административные расходы)
- 6 121$ ПРООН на тренинг  по противодействию гендерному насилию для НПО.</t>
  </si>
  <si>
    <t>Устранение препятствий к услугам, связанных с правами человека и гендерными факторами</t>
  </si>
  <si>
    <t>За отчетный период бюджет был израсходован в полном объеме:
- 129 952$ Суб-получателями: РЦКГВГВ, РЦПН, и 11  НПО (з/плата специалистов по работе с сообществом, врачей и м/сестер МДК и млбильных бригад, психологов, соответствующие  транпортные расходы и административные расходы, онлайн-консультации, профильные мини-сессии)
- 41 865$ ПРООН на техническую оддержку мобильного приложения по вопросам тестирования, поддержки и лечения, связанных с ВИЧ; мобильные карты; тренинги: по эффективному взаимодействию мед.работников и сотрудников НПО; Роль среднего медюперсонала в реализации ПТАО; Расширение тестирования на ВИЧ методом экспресс-тестирования с консультированием; для сотрудников пробации по инфоримрованию о туберкулезе; по профилактике синдрома эмоционального сгорания.</t>
  </si>
  <si>
    <t>Смягчение негативных воздействий для программ по ВИЧ</t>
  </si>
  <si>
    <t>Данная задача включает бюджет  в рамках С19RM средств, выделенных  на: закупки тестов, лабораторных реагентов, медицинского оборудования для диагностирования, и соответствующие затраты на управление поставками.
В 2023 году был произведен закуп:
- мебели для лабораторий на сумму 21 742$;
- 12 кондиционеров для НЦФ и ОЦПБТ на сумму 9 397$;
- генератор для Чуйского ОЦКГВГ и ВИЧна сумму 7 247$
- стабилизаторов напряжения для НЦФ, Нарынского, Таласского и Иссык-Кульского ОЦПБТ на сумму  9 078$;
- платформа GeneXpert и тесты для быстрой идентификации PHK коронавируса SARS-CoV-2 на сумму 124 900$, включая расходы на доставку.
-затраты на PSM расходы на сумму  4 277$
Также на 31.12.2023 имеется неоплаченное обязательство на 26 780$ на IT оборудование, которое будет выплачено в 2024 после доставки</t>
  </si>
  <si>
    <t>Диагностика и тестирование COVID</t>
  </si>
  <si>
    <t>Комментарии</t>
  </si>
  <si>
    <t>F2: Бюджет и фактические расходы согласно задачам гранта</t>
  </si>
  <si>
    <t>Общая сумма выплат</t>
  </si>
  <si>
    <t>Общий бюджет</t>
  </si>
  <si>
    <t>Бюджет (в $)</t>
  </si>
  <si>
    <t>% Общего объема</t>
  </si>
  <si>
    <t>Отчетный период</t>
  </si>
  <si>
    <t>Выплаты</t>
  </si>
  <si>
    <t>F1: Бюджет и выплаты Глобальным фондом</t>
  </si>
  <si>
    <t>Валюта финансирования гранта</t>
  </si>
  <si>
    <t xml:space="preserve">     Введите финансовые данные в каждую ячейку оранжевого цвета.</t>
  </si>
  <si>
    <t xml:space="preserve">Информация о финансировании: </t>
  </si>
  <si>
    <t xml:space="preserve">Информация о программе: </t>
  </si>
  <si>
    <t xml:space="preserve">Информация об управлении: </t>
  </si>
  <si>
    <t>Введите данные в ячейки соответствующего цвета</t>
  </si>
  <si>
    <t>Информация об индикаторах</t>
  </si>
  <si>
    <t>Кем подготовлено:</t>
  </si>
  <si>
    <t>Дата ввода информации:</t>
  </si>
  <si>
    <t>до:</t>
  </si>
  <si>
    <t>с:</t>
  </si>
  <si>
    <t>Период предоставления отчетной информации</t>
  </si>
  <si>
    <t>Корина Максим</t>
  </si>
  <si>
    <t>Менеджер портфолио Фонда:</t>
  </si>
  <si>
    <t>Последняя оценка:</t>
  </si>
  <si>
    <t>Местный агент Фонда:</t>
  </si>
  <si>
    <t>Дата начала (дд/ммм/гг):</t>
  </si>
  <si>
    <t>Фаза:</t>
  </si>
  <si>
    <t>Раунд:</t>
  </si>
  <si>
    <t>Основной реципиент:</t>
  </si>
  <si>
    <t>Общая сумма:</t>
  </si>
  <si>
    <t>Компонент:</t>
  </si>
  <si>
    <t>Грант №</t>
  </si>
  <si>
    <t>«Эффективный контроль за ВИЧ-инфекцией и туберкулезом в Кыргызской Республике»</t>
  </si>
  <si>
    <t>Название гранта:</t>
  </si>
  <si>
    <t>Страна:</t>
  </si>
  <si>
    <t>Информация о гранте</t>
  </si>
  <si>
    <t>Дата подготовки отчета:</t>
  </si>
  <si>
    <t>Кем подготовлен:</t>
  </si>
  <si>
    <t>Портфолио Менеджер  Фонда:</t>
  </si>
  <si>
    <t>Отчетный период:</t>
  </si>
  <si>
    <t>Общ. финансирование:</t>
  </si>
  <si>
    <t>Дата начала:</t>
  </si>
  <si>
    <t>Грант №:</t>
  </si>
  <si>
    <t>В отчетном периоде ОП предоставил отчет в ГФ в установленные сроки, 29 февраля 2023 г.</t>
  </si>
  <si>
    <t>Комментарии:</t>
  </si>
  <si>
    <t xml:space="preserve">Расходы  связаны с обеспечением всех направлений деятельности программы по задачам. За отчетный период было израсходовано  80% выделенного бюджета согласно фактическим потребностям. При этом на конец отчетного периода имеются финансовые обязательства на 658 614$, с учетом которых освоение будет 84%. </t>
  </si>
  <si>
    <t xml:space="preserve">В отчетном периоде ГФ произвел выплату согласно утвержденного годового графика выплат.
Расходы ОП составили 11 052 794$. При этом имеются финансовые обязательства, в основном, по закупкам товаров медицинского назначения и медицинского оборудования, лекарственных средств и фармацевтических препаратов, GMS  на 31 декабря 2023 в 658 614$. Итого за текущий период с учетом обязательств освоено 82% выделенных средств на ОП. В текущем периоде ПРООН произвел выплаты 25 СП на общую сумму в 2 242 135$ по запросу от СП в рамках 46 подписанных Соглашений и бюджетов. </t>
  </si>
  <si>
    <t>Финансовые показатели</t>
  </si>
  <si>
    <t xml:space="preserve">
• В августе 2024 было принято окончательное совместное решение (ГФ, НПТ, ПРООН) по южной лаборатории: новый модуль не закупать, провести ремонт существующего здания на территории ООЦБТ, лаборатория не будет осуществлять ТЛЧ, только микроскопию мокроты и посевы. 
• В вгусте 2023 года при поддержке д-ра Х.Хоффмана (GIZ, Gauteng) ПРООН реализовало техническое задание на ремонтные работы существующего здания лаборатории ООЦБТ, был проведен тендер для компании на выполнение работ. 
Ремонтные работы закончены к февралю 2024 года. В настоящее время завершается установка ветиляцилнной системы. </t>
  </si>
  <si>
    <t>завершено</t>
  </si>
  <si>
    <t xml:space="preserve">Согласно национальным процедурам МиО, этот индикатор включает все ТБ случаи, которые начали лечение и провели в стационаре менее 30 дней в течение интенсивной фазы. Индикатор оценивается после трех месяцев лечения. В отчетном периоде 4810 ТБ случаев было зарегистрировано в гражданском секторе, 4705 из них начали лечение, 930 из них находились на исключительно амбулаторном лечении согласно определению (19,7%).Индикатор был выполнен только на 44%, в связи с чем МАФ и ГФ оценили эту меру как "не выполнено". Для достижения этого индикатора в октябре 2022 года была запущена реализация Плана по расширению амбулаторного лечения, разработанного НЦФ при поддержке ПРООН и партнеров. План включал 28 мероприятий, преимущественно на уровне ПМСП, целью которых было повысить потенциал ПМСП в предоставлении амбулаторного лечения. Практика показала, что большинство этих мероприятий нуждается в рутинной имплементации. Главным барьером для расширения амбулаторного лечения является система финансирования стационаров на основе пролеченного случая: в связи с сокращением числа выявленных случаев ТБ, стационары пытаются госпитализировать каждого человека с ТБ. </t>
  </si>
  <si>
    <t xml:space="preserve">Выполнение этого индикатора полностью зависит от числа зарегистрированных РУ/МЛУ случаев (предыдущий индикатор): 836 РУ/МЛУ случаев было зарегистрировано в отчетный период (бактериологически подтвержденных и клинических),776 из них взяты на лечение (93%). Из 776 случаев, взятых на лечение, 708 – бактериологически подверженные случаи, и 68 – клинически диагностированные: люди из контактов, дети и ранее леченые случаи.  Доля клинических случаев в последние три года выросла по сравнению с предыдущими годами: 3% в 2019 году, 4.5% в 2020, 7.4% - в 2021, 11% - в 2022 г., и 8.8% в 2023, хотя охват ТЛЧ к препаратам второго ряда постоянно улучшается (см.индикатор MDR TB-7.1).
По сравнению с предыдущим отчетным периодом, число взятых на лечение РУ/МЛУ ТБ случаев снизилось: 904 в 2022 г., 934 в 2021; 986 в 2020, и 1376 в 2019. Но при этом охват лечением улучшился по сравнению с до-пандемийным периодом: с 83% в 2019 году до 93% в 2020, и с тех пор остается выше 90%. 
Для обеспечения доступа к качественному лечению, ПРООН закупил и доставил все препараты второго ряда в соответсвии с заявкой НЦФ; лечение пациентам назначается с учетом лекарственной чувствительности (более 85% имеют ТЛЧ к ПВР). </t>
  </si>
  <si>
    <t xml:space="preserve">3262 случая бактериологически подтвержденного туберкулеза было зарегистрировано в течение отчетного периода,3101 из них имеют результат ТЛЧ к препаратам второго ряда, включая ГенЭксперт (95%). Данный показатель не изменился по сравнению с предыдущим отчетным периодом. Фактически, в стране нет никаких барьеров для того, чтобы улучшить выполнение этого показателя: в рамках гранта ГФ ПРООН вносил вклад в поддержку этой активности, в том числе закупал все необходимые лабораторные реактивы и реагенты, обеспечивал техническую поддержку лабораторного оборудования (инженер), поддерживал лабораторный персонал (27 лабораторных специалистов получали оплату за удержание на рабочем месте, включая 7 сотрудников ГСИН), поддерживал 7 областных координаторов по системе транспортировки патологического материала для улучшения выполнения диагностического алгоритма, закупил и поставил дополнительное лабораторное и диагностическое оборудование, включая 2 Тру-Ната, один аппарат КТ, стационарные и портативные рентген-аппараты. </t>
  </si>
  <si>
    <t xml:space="preserve">MDR TB-6: Процент ТБ пациентов с результатом ТЛЧ как минимум к рифампицину среди общего количества зарегистрированных (новых и ранее леченных) случаев том же году.		</t>
  </si>
  <si>
    <t>Замечания и комментарии</t>
  </si>
  <si>
    <t>Показатели</t>
  </si>
  <si>
    <t xml:space="preserve">Ключевыми факторами, внесшими вклад в достижение этого индикатора, являются улучшение системы передачи  лабораторных данных и функционирование системы транпортировки мокроты. </t>
  </si>
  <si>
    <t xml:space="preserve">Несмотря на реализацию Плана по улучшению выполнения данного индикатора (НЦФ, ПРООН, партнеры), количество зарегистрированных случаев РУ/МЛУ ТБ продолжает снижаться. Согласно рекомендациям миссии ВОЗ (2023), страна должна сосредоточить усилия на уровне ПМСП и проводить активное выявление случаев среди целевых групп населения. </t>
  </si>
  <si>
    <t xml:space="preserve">В рамках гранта ГФ страна получает всестороннюю поддержку для выполнения этого индикатора, проблема заключается в невыполнении диагностического алгоритма в отдельных случаях. </t>
  </si>
  <si>
    <t xml:space="preserve">MDR TB-7: Процент подтвержденных МЛУ-ТБ случаев, протестированных на чувствительность к фторхинолонам и инъекционным препаратам второго ряда	</t>
  </si>
  <si>
    <t xml:space="preserve">MDR TB-3: Количество случаев с РУ/МЛУ ТБ, начавших лечение препаратами второго ряда	</t>
  </si>
  <si>
    <t>Программные показатели по ТБ</t>
  </si>
  <si>
    <t xml:space="preserve">За отчетный период 114 из 115 ЛЖВ с новым или рецидивирующим случаем туберкулеза  во время лечения туберкулеза получали АРТ, процент достижения составил 103%, тогда как в 2022 году этот показатель составил 102%, соответственно показатель остается на таком же высоком уровне.
</t>
  </si>
  <si>
    <t>В 2023 году ДКП получили 261 МСМ (цель- 150), процент достижения индикатора составил 174%, что является существенным улучшением по сравнению с 2022 (22%).
Перевыполнение связано с продвижением ДКП среди МСМ, а также вкладом других проектов, продивгающих ДКП в стране. Проект ПРООН/ГФ продолжил сотрудничать с ЕКОМ и провели несколько тренингов по ДКП для медицинского персонала Центров КГВГиВИЧ и сотрудников НПО в Бишкеке и Оше, проведен обучающий тур в Берлин для 3 врачей и 3 руководителей Центров КГВГиВИЧ из Бишкека и Оша, а также 7 сотрудников из 2 НПО с целью получения дополнительных знаний и изучения передового опыта по предоставлению ДКП в  НПО и государственных организациях, являющихся поставщиками услуг в Германии. Чтобы расширить доступ услуга ДКП для МСМ/ТГ предоставляется в НПО. С ноября 2022 года врачи Центров КГВГиВИЧ в Бишкеке и Оше один день в неделю посещают НПО для консультирования, тестирования на ВИЧ и предоставления ДКП.</t>
  </si>
  <si>
    <r>
      <t>За отчетный период тестирование прошли 10 492 МСМ</t>
    </r>
    <r>
      <rPr>
        <sz val="11"/>
        <color rgb="FFFF0000"/>
        <rFont val="Calibri"/>
        <family val="2"/>
        <charset val="204"/>
      </rPr>
      <t>.</t>
    </r>
    <r>
      <rPr>
        <sz val="11"/>
        <color rgb="FF000000"/>
        <rFont val="Calibri"/>
        <family val="2"/>
      </rPr>
      <t xml:space="preserve"> Коэффициент достижения этого показателя в 2023 году составляет 87% по сравнению со 102% в 2022 году.
Все протестированные МСМ прошли экспресс-тесты по слюне. У 8 МСМ был выявлен предварительный положительный результат экспресс-теста на ВИЧ, затем все 8 результатов были подтверждены.
Снижение показателя по сравнению с предыдущим годом вызвано следующим: многие клиенты прошли тестирование методом самотестирования в рамках других проектов и отказались от тестирования во второй раз, некоторые клиенты отказались от тестирования на ВИЧ, нуждались лишь в  для получения МПУ,  НПО «Кыргыз Индиго» прекратило работу в рамках проекта ПРООН/ГФ с 4-го квартала 2023 года, однако НПО «АнтиСПИД» охватила некоторую часть клиентов «Кыргыз Индиго», но в основном для предоставления МПУ.
В 2024 году будут разработаны механизмы оказания профилактических услуг через онлайн-платформы и распространение изделений медицинской продукции и самотестирования через тест-машины и/или автоматы по предоставлению презервативов.</t>
    </r>
  </si>
  <si>
    <t>За отчетный период 4670 СР  прошли тестирование на ВИЧ. Процент достижения данного показателя в 2023 году составляет 93,4% по сравнению с 85% в 2022 году. Все СР получили экспресс-тестирование по слюне (для ключевых групп населения это гораздо удобнее, чем ИФА, так как проводится на базе НПО, что повышает готовность сообщества пройти тестирование). У 2 СР были предварительные положительные результаты экспресс-теста на ВИЧ, все 2 были подтверждены. В 2024 году будут разработаны механизмы оказания профилактических услуг через онлайн-платформы и распространение изделений медицинской продукции и самотестирования через тест-машины и/или автоматы по предоставлению презервативов.</t>
  </si>
  <si>
    <t>За отчетный период 17 692 ЛУИН прошли тестирование на ВИЧ. Коэффициент достижения в 2023 году составляет 102%, в 2022 году процент достижения был аналогичным. Большинство ЛУИН протестированы с помощью экспресс-тестов по слюне (для ключевых групп населения это гораздо удобнее, чем ИФА, так как проводится на базе НПО, что повышает готовность сообщества пройти тестирование). 10 ЛУИН были выявлены с предварительным положительным результатом экспресс-теста на ВИЧ, затем все 10 были подтверждены, 7 ЛУИН выявлены на базе НПО, 3 – в ГСИН.  В 2024 году будут разработаны механизмы оказания профилактических услуг через онлайн-платформы и распространения медицинских изделий и наборов для самотестирования через тест-машины и/или вендинговые аппараты.</t>
  </si>
  <si>
    <t xml:space="preserve">За отчетный период % достижения данного показателя составил 117%, что на 6% выше достижения за 2022 год. Число МСМ, охваченных минимальным пакетом услуг, составило 15 830.
Три НПО предоставляли профилактические услуги среди МСМ в городах Бишкек, Ош, Джалал-Абад, Талас, а также в Иссык-Кульской, Ошскойи Чуйской областях. 
В дополнение к существующим услугам, предоставляются услуги по диагностике и лечению ИППП.  В течение 2023 года 220 МСМ прошли обследование на ИППП и 152 МСМ прошли лечение от ИППП (в том числе сифилис-26, гонорея-39, трихомониаз-1, другие-84). Лечение получили все, у кого была диагностирована та или иная ИППП.
</t>
  </si>
  <si>
    <t xml:space="preserve">За 2023 год коэффициент достижения данного индикатора составил 102%, что на 18% выше, чем в 2022 году. Число СР, охваченных минимальным пакетом услуг, составило 5813. 
6 НПО реализовали проекты среди СР в г. Бишкек, Чуйской области, г. Ош, Ошской области, г. Джалал-Абад, Джалал-Абадской области, г. Нарын, Нарынской области, г. Талас и Таласской области, г. Кызыл-Кия, Чолпон-Ата, Города Балыкчи, город Каракол и Иссык-Кульская область. 
В дополнение к существующим услугам, предоставлялись услуги по диагностике и лечению ИППП (сифилис, гонорея, трихомониаз). В 2023 году 624 СР прошли лабораторное тестирование на ИППП и 502 СР получили лечение от ИППП (в том числе сифилис-206, гонорея-68, трихомониаз-48, прочие-180). </t>
  </si>
  <si>
    <t xml:space="preserve">За отчетный период 7 159 заключенных (м-6715/ж-444) прошли тестирование на ВИЧ и знают свои результаты. Среди протестированных заключенных выявлено 32 случая ВИЧ-инфекции (3 женщины, 29 мужчин).
Целевой показатель составил 70,63%, достигнуто 111,23%, соответственно процент достижения составил 120%, тогда как в 2022 году этот показатель составил 106%.
Столь высокий охват тестированием обусловлен тем, что в 2023 году во всех учреждениях было проведено тотальное медицинское обследование заключенных, требующее обязательного тестирования на ВИЧ, независимо от того, когда оно проводилось в последний раз. Отчетные данные о заключенных представлены по 16 учреждениям ГСИН, в 12 из которых работаю профилактические программы, проект ПРООН/ГФ. </t>
  </si>
  <si>
    <t>Программа ОЗТ продолжала реализовываться РЦПН как в гражданском секторе, так и в пенитенциарной системе. На терапии по состоянию на 31 декабря 2023 г. (включая СИН) находились 724 ЛУИН, 622 (85,9%) на терапии более 6 мес., 144 новых клиентов за отченый период вошли в программу ОЗТ, и 70 из них находились на терапии в течение 6 месяцев после даты включения, и коэффициент удержания составляет 48,61%, в то время как в 2022 году он составлял 54,2%. Процент достижения данного индикатора за отченый период составила 61%.                                                                                                                                                                                                                           
За отчетный период проект ПРООН/ГФ предприняли следующие действия: (1) НПО, работающие с ЛУИН, уделили больше внимания проведению тематических мини-сессий и равных консультаций, направленных на улучшение знаний об ОЗТ среди ЛУИН; (2) участие во внедрении обновленных руководств по ОЗТ с целью включения различных вариантов лечения; (3) обучение врачей ОЗТ по вопросам профилактики синдрома выгорания, обучение медсестер ОЗТ обновленным клиническим руководствам; (4) ознакомительная поездка в Литву для повышения квалификации врачей ОЗТ в ведении пациентов ОЗТ; (5) перевод программы ОЗТ на финансирование из средств государственного бюджета для обеспечения непрерывности ОЗТ и повышения мотивации персонала в предоставлении услуг ОЗТ; (6) обучение НПО, работающих с ЛУИН навыкам психосоциальнго консультирования (7)  пересмотр приказа Минздрава с целью увеличения количества клиентов, имеющих право на 5-дневную выдачу метадона и применения  шкалы ранжирования для 2-5-дневной выдачи метадона. Мероприятия будут продолжены в 2024 году.</t>
  </si>
  <si>
    <r>
      <rPr>
        <sz val="11"/>
        <rFont val="Calibri"/>
        <family val="2"/>
        <charset val="204"/>
      </rPr>
      <t xml:space="preserve">На 31 декабря 2023 года получали АРВ-терапию 6353 ЛЖВ  (женщин – 2883, мужчин – 3470).  Совместно с РЦКГВиВИЧ, региональными центрами КГВГиВИЧ и НПО были приняты ряд мер для увеличения числа ЛЖВ, получающих АРТ, такие как:
• Распределение АРВ-препаратов на более длительный срок для 5150 ЛЖВ (3-6-12 месяцев), доставка АРВ-препаратов на дом пациентам при поддержке мультидисциплинарных бригад  (всего проведено 164 визита). 3 мультидисциплинарными бригадами были оказаны услуги 870 ЛЖВ/ЛЖВ на базе НПО, 2 мобильными бригадами были выполнены следующие работы: доставка АРВ-препаратов 162 ЛЖВ и выявлено 28 пациентов, которые были потеряны для последующего наблюдения и затем вновь привлечены в программу помощи при ВИЧ;
• Оказание социальной поддержки и мотивационных выплат детям, живущим с ВИЧ (всего в 2023 году в размере 5 056 000 сомов сделаны выплаты детям -в 1 квартале – 449 детей, живущих с ВИЧ, во 2 квартале – 444, в 3 квартале – 435 и в 4 квартале – 375);
• Большинство пациентов переведено на схему лечения на основе Долутегравира (5 905 ЛЖВ из 6 353);
• Функционировали 2 центра  для поддержки ЛЖВ при подключении к АРТ среди вновь начавших  лечение и уход, охвачено услугами поддержки 224 ЛЖВ . </t>
    </r>
    <r>
      <rPr>
        <sz val="11"/>
        <color rgb="FFFF0000"/>
        <rFont val="Calibri"/>
        <family val="2"/>
      </rPr>
      <t xml:space="preserve">
</t>
    </r>
    <r>
      <rPr>
        <sz val="11"/>
        <rFont val="Calibri"/>
        <family val="2"/>
        <charset val="204"/>
      </rPr>
      <t>Несмотря на все вышеперечисленные предпринятые меры, процент достижения индикатора составил  64% (в 2022 - 71%).
В 2024 году ОР продолжит реализацию мероприятий, направленных на привлечение ЛЖВ к началу АРТ и усиление приверженности.</t>
    </r>
  </si>
  <si>
    <t>За отчетный период 89% (919 из 1031) людей с впервые выявленным ВИЧ начали АРТ. С октября 2023 года введена стратегия, мотивирующая врачей первичного звена выявлять ВИЧ по клиническим показаниям. Эта стратегия  действует с июля 2022 года на уровне стационаров. К внедрению экспресс-тестирования с использованием капли крови на первичном уровне медицинской помощи и в стационарах были привлечены 4 специалиста. В 2023 году  выявлено 13 новых случаев ВИЧ-инфекции на уровне первичной медико-санитарной помощи. На стационарном уровне в 2023 году проведено 10 728 тестов, в 2023 году выявлено 79 новых случаев ВИЧ (0,7%).
Процент достижения этого показателя составляет 99% в 2023 году по сравнению со 102% в 2022 году, наблюдается незначительное снижение показателя.
Все они начали АРВ-терапию в течение 30 дней после постановки диагноза. Данные предоставлены Республиканским центром по контролю гемоконтактных вирусных гепатитов и ВИЧ (РЦКГВиВИЧ)».</t>
  </si>
  <si>
    <t xml:space="preserve">Общее количество ЛУИН, охваченных профилактическими услугами, в том числе ЛУИН в пенитенциарных учреждениях составило 19 831 человек. Это составляет 79,3% при целевом показателе 80%. Процент достижения данного показателя составляет 99%.
5 НПО реализовали проекты среди ЛУИН в г. Бишкек, Чуйской области, г. Ош, Ошской области, г. Джалал-Абад, Джалал-Абадской области, г. Талас и Таласской области, г. Каракол. Кроме того, в системе исполнения наказаний имеются пункты обмена шприцев. Минимальный пакет услуг включает предоставление шприцев, спиртовых салфеток и информационный компонент (ИОМ или консультирование).
Программа охватывает в основном ЛУИН старше 25 лет (97,24%), молодые ЛУИН и потребители новых ПАВ остаются недоступными для профилактических программ. </t>
  </si>
  <si>
    <t>Замечания</t>
  </si>
  <si>
    <r>
      <t>На 31 декабря 2023 года получали АРВ терапию 6353 ЛЖВ  (женщин – 2883, мужчин – 3470).  Последние доступные данные об оценочной численности ЛЖВ составляют 11000 по данным ЮНЭЙДС/SPECTRUM. Целевой показатель составлял 90%, выполнено 57,75%, т.о. процент достижения составил 64%, что на 7% меньше, чем в 2022 году.                                                                                                                                                                                         
Отставание за отчетный период обусловлено, главным образом</t>
    </r>
    <r>
      <rPr>
        <sz val="10"/>
        <rFont val="Calibri"/>
        <family val="2"/>
        <charset val="204"/>
      </rPr>
      <t xml:space="preserve"> (по данным РЦКГВГиВИЧ): </t>
    </r>
    <r>
      <rPr>
        <sz val="10"/>
        <color rgb="FFFF0000"/>
        <rFont val="Calibri"/>
        <family val="2"/>
        <charset val="204"/>
      </rPr>
      <t xml:space="preserve">  </t>
    </r>
    <r>
      <rPr>
        <sz val="10"/>
        <rFont val="Calibri"/>
        <family val="2"/>
      </rPr>
      <t xml:space="preserve">                                                                                                                                                                                                                 -недостаточная настороженность медицинских работников на  выявлении случаев ВИЧ-инфекции, что приводит к поздней диагностике;
- прерывание антиретровирусной терапии (АРТ) среди пациентов представляет собой значительную проблему, недостаточная приверженность к лечению пациентов с ВИЧ инфекцией;
- реформы в системе здравоохранения привели к частой смене медицинского персонала, что затрудняет  работу с пациентами, особенно с КГН (ключевые группы населения);
- расширение функций службы СПИД привело к перегрузке специалистов, что снижает качество предоставляемых услуг и уменьшается время, уделяемое пациентам;
- низкая заработная плата и нестабильная социально-экономическая ситуация приводят к текучести кадров.			</t>
    </r>
  </si>
  <si>
    <t>Комментрии:</t>
  </si>
  <si>
    <t>За отчетный период 919 из 1031 впервые выявленных с ВИЧ инфекцией начали АРТ, что составило 89,04%, из них 362 женщин (39,39%) и 557 мужчины (60,61%). АРВ-терапия начата в течение 30 дней после постановки диагноза, процент достижения данного индикатора составил 99% в 2023 году, тогда как в 2022 году было 102%.   С октября 2023 года введена стратегия, мотивирующая врачей первичного звена выявлять ВИЧ по клиническим показаниям. Эта стратегия  действует с июля 2022 года на уровне стационаров. К внедрению экспресс-тестирования с использованием капли крови на первичном уровне медицинской помощи и в стационарах были привлечены 4 специалиста при поддержке проекта ПРООН/ГФ. Так в 2023 году выявлено 13 новых случаев ВИЧ-инфекции на уровне первичной медико-санитарной помощи, на стационарном уровне в 2023 году проведено 10 728 тестов и выявлено 79 случаев.</t>
  </si>
  <si>
    <t xml:space="preserve">В  отчетном периоде 19 831 ЛУИН получили минимальный пакет услуг, в том числе 3 273 женщин. 5 НПО и Республиканский центр психического здоровья и наркологии осуществляют  мероприятия по всей стране и в пенитенциарной системе. Планировалось охватить минимальным пакетом услуг 80% от оценочного числа ЛУИН (25 000, последняя оценка 2013 года), достигнуто 79,32%, так процент достижения индикатора составил 99% в 2023 году, в 2022 году - 97%. 	                                                              Минимальный пакет услуг включает предоставление шприцев, спиртовых салфеток и информационный компонент (предоставление ИОМ и/или консультация).
</t>
  </si>
  <si>
    <t>Genexpert картриджи</t>
  </si>
  <si>
    <t>Экспресс тестирование (по околодесновой жидкости)</t>
  </si>
  <si>
    <t>Картриджи (Вирусная нагрузка)</t>
  </si>
  <si>
    <t>Метадон</t>
  </si>
  <si>
    <t>Разница между имеющимся и безопасным уровнем запасов</t>
  </si>
  <si>
    <t xml:space="preserve">Уровень резервных запасов в месяцах </t>
  </si>
  <si>
    <t>Уровень запасов, выраженный в месяцах лечения для всех имеющихся пациентов</t>
  </si>
  <si>
    <t>Лекарственные средства и продукты медицинского назначения</t>
  </si>
  <si>
    <t>Запасы антиретровирусных препаратов (АРВП) и тестов отслеживаются, у товаров с критически низкими уровнями запасов поставки либо уже осуществлены, либо планируются в ближайшее время. Принимая во внимание изменение клинического протокола на основании последних рекомендации ВОЗ, преобладают схемы на основе Долутегравира (DTG) (в основном на TLD), использование схем с монопрепаратами (отдельными) постепенно их пропорция будет снижается. У препаратов с запасом свыше 10 месяцев срок годности приемлемый и они будут использован до истечения срока годности. АРВ препараты закупаются и за счет бюджетных средств (FDC (TLD), FDC (TDF/FTC) 300/200 mg, DTG 50 mg, FDC (TDF/FTC/EFV). Согласно рекомендациям ВОЗ, страна постепенно использует имеющиеся запасы LPV/r (как для взрослых, так и для детей) и далее превалирующими схемами у детей становятся схемы на основе DTG в детской дозировке и RAL. Необходимо принять во внимание что АРТ выдаётся стабильным пациентам на период от 3-12 мес. (то есть АРТ на руках у пациентов имеются и это нужно принять во внимание при оценке запасов АРВП). ЭТ поставлены в марте 2023 г., и проходят оценку диагностической эффективности для диагностики ВИЧ по околодесневой жидкости «OraQuick» HlV ½.</t>
  </si>
  <si>
    <t>Комментарии по ВИЧ:</t>
  </si>
  <si>
    <t>Комментарии по ТБ:</t>
  </si>
  <si>
    <t>Медикаменты и ИМН закуплены согласно потребности на 2023 год. В расчетах потребности учтены текущий запас, ожидаемые поставки и наличие бюджета</t>
  </si>
  <si>
    <t>По компоненту ВИЧ -  35 из 35 ожидаемых программных отчетов СП были получены своевременно,  они  были проверены, доработаны СП и приняты в установленные сроки.
По компоненту   ТБ - 7 из 7 ожидаемых программных отчетов СП были получены своевременно,  они  были проверены, доработаны СП и приняты в установленные сроки.</t>
  </si>
  <si>
    <t xml:space="preserve">По компоненту ВИЧ -  реализацию программы осуществлял всего 22 Суб-получателя в рамках 35 СП-Соглашений, по всем Соглашениям СП получали финансирование. 
По компоненту ТБ -   реализацию программы осуществляло всего 5 Суб-получателей в рамках 7 СП-Соглашений, по всем Соглашениям СП получали финансирование. </t>
  </si>
  <si>
    <t>По ВИЧ\ТБ  гранту всего 24  штатные позиции, из них 5 - по компоненту ВИЧ,  2 - по компоненту ТБ.,  оставшиеся  17   относятся к обоим компонентам,  все штатные позиции были заполнены</t>
  </si>
  <si>
    <t xml:space="preserve">По обоим компонентам предварительных условий (ПУ) нет </t>
  </si>
  <si>
    <t>Показатели по управлению</t>
  </si>
  <si>
    <r>
      <rPr>
        <b/>
        <sz val="11"/>
        <color rgb="FF000000"/>
        <rFont val="Arial"/>
        <family val="2"/>
        <charset val="204"/>
      </rPr>
      <t xml:space="preserve">How many days did it take to submit the FAR/FTR to the LFA office? </t>
    </r>
    <r>
      <rPr>
        <sz val="11"/>
        <color rgb="FF000000"/>
        <rFont val="Arial"/>
        <family val="2"/>
        <charset val="204"/>
      </rPr>
      <t xml:space="preserve">This indicator measures the number of calendar days it took the PR to send the final versions of the Final Assessment of Results and Funds Transfer Request (FAR/FTR) to the Local Fund Agent (LFA) after the end of the period. “Final” are considered FAR/FTR for which the LFA does not request any additional clarifying data from the OR. The estimated duration is 45 days after the completion of the period specified in the grant agreement. The actual period is equal to the number of days that have elapsed from the end date of the period until the date the Principal Recipient submits the final FAR/FTR to the LFA office.
</t>
    </r>
    <r>
      <rPr>
        <b/>
        <sz val="11"/>
        <color rgb="FF000000"/>
        <rFont val="Arial"/>
        <family val="2"/>
        <charset val="204"/>
      </rPr>
      <t xml:space="preserve">How many days later did the PR receive the payment? </t>
    </r>
    <r>
      <rPr>
        <sz val="11"/>
        <color rgb="FF000000"/>
        <rFont val="Arial"/>
        <family val="2"/>
        <charset val="204"/>
      </rPr>
      <t xml:space="preserve">This indicator measures the number of calendar days it took for the Global Fund to make the final payment to the PR's account after the LFA received a qualifying FAR/FTR.
The estimated period is 45 days.
The actual period is equal to the number of days that have elapsed from the date the Principal Recipient submits the compliant IOR/RFP to the LFA office and until the payment is received in the OR's bank account.
</t>
    </r>
    <r>
      <rPr>
        <b/>
        <sz val="11"/>
        <color rgb="FF000000"/>
        <rFont val="Arial"/>
        <family val="2"/>
        <charset val="204"/>
      </rPr>
      <t>How many days later did sub-recipients receive payments?</t>
    </r>
    <r>
      <rPr>
        <sz val="11"/>
        <color rgb="FF000000"/>
        <rFont val="Arial"/>
        <family val="2"/>
        <charset val="204"/>
      </rPr>
      <t xml:space="preserve"> This indicator measures the average number of days it took to make payments to all SRs.
The expected duration is determined locally by the Principal Recipient and Subrecipients, preferably in the Grant Operations Manual.
The actual period is equal to the average number of days that have elapsed from the date of receipt of the GF payment by the Principal Recipient and until the date of receipt of funds by each SR. Different CPs may receive funds on different dates, and this figure is an average of the last payment to all CPs.</t>
    </r>
  </si>
  <si>
    <r>
      <rPr>
        <b/>
        <sz val="11"/>
        <color rgb="FF000000"/>
        <rFont val="Arial"/>
        <family val="2"/>
        <charset val="204"/>
      </rPr>
      <t>Defined</t>
    </r>
    <r>
      <rPr>
        <sz val="11"/>
        <color indexed="8"/>
        <rFont val="Arial"/>
        <family val="2"/>
      </rPr>
      <t xml:space="preserve">: The total number of potential SRs identified by the PR for a given phase. </t>
    </r>
    <r>
      <rPr>
        <b/>
        <sz val="11"/>
        <color rgb="FF000000"/>
        <rFont val="Arial"/>
        <family val="2"/>
        <charset val="204"/>
      </rPr>
      <t>Passed the assessment</t>
    </r>
    <r>
      <rPr>
        <sz val="11"/>
        <color indexed="8"/>
        <rFont val="Arial"/>
        <family val="2"/>
      </rPr>
      <t>: The total number of potential SRs whose level of qualification to perform the functions of SR for a given grant received a positive assessment by the PR.</t>
    </r>
    <r>
      <rPr>
        <b/>
        <sz val="11"/>
        <color rgb="FF000000"/>
        <rFont val="Arial"/>
        <family val="2"/>
        <charset val="204"/>
      </rPr>
      <t xml:space="preserve"> Approved:</t>
    </r>
    <r>
      <rPr>
        <sz val="11"/>
        <color indexed="8"/>
        <rFont val="Arial"/>
        <family val="2"/>
      </rPr>
      <t xml:space="preserve"> Total number of approved SRs. </t>
    </r>
    <r>
      <rPr>
        <b/>
        <sz val="11"/>
        <color rgb="FF000000"/>
        <rFont val="Arial"/>
        <family val="2"/>
        <charset val="204"/>
      </rPr>
      <t>Agreement Signatories:</t>
    </r>
    <r>
      <rPr>
        <sz val="11"/>
        <color indexed="8"/>
        <rFont val="Arial"/>
        <family val="2"/>
      </rPr>
      <t xml:space="preserve"> Total number of SRs who have signed agreements/contracts with PRs under this grant. </t>
    </r>
    <r>
      <rPr>
        <b/>
        <sz val="11"/>
        <color rgb="FF000000"/>
        <rFont val="Arial"/>
        <family val="2"/>
        <charset val="204"/>
      </rPr>
      <t>Receiving Funding</t>
    </r>
    <r>
      <rPr>
        <sz val="11"/>
        <color indexed="8"/>
        <rFont val="Arial"/>
        <family val="2"/>
      </rPr>
      <t>: Total number of SRs receiving funding and/or supplies from the PR.
The number of identified, qualified, approved, signed and funded SRs, unless:
When the approval obtained for Phase I continues to be valid if approval is not required for the appointment of a SR in Phase II.
When such SR is no longer in the potential, qualified and approved category, if an agreement with the SR was signed in a previous Phase, but is not being implemented in the current Phase.</t>
    </r>
  </si>
  <si>
    <t>During the reporting period, the Global Fund made payments in accordance with the approved annual payment schedule.
The OP's expenses amounted to $11,052,794. At the same time, there are financial obligations, mainly for the purchase of medical supplies and medical equipment, medicines and pharmaceuticals, GMS as of December 31, 2023 at $658,614. In total, for the current period, taking into account obligations, 82% of the allocated funds for the EP have been spent. During the current period, UNDP made payments to 25 JVs totaling $2,242,135 upon request from the JVs under 46 signed Agreements and budgets.</t>
  </si>
  <si>
    <t>Expenses are associated with the provision of all areas of the program's activities according to the tasks. During the reporting period, 80% of the allocated budget was spent according to actual needs. At the same time, at the end of the reporting period there are financial obligations for $658,614, taking into account which the development will be 84%.</t>
  </si>
  <si>
    <t>During the reporting period, the OP submitted a report to the Global Fund on time, February 29, 2023.</t>
  </si>
  <si>
    <t>Latest Rating</t>
  </si>
  <si>
    <t>Currently, the purchase of anti-TB drugs for the treatment of DR-TB patients is carried out through UNDP and the state budget. In general, the supply of available anti-DR-TB drugs across the two funding sources ranges from 2 to 27 months, with the exception of pretomanid, which has a supply of 118 months. This situation arose due to failure to recruit patients for the BPal and BPalM treatment regimens, which led to a stockpiling of the drug. When calculating the need for the purchase of anti-TB drugs for the treatment of tuberculosis with drug-resistant tuberculosis (DR-TB), the country predicted a transition to short-term regimens (SR) in a ratio of 40% to 60% relative to long-term treatment regimens. KR includes BPal, BPalM, as well as standard and modified short modes. In fact, enrollment in the Kyrgyz Republic is carried out at 23% versus 40%. In this connection, today there is a risk of expiration of pretomanid with an expiration date of 05.2027. However, the NTP is working on the early detection of tuberculosis, which is expected to result in an increase in the identification of patients in the early stages of tuberculosis, and therefore recruitment for short-term regimens, since one of the criteria for enrollment in CR is the absence of widespread TB and severe forms of extrapulmonary TB. Since the remaining shelf life is 41 months (3.5 years) and work is underway to expand the CD, the country expects a change in the situation towards an increase in the supply and, accordingly, the consumption of the drug. Due to the delay in deliveries purchased through the Kyrgyzpharmacy State Enterprise, several drugs are in 2 and 6 month reserves (Lfx250, Amx/Clv, Imp/Cls), and therefore there is a risk of failure to ensure uninterrupted supplies, which could lead to to breaks in treatment. Also available in small quantities are H300, E400, Z400, however, these drugs for the treatment of DR-TB are not widely used and are used in rare cases and therefore are not purchased specifically for the treatment of DR-TB, but are available in all health centers if necessary , since they are purchased at the expense of the state budget for the treatment of drug-sensitive tuberculosis. And also, in the table there are several names of anti-TB drugs that are currently not used in DR-TB treatment regimens - these are injectable anti-TB drugs (Cm, Km, Am) and drugs of group “C” - Pto, PAS, and therefore are not purchased. The remaining GX cartridges are 10.4 months, expiration dates are acceptable, there is no risk of expiration or shortage.</t>
  </si>
  <si>
    <t>Ral 100mg (chewable tablet)</t>
  </si>
  <si>
    <t xml:space="preserve">В течение отчетного периода 836 РУ/МЛУ ТБ случаев было зарегистрировано, включая 768 лабораторно подтвержденных РУ/МЛУ ТБ случаев. Цель была достигнута лишь на 42%. 17 РУ/МЛУ случаев было зарегистрировано в пенитенциарной системе, и 751 – в гражданском секторе. По сравнению с предыдущим отчетным периодом регистрация случаев РУ/МЛУ ТБ сократилась еще на 10%, по сравнению с пре-пандемийным периодом выявление сократилось на 42%: 858 в 2022 году,  914 в 2021, 1108 в 2020 и 1440 в 2019.  
Учитывая тенденцию в снижении выявления случаев ТБ, которое признается всеми международными экспертами и миссией ВОЗ как недовыявление, а также недостижение целевых показателей Национальной Программы (1200 случаев РУ/МЛУ ТБ в 2023) и гранта ГФ, по рекомендации ГФ при поддержке ПРООН страна разработала План по улучшению индикаторов, который включал  22 мероприятия, в т.ч. создание благоприятной нормативно-правовой среды, расширение активного выявления случаев среди уязвимых групп и обследование контактных, улучшение доступа и качества к консультированию по ТБ на уроне первичного звена, проведение координационных встреч, стади-туры для сотрудников НТП и СИН, и другие активности.   План внедрялся с октября 2022 года по декабрь 2023 года, оценочная стоимость плана составила около 300 тыс.$. Все мероприятия, за исключением одного (отменено НЦФ) были выполнены. В частности, проведены координационные встречи, 500 медицинских работников обучены на тренингах; НПО выявили и провели скрининг 3272 людям из числа контактных и 3083 из числа уязвимых групп в Ошской и Иссык-Кульской областях, в колониях-поселении в Чуйской области и в службе пробации в г.Бишкек; всего было выявлено 829 случая с симптомами ТБ, 641 из них прошли дальнейшее обследование на ТБ (77%), 32 случая активного ТБ было выявлено, и 7 случаев другой патологии. 244 детей были обследованы методом компьютерной томографии, у 88 (36%) был выявлен ТБ. 
Несмотря на реализацию этого плана, количество выявленных случаев РУ/МЛУ ТБ продолжает сокращаться. Согласно рекомендациям миссии ВОЗ (отчет 2023 г.), необходимо продолжить мероприятия по АВС среди наиболее уязвимых групп.  </t>
  </si>
  <si>
    <t xml:space="preserve">В настоящее время закупка ПТП для лечения ЛУ-ТБ больных осуществляется по линии ПРООН и гос.бюджета. В  общем запас имеющихся ПТП для лечения ЛУ-ТБ по двум источникам финансирования составляет от 2 до 27 месяцев, за исключением претоманида, который имеется в запасе на 118 месяцев.  Данная ситуация сложилась из-за невыполнения набора пациентов на BPal и BPalM режимы лечения, что привело к накоплению препарата. При расчете потребности на закупку противотуберкулезных препаратов для лечения туберкулеза с лекарственно-устойчивым туберкулезом (ЛУ-ТБ) страна прогнозировала переход на краткосрочные режимы (КР) в соотношении 40% на 60% относительно к длительным режимам лечения. К КР относятся BPal, BPalM, а также, стандартный и модифицированный короткие режимы. Фактически набор на КР осуществляется на 23% против 40%. В связи с чем на сегодняшний день имеется риск истечения претоманида со сроком годности - 05.2027. Однако, НТП ведет работу по раннему выявлению туберкулеза, следствием чего ожидают увеличение выявления больных на ранних стадиях туберкулеза, следовательно и набора на краткосрочные режимы, так как одним из критериев для взятия на КР является отсутствие распрастраненного  поражения ТБ и тяжелых форм внелегочного ТБ. Поскольку остаточный срок годности составляет 41 месяцев (3,5 года)  и работа над расширением КР ведется, страна ожидает изменение ситуации в сторону увеличения набора, соответственно и расхода препарата. Из-за задержки поставок закупленных через ГП "Кыргызфармация" несколько препаратов находятся в 2-х и 6-ти месячном запасе (Lfx250, Amx/Clv, Imp/Cls), в связи с чем есть риск невыполненеия обеспечения беспербойных поставок, что может привести к перерывам в лечении. Также, в малых количествах имеются - Н300, Е400, Z400, однако, данные препараты для лечения ЛУ-ТБ широко не используются и применяются в редких случаях и поэтому не закупаются специально для лечения ЛУ-ТБ, но при необходимости имеются в наличии во всех ОЗ, так как закупаются за счет гос.бюджета для лечения лекарственно-чувствительного туберкулеза. А также, в таблице имеются несколько наименований ПТП, которые на сегодняшний день не используются в режимах лечения ЛУ-ТБ - это инъекционные ПТП (Cm, Km, Am)  и препараты группы "С" - Pto, PAS  в связи с чем не закупаются.   Остаток GX картриджей составляет 10,4 месяцев,  сроки годности приемлемы, рисков по истечению срока  годности и дефицита нет. </t>
  </si>
  <si>
    <t xml:space="preserve">During the reporting period, the Global Fund made payments totaling $11,372,549. </t>
  </si>
  <si>
    <t xml:space="preserve">ГФ в отчетном периоде произвел выплату на общую сумму 11 372 549$. </t>
  </si>
  <si>
    <t>In August 2024, a final joint decision was made (GF, NTP, UNDP) on the southern laboratory: not to purchase a new module, to repair the existing building on the territory of the OCBBT, the laboratory will not carry out DST, only sputum microscopy and culture.
In August 2023, with the support of Dr. H. Hoffman (GIZ, Gauteng), UNDP implemented the terms of reference for the renovation of the existing building of the OCHS laboratory, and a tender was held for the company to carry out the work.
The renovation work completed by February 2024. The installation of the ventilation system is currently being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</si>
</sst>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00\ _₽_-;\-* #,##0.00\ _₽_-;_-* &quot;-&quot;??\ _₽_-;_-@_-"/>
    <numFmt numFmtId="166" formatCode="_-* #,##0.00_р_._-;\-* #,##0.00_р_._-;_-* &quot;-&quot;??_р_._-;_-@_-"/>
    <numFmt numFmtId="167" formatCode="&quot;Q&quot;#,##0_);[Red]\(&quot;Q&quot;#,##0\)"/>
    <numFmt numFmtId="168" formatCode="_(* #,##0_);_(* \(#,##0\);_(* &quot;-&quot;??_);_(@_)"/>
    <numFmt numFmtId="169" formatCode="0.0"/>
    <numFmt numFmtId="170" formatCode="_([$€]* #,##0.00_);_([$€]* \(#,##0.00\);_([$€]* &quot;-&quot;??_);_(@_)"/>
    <numFmt numFmtId="171" formatCode="[$$-409]#,##0"/>
    <numFmt numFmtId="172" formatCode="[$-409]d/mmm/yyyy;@"/>
    <numFmt numFmtId="173" formatCode="[$$-409]#,##0_);\([$$-409]#,##0\)"/>
    <numFmt numFmtId="174" formatCode="0.0%"/>
    <numFmt numFmtId="175" formatCode="#,##0.0"/>
    <numFmt numFmtId="176" formatCode="_-&quot;$&quot;* #,##0_-;\-&quot;$&quot;* #,##0_-;_-&quot;$&quot;* &quot;-&quot;_-;_-@_-"/>
    <numFmt numFmtId="177" formatCode="_ [$€-413]\ * #,##0.00_ ;_ [$€-413]\ * \-#,##0.00_ ;_ [$€-413]\ * &quot;-&quot;_ ;_ @_ "/>
    <numFmt numFmtId="178" formatCode="_-* #,##0.00\ &quot;€&quot;_-;\-* #,##0.00\ &quot;€&quot;_-;_-* &quot;-&quot;??\ &quot;€&quot;_-;_-@_-"/>
    <numFmt numFmtId="179" formatCode="_-[$€-2]\ * #,##0.00_-;\-[$€-2]\ * #,##0.00_-;_-[$€-2]\ * &quot;-&quot;??_-;_-@_-"/>
  </numFmts>
  <fonts count="161">
    <font>
      <sz val="11"/>
      <color indexed="8"/>
      <name val="Calibri"/>
      <family val="2"/>
    </font>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14"/>
      <color indexed="9"/>
      <name val="Calibri"/>
      <family val="2"/>
    </font>
    <font>
      <sz val="11"/>
      <color indexed="8"/>
      <name val="Arial"/>
      <family val="2"/>
    </font>
    <font>
      <b/>
      <sz val="14"/>
      <color indexed="51"/>
      <name val="Calibri"/>
      <family val="2"/>
    </font>
    <font>
      <sz val="11"/>
      <color indexed="59"/>
      <name val="Calibri"/>
      <family val="2"/>
    </font>
    <font>
      <sz val="10"/>
      <color indexed="59"/>
      <name val="Calibri"/>
      <family val="2"/>
    </font>
    <font>
      <b/>
      <sz val="14"/>
      <color indexed="9"/>
      <name val="Calibri"/>
      <family val="2"/>
    </font>
    <font>
      <b/>
      <sz val="15"/>
      <color indexed="62"/>
      <name val="Calibri"/>
      <family val="2"/>
    </font>
    <font>
      <b/>
      <sz val="13"/>
      <color indexed="62"/>
      <name val="Calibri"/>
      <family val="2"/>
    </font>
    <font>
      <sz val="11"/>
      <color indexed="53"/>
      <name val="Calibri"/>
      <family val="2"/>
    </font>
    <font>
      <b/>
      <sz val="10"/>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4"/>
      <color indexed="52"/>
      <name val="Calibri"/>
      <family val="2"/>
    </font>
    <font>
      <b/>
      <sz val="14"/>
      <color indexed="14"/>
      <name val="Calibri"/>
      <family val="2"/>
    </font>
    <font>
      <b/>
      <sz val="10"/>
      <color indexed="53"/>
      <name val="Calibri"/>
      <family val="2"/>
    </font>
    <font>
      <b/>
      <sz val="12"/>
      <name val="Arial"/>
      <family val="2"/>
    </font>
    <font>
      <i/>
      <sz val="11"/>
      <color indexed="8"/>
      <name val="Calibri"/>
      <family val="2"/>
    </font>
    <font>
      <b/>
      <sz val="11"/>
      <color indexed="60"/>
      <name val="Calibri"/>
      <family val="2"/>
    </font>
    <font>
      <sz val="10"/>
      <color indexed="60"/>
      <name val="Calibri"/>
      <family val="2"/>
    </font>
    <font>
      <i/>
      <sz val="11"/>
      <name val="Calibri"/>
      <family val="2"/>
    </font>
    <font>
      <sz val="10"/>
      <name val="Calibri"/>
      <family val="2"/>
    </font>
    <font>
      <sz val="9"/>
      <color indexed="16"/>
      <name val="Calibri"/>
      <family val="2"/>
    </font>
    <font>
      <b/>
      <i/>
      <sz val="14"/>
      <color indexed="12"/>
      <name val="Calibri"/>
      <family val="2"/>
    </font>
    <font>
      <sz val="16"/>
      <color indexed="9"/>
      <name val="Calibri"/>
      <family val="2"/>
    </font>
    <font>
      <sz val="12"/>
      <color indexed="9"/>
      <name val="Calibri"/>
      <family val="2"/>
    </font>
    <font>
      <sz val="8"/>
      <color indexed="16"/>
      <name val="Calibri"/>
      <family val="2"/>
    </font>
    <font>
      <sz val="11"/>
      <color indexed="10"/>
      <name val="Arial"/>
      <family val="2"/>
    </font>
    <font>
      <sz val="11"/>
      <name val="Arial"/>
      <family val="2"/>
    </font>
    <font>
      <b/>
      <sz val="8"/>
      <name val="Arial"/>
      <family val="2"/>
    </font>
    <font>
      <sz val="8"/>
      <color indexed="81"/>
      <name val="Tahoma"/>
      <family val="2"/>
    </font>
    <font>
      <b/>
      <sz val="20"/>
      <color indexed="8"/>
      <name val="Calibri"/>
      <family val="2"/>
    </font>
    <font>
      <sz val="20"/>
      <color indexed="8"/>
      <name val="Calibri"/>
      <family val="2"/>
    </font>
    <font>
      <b/>
      <sz val="11"/>
      <color indexed="8"/>
      <name val="Arial"/>
      <family val="2"/>
      <charset val="204"/>
    </font>
    <font>
      <b/>
      <sz val="22"/>
      <color indexed="9"/>
      <name val="Calibri"/>
      <family val="2"/>
    </font>
    <font>
      <sz val="11"/>
      <color theme="1"/>
      <name val="Calibri"/>
      <family val="2"/>
      <scheme val="minor"/>
    </font>
    <font>
      <b/>
      <sz val="11"/>
      <name val="Arial"/>
      <family val="2"/>
    </font>
    <font>
      <sz val="9"/>
      <color indexed="9"/>
      <name val="Calibri"/>
      <family val="2"/>
      <charset val="204"/>
    </font>
    <font>
      <sz val="9"/>
      <color indexed="8"/>
      <name val="Calibri"/>
      <family val="2"/>
      <charset val="204"/>
    </font>
    <font>
      <sz val="9"/>
      <name val="Calibri"/>
      <family val="2"/>
      <charset val="204"/>
    </font>
    <font>
      <b/>
      <sz val="10"/>
      <color indexed="8"/>
      <name val="Calibri"/>
      <family val="2"/>
      <charset val="204"/>
    </font>
    <font>
      <b/>
      <sz val="10"/>
      <name val="Calibri"/>
      <family val="2"/>
      <charset val="204"/>
    </font>
    <font>
      <sz val="11"/>
      <color theme="1"/>
      <name val="Calibri"/>
      <family val="2"/>
    </font>
    <font>
      <sz val="11"/>
      <color indexed="8"/>
      <name val="Calibri"/>
      <family val="2"/>
      <charset val="204"/>
    </font>
    <font>
      <sz val="11"/>
      <name val="Arial Unicode MS"/>
      <family val="2"/>
      <charset val="204"/>
    </font>
    <font>
      <sz val="10"/>
      <color theme="1"/>
      <name val="Calibri"/>
      <family val="2"/>
    </font>
    <font>
      <b/>
      <sz val="11"/>
      <name val="Calibri"/>
      <family val="2"/>
      <charset val="204"/>
    </font>
    <font>
      <sz val="11"/>
      <name val="Calibri"/>
      <family val="2"/>
      <charset val="204"/>
    </font>
    <font>
      <sz val="10"/>
      <name val="Arial"/>
      <family val="2"/>
      <charset val="204"/>
    </font>
    <font>
      <b/>
      <sz val="9"/>
      <color indexed="9"/>
      <name val="Calibri"/>
      <family val="2"/>
    </font>
    <font>
      <b/>
      <sz val="9"/>
      <name val="Calibri"/>
      <family val="2"/>
    </font>
    <font>
      <b/>
      <sz val="14"/>
      <color rgb="FFFF0000"/>
      <name val="Calibri"/>
      <family val="2"/>
    </font>
    <font>
      <b/>
      <sz val="11"/>
      <color indexed="8"/>
      <name val="Calibri"/>
      <family val="2"/>
      <charset val="204"/>
    </font>
    <font>
      <sz val="10"/>
      <name val="Arial Cyr"/>
      <charset val="204"/>
    </font>
    <font>
      <sz val="10"/>
      <name val="Arial"/>
      <family val="2"/>
      <charset val="238"/>
    </font>
    <font>
      <sz val="8"/>
      <name val="Arial"/>
      <family val="2"/>
      <charset val="238"/>
    </font>
    <font>
      <sz val="8"/>
      <color indexed="12"/>
      <name val="Arial"/>
      <family val="2"/>
      <charset val="238"/>
    </font>
    <font>
      <b/>
      <i/>
      <sz val="8"/>
      <name val="Arial"/>
      <family val="2"/>
      <charset val="238"/>
    </font>
    <font>
      <u/>
      <sz val="10"/>
      <color indexed="12"/>
      <name val="Arial"/>
      <family val="2"/>
    </font>
    <font>
      <sz val="8"/>
      <name val="Verdana"/>
      <family val="2"/>
      <charset val="238"/>
    </font>
    <font>
      <sz val="11"/>
      <color theme="1"/>
      <name val="Calibri"/>
      <family val="2"/>
      <charset val="238"/>
      <scheme val="minor"/>
    </font>
    <font>
      <b/>
      <sz val="10"/>
      <name val="Arial"/>
      <family val="2"/>
      <charset val="204"/>
    </font>
    <font>
      <u/>
      <sz val="10"/>
      <color indexed="12"/>
      <name val="Arial Cyr"/>
      <charset val="204"/>
    </font>
    <font>
      <sz val="12"/>
      <name val="Times New Roman"/>
      <family val="1"/>
    </font>
    <font>
      <b/>
      <sz val="12"/>
      <name val="Arial"/>
      <family val="2"/>
      <charset val="204"/>
    </font>
    <font>
      <sz val="8"/>
      <color indexed="8"/>
      <name val="Arial"/>
      <family val="2"/>
    </font>
    <font>
      <u/>
      <sz val="7.5"/>
      <color indexed="12"/>
      <name val="Arial Cyr"/>
    </font>
    <font>
      <u/>
      <sz val="7.5"/>
      <color indexed="36"/>
      <name val="Arial Cyr"/>
    </font>
    <font>
      <sz val="11"/>
      <color indexed="9"/>
      <name val="Calibri"/>
      <family val="2"/>
      <charset val="204"/>
    </font>
    <font>
      <i/>
      <sz val="8"/>
      <color indexed="55"/>
      <name val="Arial"/>
      <family val="2"/>
    </font>
    <font>
      <u/>
      <sz val="10"/>
      <color indexed="36"/>
      <name val="Arial Cyr"/>
    </font>
    <font>
      <sz val="11"/>
      <color theme="1"/>
      <name val="Arial"/>
      <family val="2"/>
    </font>
    <font>
      <sz val="11"/>
      <color indexed="62"/>
      <name val="Calibri"/>
      <family val="2"/>
      <charset val="204"/>
    </font>
    <font>
      <b/>
      <sz val="11"/>
      <color indexed="63"/>
      <name val="Calibri"/>
      <family val="2"/>
      <charset val="204"/>
    </font>
    <font>
      <b/>
      <sz val="11"/>
      <color indexed="52"/>
      <name val="Calibri"/>
      <family val="2"/>
      <charset val="204"/>
    </font>
    <font>
      <u/>
      <sz val="11"/>
      <color indexed="1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3"/>
      <color theme="1" tint="0.24994659260841701"/>
      <name val="Cambria"/>
      <family val="2"/>
      <scheme val="major"/>
    </font>
    <font>
      <sz val="12"/>
      <name val="Georgia"/>
      <family val="1"/>
    </font>
    <font>
      <sz val="8"/>
      <color rgb="FF000000"/>
      <name val="Calibri"/>
      <family val="2"/>
    </font>
    <font>
      <sz val="10"/>
      <color rgb="FF0D0D0D"/>
      <name val="Calibri"/>
      <family val="2"/>
    </font>
    <font>
      <sz val="8"/>
      <name val="Calibri"/>
      <family val="2"/>
      <charset val="204"/>
    </font>
    <font>
      <sz val="11"/>
      <color indexed="8"/>
      <name val="Arial"/>
      <family val="2"/>
      <charset val="204"/>
    </font>
    <font>
      <b/>
      <sz val="11"/>
      <name val="Arial"/>
      <family val="2"/>
      <charset val="204"/>
    </font>
    <font>
      <sz val="11"/>
      <color rgb="FF000000"/>
      <name val="Arial"/>
      <family val="2"/>
    </font>
    <font>
      <b/>
      <sz val="11"/>
      <color rgb="FF000000"/>
      <name val="Arial"/>
      <family val="2"/>
    </font>
    <font>
      <sz val="11"/>
      <color rgb="FF000000"/>
      <name val="Calibri"/>
      <family val="2"/>
      <charset val="204"/>
    </font>
    <font>
      <sz val="10"/>
      <color rgb="FF000000"/>
      <name val="Calibri"/>
      <family val="2"/>
    </font>
    <font>
      <sz val="11"/>
      <color rgb="FF000000"/>
      <name val="Calibri"/>
      <family val="2"/>
    </font>
    <font>
      <sz val="11"/>
      <color rgb="FF800000"/>
      <name val="Calibri"/>
      <family val="2"/>
    </font>
    <font>
      <sz val="10"/>
      <color rgb="FFFF0000"/>
      <name val="Calibri"/>
      <family val="2"/>
    </font>
    <font>
      <b/>
      <sz val="11"/>
      <color rgb="FF000000"/>
      <name val="Calibri"/>
      <family val="2"/>
    </font>
    <font>
      <sz val="8"/>
      <color rgb="FF000000"/>
      <name val="Calibri"/>
      <family val="2"/>
      <charset val="1"/>
    </font>
    <font>
      <sz val="10"/>
      <name val="Calibri"/>
      <family val="2"/>
      <charset val="204"/>
    </font>
    <font>
      <sz val="11"/>
      <color rgb="FF000000"/>
      <name val="Arial"/>
      <family val="2"/>
      <charset val="204"/>
    </font>
    <font>
      <b/>
      <sz val="11"/>
      <color rgb="FF000000"/>
      <name val="Arial"/>
      <family val="2"/>
      <charset val="204"/>
    </font>
    <font>
      <sz val="11"/>
      <color rgb="FFFF0000"/>
      <name val="Calibri"/>
      <family val="2"/>
      <charset val="204"/>
    </font>
    <font>
      <sz val="11"/>
      <color indexed="8"/>
      <name val="Symbol"/>
      <family val="1"/>
      <charset val="2"/>
    </font>
    <font>
      <b/>
      <i/>
      <sz val="11"/>
      <color indexed="8"/>
      <name val="Arial"/>
      <family val="2"/>
    </font>
    <font>
      <b/>
      <sz val="11"/>
      <color indexed="53"/>
      <name val="Arial"/>
      <family val="2"/>
    </font>
    <font>
      <sz val="11"/>
      <color rgb="FFFF0000"/>
      <name val="Calibri"/>
      <family val="2"/>
    </font>
    <font>
      <sz val="10"/>
      <color rgb="FFFF0000"/>
      <name val="Calibri"/>
      <family val="2"/>
      <charset val="204"/>
    </font>
  </fonts>
  <fills count="6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gray0625">
        <fgColor indexed="52"/>
        <bgColor indexed="43"/>
      </patternFill>
    </fill>
    <fill>
      <patternFill patternType="gray0625">
        <fgColor indexed="51"/>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gray0625">
        <fgColor indexed="51"/>
        <bgColor indexed="43"/>
      </patternFill>
    </fill>
    <fill>
      <patternFill patternType="solid">
        <fgColor indexed="43"/>
        <bgColor indexed="52"/>
      </patternFill>
    </fill>
    <fill>
      <patternFill patternType="solid">
        <fgColor indexed="62"/>
        <bgColor indexed="64"/>
      </patternFill>
    </fill>
    <fill>
      <patternFill patternType="solid">
        <fgColor indexed="14"/>
        <bgColor indexed="64"/>
      </patternFill>
    </fill>
    <fill>
      <patternFill patternType="solid">
        <fgColor indexed="57"/>
        <bgColor indexed="64"/>
      </patternFill>
    </fill>
    <fill>
      <patternFill patternType="solid">
        <fgColor indexed="18"/>
        <bgColor indexed="64"/>
      </patternFill>
    </fill>
    <fill>
      <patternFill patternType="solid">
        <fgColor indexed="13"/>
        <bgColor indexed="64"/>
      </patternFill>
    </fill>
    <fill>
      <patternFill patternType="solid">
        <fgColor theme="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FFFFCC"/>
        <bgColor indexed="64"/>
      </patternFill>
    </fill>
    <fill>
      <patternFill patternType="gray0625">
        <fgColor indexed="51"/>
        <bgColor rgb="FFFFFFCC"/>
      </patternFill>
    </fill>
    <fill>
      <patternFill patternType="solid">
        <fgColor rgb="FFFFFFCC"/>
        <bgColor indexed="51"/>
      </patternFill>
    </fill>
    <fill>
      <patternFill patternType="solid">
        <fgColor theme="9" tint="-0.249977111117893"/>
        <bgColor indexed="64"/>
      </patternFill>
    </fill>
    <fill>
      <patternFill patternType="solid">
        <fgColor indexed="31"/>
        <bgColor indexed="64"/>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24"/>
      </patternFill>
    </fill>
    <fill>
      <patternFill patternType="solid">
        <fgColor indexed="62"/>
      </patternFill>
    </fill>
    <fill>
      <patternFill patternType="solid">
        <fgColor theme="4" tint="0.79998168889431442"/>
        <bgColor indexed="64"/>
      </patternFill>
    </fill>
    <fill>
      <patternFill patternType="solid">
        <fgColor rgb="FFFFF2CC"/>
        <bgColor indexed="64"/>
      </patternFill>
    </fill>
    <fill>
      <patternFill patternType="solid">
        <fgColor rgb="FFD9D9D9"/>
        <bgColor indexed="64"/>
      </patternFill>
    </fill>
    <fill>
      <patternFill patternType="solid">
        <fgColor rgb="FFFFCC99"/>
        <bgColor rgb="FF000000"/>
      </patternFill>
    </fill>
    <fill>
      <patternFill patternType="solid">
        <fgColor rgb="FF99CCFF"/>
        <bgColor rgb="FF000000"/>
      </patternFill>
    </fill>
    <fill>
      <patternFill patternType="solid">
        <fgColor rgb="FFFABF8F"/>
        <bgColor rgb="FF000000"/>
      </patternFill>
    </fill>
    <fill>
      <patternFill patternType="solid">
        <fgColor rgb="FF8DB4E2"/>
        <bgColor indexed="64"/>
      </patternFill>
    </fill>
    <fill>
      <patternFill patternType="solid">
        <fgColor rgb="FFFFFFFF"/>
        <bgColor indexed="64"/>
      </patternFill>
    </fill>
    <fill>
      <patternFill patternType="solid">
        <fgColor theme="6" tint="0.39997558519241921"/>
        <bgColor indexed="64"/>
      </patternFill>
    </fill>
  </fills>
  <borders count="1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right/>
      <top/>
      <bottom style="medium">
        <color indexed="12"/>
      </bottom>
      <diagonal/>
    </border>
    <border>
      <left style="thin">
        <color indexed="64"/>
      </left>
      <right style="thin">
        <color indexed="64"/>
      </right>
      <top style="medium">
        <color indexed="48"/>
      </top>
      <bottom style="thin">
        <color indexed="64"/>
      </bottom>
      <diagonal/>
    </border>
    <border>
      <left style="thin">
        <color indexed="64"/>
      </left>
      <right style="medium">
        <color indexed="48"/>
      </right>
      <top style="thin">
        <color indexed="64"/>
      </top>
      <bottom style="thin">
        <color indexed="64"/>
      </bottom>
      <diagonal/>
    </border>
    <border>
      <left style="medium">
        <color indexed="48"/>
      </left>
      <right style="thin">
        <color indexed="64"/>
      </right>
      <top style="thin">
        <color indexed="64"/>
      </top>
      <bottom style="medium">
        <color indexed="48"/>
      </bottom>
      <diagonal/>
    </border>
    <border>
      <left style="thin">
        <color indexed="64"/>
      </left>
      <right style="medium">
        <color indexed="48"/>
      </right>
      <top style="thin">
        <color indexed="64"/>
      </top>
      <bottom style="medium">
        <color indexed="48"/>
      </bottom>
      <diagonal/>
    </border>
    <border>
      <left style="medium">
        <color indexed="48"/>
      </left>
      <right/>
      <top style="medium">
        <color indexed="48"/>
      </top>
      <bottom/>
      <diagonal/>
    </border>
    <border>
      <left style="thin">
        <color indexed="64"/>
      </left>
      <right style="medium">
        <color indexed="48"/>
      </right>
      <top style="medium">
        <color indexed="48"/>
      </top>
      <bottom style="thin">
        <color indexed="64"/>
      </bottom>
      <diagonal/>
    </border>
    <border>
      <left/>
      <right/>
      <top/>
      <bottom style="medium">
        <color indexed="51"/>
      </bottom>
      <diagonal/>
    </border>
    <border>
      <left style="thin">
        <color indexed="64"/>
      </left>
      <right style="medium">
        <color indexed="51"/>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30"/>
      </top>
      <bottom style="thin">
        <color indexed="30"/>
      </bottom>
      <diagonal/>
    </border>
    <border>
      <left/>
      <right style="thick">
        <color indexed="9"/>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51"/>
      </top>
      <bottom style="thin">
        <color indexed="64"/>
      </bottom>
      <diagonal/>
    </border>
    <border>
      <left style="thin">
        <color indexed="64"/>
      </left>
      <right style="thin">
        <color indexed="64"/>
      </right>
      <top style="thin">
        <color indexed="64"/>
      </top>
      <bottom style="medium">
        <color indexed="48"/>
      </bottom>
      <diagonal/>
    </border>
    <border>
      <left style="medium">
        <color indexed="16"/>
      </left>
      <right style="thin">
        <color indexed="16"/>
      </right>
      <top/>
      <bottom style="thin">
        <color indexed="16"/>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51"/>
      </bottom>
      <diagonal/>
    </border>
    <border>
      <left style="medium">
        <color indexed="51"/>
      </left>
      <right style="medium">
        <color indexed="51"/>
      </right>
      <top style="medium">
        <color indexed="51"/>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indexed="64"/>
      </top>
      <bottom style="thin">
        <color indexed="64"/>
      </bottom>
      <diagonal/>
    </border>
    <border>
      <left style="medium">
        <color indexed="64"/>
      </left>
      <right/>
      <top/>
      <bottom style="thin">
        <color indexed="64"/>
      </bottom>
      <diagonal/>
    </border>
    <border>
      <left style="thin">
        <color indexed="16"/>
      </left>
      <right style="thin">
        <color indexed="16"/>
      </right>
      <top style="thin">
        <color indexed="16"/>
      </top>
      <bottom/>
      <diagonal/>
    </border>
    <border>
      <left style="thin">
        <color indexed="16"/>
      </left>
      <right style="thin">
        <color indexed="16"/>
      </right>
      <top style="medium">
        <color indexed="51"/>
      </top>
      <bottom style="thin">
        <color indexed="64"/>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thin">
        <color indexed="60"/>
      </left>
      <right style="medium">
        <color indexed="60"/>
      </right>
      <top style="thin">
        <color indexed="60"/>
      </top>
      <bottom style="medium">
        <color indexed="60"/>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style="medium">
        <color indexed="51"/>
      </top>
      <bottom style="thin">
        <color indexed="64"/>
      </bottom>
      <diagonal/>
    </border>
    <border>
      <left style="medium">
        <color indexed="60"/>
      </left>
      <right style="thin">
        <color indexed="60"/>
      </right>
      <top style="medium">
        <color indexed="60"/>
      </top>
      <bottom/>
      <diagonal/>
    </border>
    <border>
      <left style="thin">
        <color indexed="60"/>
      </left>
      <right style="thin">
        <color indexed="60"/>
      </right>
      <top style="medium">
        <color indexed="60"/>
      </top>
      <bottom/>
      <diagonal/>
    </border>
    <border>
      <left style="thin">
        <color indexed="60"/>
      </left>
      <right style="medium">
        <color indexed="60"/>
      </right>
      <top style="medium">
        <color indexed="6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0"/>
      </left>
      <right style="medium">
        <color indexed="60"/>
      </right>
      <top style="medium">
        <color indexed="60"/>
      </top>
      <bottom style="medium">
        <color indexed="60"/>
      </bottom>
      <diagonal/>
    </border>
    <border>
      <left style="thin">
        <color indexed="64"/>
      </left>
      <right style="thin">
        <color indexed="64"/>
      </right>
      <top style="thin">
        <color indexed="64"/>
      </top>
      <bottom/>
      <diagonal/>
    </border>
    <border>
      <left style="medium">
        <color indexed="12"/>
      </left>
      <right style="medium">
        <color indexed="12"/>
      </right>
      <top style="medium">
        <color indexed="12"/>
      </top>
      <bottom style="medium">
        <color indexed="12"/>
      </bottom>
      <diagonal/>
    </border>
    <border>
      <left style="medium">
        <color indexed="51"/>
      </left>
      <right style="medium">
        <color indexed="51"/>
      </right>
      <top style="medium">
        <color indexed="51"/>
      </top>
      <bottom style="medium">
        <color indexed="5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medium">
        <color indexed="5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51"/>
      </left>
      <right/>
      <top style="thin">
        <color indexed="64"/>
      </top>
      <bottom style="thin">
        <color indexed="64"/>
      </bottom>
      <diagonal/>
    </border>
    <border>
      <left style="medium">
        <color indexed="51"/>
      </left>
      <right style="medium">
        <color indexed="51"/>
      </right>
      <top style="thin">
        <color indexed="64"/>
      </top>
      <bottom style="medium">
        <color indexed="51"/>
      </bottom>
      <diagonal/>
    </border>
    <border>
      <left/>
      <right style="thin">
        <color indexed="64"/>
      </right>
      <top style="thin">
        <color indexed="64"/>
      </top>
      <bottom style="medium">
        <color indexed="51"/>
      </bottom>
      <diagonal/>
    </border>
    <border>
      <left/>
      <right/>
      <top style="medium">
        <color indexed="60"/>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top style="medium">
        <color indexed="51"/>
      </top>
      <bottom style="thin">
        <color indexed="64"/>
      </bottom>
      <diagonal/>
    </border>
    <border>
      <left style="medium">
        <color indexed="51"/>
      </left>
      <right style="thin">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ck">
        <color indexed="9"/>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0"/>
      </left>
      <right style="thin">
        <color indexed="60"/>
      </right>
      <top style="medium">
        <color indexed="64"/>
      </top>
      <bottom style="thin">
        <color indexed="64"/>
      </bottom>
      <diagonal/>
    </border>
    <border>
      <left/>
      <right style="medium">
        <color indexed="64"/>
      </right>
      <top style="medium">
        <color indexed="64"/>
      </top>
      <bottom/>
      <diagonal/>
    </border>
    <border>
      <left style="medium">
        <color indexed="51"/>
      </left>
      <right/>
      <top style="thin">
        <color indexed="64"/>
      </top>
      <bottom/>
      <diagonal/>
    </border>
    <border>
      <left style="medium">
        <color indexed="51"/>
      </left>
      <right/>
      <top/>
      <bottom style="thin">
        <color indexed="64"/>
      </bottom>
      <diagonal/>
    </border>
    <border>
      <left style="medium">
        <color indexed="51"/>
      </left>
      <right style="medium">
        <color indexed="51"/>
      </right>
      <top style="thin">
        <color indexed="64"/>
      </top>
      <bottom/>
      <diagonal/>
    </border>
    <border>
      <left style="medium">
        <color indexed="51"/>
      </left>
      <right style="medium">
        <color indexed="51"/>
      </right>
      <top/>
      <bottom style="thin">
        <color indexed="64"/>
      </bottom>
      <diagonal/>
    </border>
    <border>
      <left style="medium">
        <color indexed="51"/>
      </left>
      <right style="thin">
        <color indexed="64"/>
      </right>
      <top style="thin">
        <color indexed="64"/>
      </top>
      <bottom/>
      <diagonal/>
    </border>
    <border>
      <left style="thin">
        <color indexed="64"/>
      </left>
      <right style="medium">
        <color indexed="16"/>
      </right>
      <top style="thin">
        <color indexed="64"/>
      </top>
      <bottom style="thin">
        <color indexed="64"/>
      </bottom>
      <diagonal/>
    </border>
    <border>
      <left style="medium">
        <color indexed="48"/>
      </left>
      <right/>
      <top style="thin">
        <color indexed="64"/>
      </top>
      <bottom style="medium">
        <color indexed="48"/>
      </bottom>
      <diagonal/>
    </border>
    <border>
      <left/>
      <right style="thin">
        <color indexed="64"/>
      </right>
      <top style="thin">
        <color indexed="64"/>
      </top>
      <bottom style="medium">
        <color indexed="48"/>
      </bottom>
      <diagonal/>
    </border>
    <border>
      <left style="medium">
        <color indexed="48"/>
      </left>
      <right/>
      <top style="thin">
        <color indexed="64"/>
      </top>
      <bottom style="thin">
        <color indexed="64"/>
      </bottom>
      <diagonal/>
    </border>
    <border>
      <left style="medium">
        <color indexed="48"/>
      </left>
      <right/>
      <top style="medium">
        <color indexed="48"/>
      </top>
      <bottom style="thin">
        <color indexed="64"/>
      </bottom>
      <diagonal/>
    </border>
    <border>
      <left/>
      <right style="thin">
        <color indexed="64"/>
      </right>
      <top style="medium">
        <color indexed="48"/>
      </top>
      <bottom style="thin">
        <color indexed="64"/>
      </bottom>
      <diagonal/>
    </border>
    <border>
      <left style="medium">
        <color indexed="51"/>
      </left>
      <right style="thin">
        <color indexed="64"/>
      </right>
      <top/>
      <bottom style="medium">
        <color indexed="51"/>
      </bottom>
      <diagonal/>
    </border>
    <border>
      <left style="thin">
        <color indexed="16"/>
      </left>
      <right style="medium">
        <color indexed="64"/>
      </right>
      <top style="medium">
        <color indexed="64"/>
      </top>
      <bottom style="thin">
        <color indexed="64"/>
      </bottom>
      <diagonal/>
    </border>
    <border>
      <left/>
      <right/>
      <top style="thin">
        <color auto="1"/>
      </top>
      <bottom/>
      <diagonal/>
    </border>
    <border>
      <left/>
      <right/>
      <top/>
      <bottom style="thick">
        <color indexed="62"/>
      </bottom>
      <diagonal/>
    </border>
    <border>
      <left/>
      <right/>
      <top style="thin">
        <color indexed="62"/>
      </top>
      <bottom style="double">
        <color indexed="62"/>
      </bottom>
      <diagonal/>
    </border>
    <border>
      <left style="hair">
        <color theme="8"/>
      </left>
      <right style="hair">
        <color theme="8"/>
      </right>
      <top style="hair">
        <color theme="8"/>
      </top>
      <bottom style="hair">
        <color theme="8"/>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51"/>
      </right>
      <top style="thin">
        <color indexed="64"/>
      </top>
      <bottom/>
      <diagonal/>
    </border>
    <border>
      <left/>
      <right style="medium">
        <color indexed="51"/>
      </right>
      <top/>
      <bottom style="thin">
        <color indexed="64"/>
      </bottom>
      <diagonal/>
    </border>
    <border>
      <left/>
      <right style="medium">
        <color indexed="51"/>
      </right>
      <top/>
      <bottom style="medium">
        <color indexed="51"/>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51"/>
      </left>
      <right style="medium">
        <color indexed="51"/>
      </right>
      <top/>
      <bottom style="medium">
        <color indexed="51"/>
      </bottom>
      <diagonal/>
    </border>
    <border>
      <left style="medium">
        <color indexed="51"/>
      </left>
      <right style="medium">
        <color indexed="51"/>
      </right>
      <top style="medium">
        <color indexed="51"/>
      </top>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800000"/>
      </left>
      <right style="thin">
        <color rgb="FF800000"/>
      </right>
      <top style="thin">
        <color rgb="FF800000"/>
      </top>
      <bottom/>
      <diagonal/>
    </border>
    <border>
      <left style="thin">
        <color rgb="FF993300"/>
      </left>
      <right style="thin">
        <color rgb="FF993300"/>
      </right>
      <top style="thin">
        <color rgb="FF993300"/>
      </top>
      <bottom style="thin">
        <color rgb="FF993300"/>
      </bottom>
      <diagonal/>
    </border>
    <border>
      <left/>
      <right style="medium">
        <color indexed="64"/>
      </right>
      <top style="thin">
        <color rgb="FF993300"/>
      </top>
      <bottom style="thin">
        <color rgb="FF993300"/>
      </bottom>
      <diagonal/>
    </border>
    <border>
      <left style="thin">
        <color rgb="FF993300"/>
      </left>
      <right style="thin">
        <color rgb="FF993300"/>
      </right>
      <top/>
      <bottom style="thin">
        <color rgb="FF993300"/>
      </bottom>
      <diagonal/>
    </border>
    <border>
      <left/>
      <right style="medium">
        <color indexed="64"/>
      </right>
      <top/>
      <bottom style="thin">
        <color rgb="FF993300"/>
      </bottom>
      <diagonal/>
    </border>
    <border>
      <left style="medium">
        <color indexed="64"/>
      </left>
      <right style="thin">
        <color rgb="FF993300"/>
      </right>
      <top style="thin">
        <color rgb="FF993300"/>
      </top>
      <bottom style="thin">
        <color rgb="FF993300"/>
      </bottom>
      <diagonal/>
    </border>
    <border>
      <left style="medium">
        <color indexed="64"/>
      </left>
      <right style="thin">
        <color rgb="FF993300"/>
      </right>
      <top/>
      <bottom style="thin">
        <color rgb="FF993300"/>
      </bottom>
      <diagonal/>
    </border>
    <border>
      <left style="medium">
        <color indexed="64"/>
      </left>
      <right style="thin">
        <color indexed="64"/>
      </right>
      <top/>
      <bottom style="medium">
        <color rgb="FF000000"/>
      </bottom>
      <diagonal/>
    </border>
    <border>
      <left/>
      <right style="medium">
        <color indexed="51"/>
      </right>
      <top style="medium">
        <color indexed="51"/>
      </top>
      <bottom style="thin">
        <color indexed="64"/>
      </bottom>
      <diagonal/>
    </border>
    <border>
      <left style="thin">
        <color indexed="60"/>
      </left>
      <right/>
      <top style="medium">
        <color indexed="60"/>
      </top>
      <bottom/>
      <diagonal/>
    </border>
    <border>
      <left/>
      <right/>
      <top style="thin">
        <color rgb="FF993300"/>
      </top>
      <bottom style="thin">
        <color rgb="FF993300"/>
      </bottom>
      <diagonal/>
    </border>
    <border>
      <left/>
      <right/>
      <top/>
      <bottom style="thin">
        <color rgb="FF993300"/>
      </bottom>
      <diagonal/>
    </border>
    <border>
      <left style="thin">
        <color indexed="60"/>
      </left>
      <right/>
      <top style="thin">
        <color indexed="60"/>
      </top>
      <bottom style="thin">
        <color indexed="60"/>
      </bottom>
      <diagonal/>
    </border>
    <border>
      <left style="thin">
        <color indexed="60"/>
      </left>
      <right/>
      <top style="thin">
        <color indexed="60"/>
      </top>
      <bottom style="medium">
        <color indexed="60"/>
      </bottom>
      <diagonal/>
    </border>
  </borders>
  <cellStyleXfs count="18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3" borderId="0" applyNumberFormat="0" applyBorder="0" applyAlignment="0" applyProtection="0"/>
    <xf numFmtId="0" fontId="16" fillId="12"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7" borderId="0" applyNumberFormat="0" applyBorder="0" applyAlignment="0" applyProtection="0"/>
    <xf numFmtId="0" fontId="6" fillId="6" borderId="0" applyNumberFormat="0" applyBorder="0" applyAlignment="0" applyProtection="0"/>
    <xf numFmtId="0" fontId="10" fillId="2" borderId="1" applyNumberFormat="0" applyAlignment="0" applyProtection="0"/>
    <xf numFmtId="0" fontId="12" fillId="18" borderId="2" applyNumberFormat="0" applyAlignment="0" applyProtection="0"/>
    <xf numFmtId="170" fontId="3" fillId="0" borderId="0" applyFont="0" applyFill="0" applyBorder="0" applyAlignment="0" applyProtection="0"/>
    <xf numFmtId="0" fontId="14" fillId="0" borderId="0" applyNumberFormat="0" applyFill="0" applyBorder="0" applyAlignment="0" applyProtection="0"/>
    <xf numFmtId="0" fontId="5" fillId="7" borderId="0" applyNumberFormat="0" applyBorder="0" applyAlignment="0" applyProtection="0"/>
    <xf numFmtId="0" fontId="49" fillId="0" borderId="4" applyNumberFormat="0" applyFill="0" applyAlignment="0" applyProtection="0"/>
    <xf numFmtId="0" fontId="50"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8" fillId="3" borderId="1" applyNumberFormat="0" applyAlignment="0" applyProtection="0"/>
    <xf numFmtId="0" fontId="11" fillId="0" borderId="3" applyNumberFormat="0" applyFill="0" applyAlignment="0" applyProtection="0"/>
    <xf numFmtId="43" fontId="3" fillId="0" borderId="0" applyFill="0" applyBorder="0" applyAlignment="0" applyProtection="0"/>
    <xf numFmtId="43" fontId="8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xf numFmtId="43" fontId="2" fillId="0" borderId="0"/>
    <xf numFmtId="43" fontId="84" fillId="0" borderId="0"/>
    <xf numFmtId="43" fontId="84" fillId="0" borderId="0"/>
    <xf numFmtId="43" fontId="84" fillId="0" borderId="0"/>
    <xf numFmtId="43" fontId="84" fillId="0" borderId="0"/>
    <xf numFmtId="0" fontId="3" fillId="4" borderId="7" applyNumberFormat="0" applyFont="0" applyAlignment="0" applyProtection="0"/>
    <xf numFmtId="0" fontId="9" fillId="2" borderId="8" applyNumberFormat="0" applyAlignment="0" applyProtection="0"/>
    <xf numFmtId="0" fontId="42" fillId="0" borderId="0" applyNumberFormat="0" applyFill="0" applyBorder="0" applyAlignment="0" applyProtection="0"/>
    <xf numFmtId="43" fontId="84" fillId="0" borderId="9" applyNumberFormat="0" applyFill="0" applyAlignment="0" applyProtection="0"/>
    <xf numFmtId="43" fontId="2" fillId="0" borderId="9" applyNumberFormat="0" applyFill="0" applyAlignment="0" applyProtection="0"/>
    <xf numFmtId="43" fontId="84" fillId="0" borderId="9" applyNumberFormat="0" applyFill="0" applyAlignment="0" applyProtection="0"/>
    <xf numFmtId="0" fontId="51"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84" fillId="0" borderId="0"/>
    <xf numFmtId="0" fontId="102" fillId="0" borderId="0"/>
    <xf numFmtId="0" fontId="103" fillId="0" borderId="0"/>
    <xf numFmtId="9" fontId="3" fillId="0" borderId="0" applyFont="0" applyFill="0" applyBorder="0" applyAlignment="0" applyProtection="0"/>
    <xf numFmtId="9" fontId="103" fillId="0" borderId="0" applyFont="0" applyFill="0" applyBorder="0" applyAlignment="0" applyProtection="0"/>
    <xf numFmtId="164" fontId="103" fillId="0" borderId="0" applyFont="0" applyFill="0" applyBorder="0" applyAlignment="0" applyProtection="0"/>
    <xf numFmtId="3" fontId="104" fillId="41" borderId="0">
      <alignment horizontal="center"/>
    </xf>
    <xf numFmtId="9" fontId="104" fillId="41" borderId="0">
      <alignment horizontal="center"/>
    </xf>
    <xf numFmtId="3" fontId="105" fillId="0" borderId="0">
      <alignment horizontal="center" vertical="center"/>
      <protection locked="0"/>
    </xf>
    <xf numFmtId="174" fontId="105" fillId="0" borderId="0">
      <alignment horizontal="center" vertical="center"/>
      <protection locked="0"/>
    </xf>
    <xf numFmtId="49" fontId="106" fillId="0" borderId="0">
      <alignment horizontal="left"/>
    </xf>
    <xf numFmtId="0" fontId="107" fillId="0" borderId="0" applyNumberFormat="0" applyFill="0" applyBorder="0" applyAlignment="0" applyProtection="0"/>
    <xf numFmtId="0" fontId="3" fillId="0" borderId="0"/>
    <xf numFmtId="0" fontId="108" fillId="0" borderId="0"/>
    <xf numFmtId="0" fontId="103" fillId="0" borderId="0"/>
    <xf numFmtId="0" fontId="103" fillId="0" borderId="0"/>
    <xf numFmtId="0" fontId="103" fillId="0" borderId="0"/>
    <xf numFmtId="0" fontId="97" fillId="0" borderId="0"/>
    <xf numFmtId="0" fontId="97" fillId="0" borderId="0"/>
    <xf numFmtId="166" fontId="109" fillId="0" borderId="0" applyFont="0" applyFill="0" applyBorder="0" applyAlignment="0" applyProtection="0"/>
    <xf numFmtId="9" fontId="109" fillId="0" borderId="0" applyFont="0" applyFill="0" applyBorder="0" applyAlignment="0" applyProtection="0"/>
    <xf numFmtId="0" fontId="112" fillId="0" borderId="0"/>
    <xf numFmtId="165" fontId="112" fillId="0" borderId="0" applyFont="0" applyFill="0" applyBorder="0" applyAlignment="0" applyProtection="0"/>
    <xf numFmtId="164" fontId="109" fillId="0" borderId="0" applyFont="0" applyFill="0" applyBorder="0" applyAlignment="0" applyProtection="0"/>
    <xf numFmtId="165" fontId="103" fillId="0" borderId="0" applyFont="0" applyFill="0" applyBorder="0" applyAlignment="0" applyProtection="0"/>
    <xf numFmtId="9" fontId="109" fillId="0" borderId="0" applyFont="0" applyFill="0" applyBorder="0" applyAlignment="0" applyProtection="0"/>
    <xf numFmtId="176" fontId="104" fillId="0" borderId="118">
      <alignment horizontal="center" vertical="center"/>
    </xf>
    <xf numFmtId="177" fontId="114" fillId="0" borderId="0">
      <protection locked="0"/>
    </xf>
    <xf numFmtId="177" fontId="78" fillId="0" borderId="0">
      <alignment horizontal="center" vertical="center"/>
    </xf>
    <xf numFmtId="0" fontId="115"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177" fontId="92" fillId="42" borderId="0" applyNumberFormat="0" applyBorder="0" applyAlignment="0" applyProtection="0"/>
    <xf numFmtId="177" fontId="92" fillId="6" borderId="0" applyNumberFormat="0" applyBorder="0" applyAlignment="0" applyProtection="0"/>
    <xf numFmtId="177" fontId="92" fillId="7" borderId="0" applyNumberFormat="0" applyBorder="0" applyAlignment="0" applyProtection="0"/>
    <xf numFmtId="177" fontId="92" fillId="43" borderId="0" applyNumberFormat="0" applyBorder="0" applyAlignment="0" applyProtection="0"/>
    <xf numFmtId="177" fontId="92" fillId="5" borderId="0" applyNumberFormat="0" applyBorder="0" applyAlignment="0" applyProtection="0"/>
    <xf numFmtId="177" fontId="92" fillId="3" borderId="0" applyNumberFormat="0" applyBorder="0" applyAlignment="0" applyProtection="0"/>
    <xf numFmtId="177" fontId="92" fillId="11" borderId="0" applyNumberFormat="0" applyBorder="0" applyAlignment="0" applyProtection="0"/>
    <xf numFmtId="177" fontId="92" fillId="9" borderId="0" applyNumberFormat="0" applyBorder="0" applyAlignment="0" applyProtection="0"/>
    <xf numFmtId="177" fontId="92" fillId="44" borderId="0" applyNumberFormat="0" applyBorder="0" applyAlignment="0" applyProtection="0"/>
    <xf numFmtId="177" fontId="92" fillId="43" borderId="0" applyNumberFormat="0" applyBorder="0" applyAlignment="0" applyProtection="0"/>
    <xf numFmtId="177" fontId="92" fillId="11" borderId="0" applyNumberFormat="0" applyBorder="0" applyAlignment="0" applyProtection="0"/>
    <xf numFmtId="177" fontId="92" fillId="45" borderId="0" applyNumberFormat="0" applyBorder="0" applyAlignment="0" applyProtection="0"/>
    <xf numFmtId="177" fontId="117" fillId="46" borderId="0" applyNumberFormat="0" applyBorder="0" applyAlignment="0" applyProtection="0"/>
    <xf numFmtId="177" fontId="117" fillId="9" borderId="0" applyNumberFormat="0" applyBorder="0" applyAlignment="0" applyProtection="0"/>
    <xf numFmtId="177" fontId="117" fillId="44" borderId="0" applyNumberFormat="0" applyBorder="0" applyAlignment="0" applyProtection="0"/>
    <xf numFmtId="177" fontId="117" fillId="47" borderId="0" applyNumberFormat="0" applyBorder="0" applyAlignment="0" applyProtection="0"/>
    <xf numFmtId="177" fontId="117" fillId="12" borderId="0" applyNumberFormat="0" applyBorder="0" applyAlignment="0" applyProtection="0"/>
    <xf numFmtId="177" fontId="117" fillId="48" borderId="0" applyNumberFormat="0" applyBorder="0" applyAlignment="0" applyProtection="0"/>
    <xf numFmtId="0" fontId="111" fillId="0" borderId="0" applyNumberFormat="0" applyFill="0" applyBorder="0" applyAlignment="0" applyProtection="0">
      <alignment vertical="top"/>
      <protection locked="0"/>
    </xf>
    <xf numFmtId="164" fontId="103" fillId="0" borderId="0" applyFont="0" applyFill="0" applyBorder="0" applyAlignment="0" applyProtection="0"/>
    <xf numFmtId="165" fontId="92" fillId="0" borderId="0" applyFont="0" applyFill="0" applyBorder="0" applyAlignment="0" applyProtection="0"/>
    <xf numFmtId="178" fontId="103" fillId="0" borderId="0" applyFont="0" applyFill="0" applyBorder="0" applyAlignment="0" applyProtection="0"/>
    <xf numFmtId="177" fontId="107" fillId="0" borderId="0" applyNumberFormat="0" applyFill="0" applyBorder="0" applyAlignment="0" applyProtection="0">
      <alignment vertical="top"/>
      <protection locked="0"/>
    </xf>
    <xf numFmtId="0" fontId="118" fillId="0" borderId="0"/>
    <xf numFmtId="0" fontId="119" fillId="0" borderId="0" applyNumberFormat="0" applyFill="0" applyBorder="0" applyAlignment="0" applyProtection="0">
      <alignment vertical="top"/>
      <protection locked="0"/>
    </xf>
    <xf numFmtId="0" fontId="103" fillId="7" borderId="10" applyBorder="0">
      <alignment vertical="top"/>
    </xf>
    <xf numFmtId="177" fontId="104" fillId="0" borderId="0"/>
    <xf numFmtId="0" fontId="109" fillId="0" borderId="0"/>
    <xf numFmtId="0" fontId="103" fillId="0" borderId="0"/>
    <xf numFmtId="0" fontId="109" fillId="0" borderId="0"/>
    <xf numFmtId="177" fontId="103" fillId="0" borderId="0"/>
    <xf numFmtId="0" fontId="109" fillId="0" borderId="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20" fillId="0" borderId="0" applyFont="0" applyFill="0" applyBorder="0" applyAlignment="0" applyProtection="0"/>
    <xf numFmtId="0" fontId="113" fillId="8" borderId="29">
      <alignment horizontal="centerContinuous"/>
    </xf>
    <xf numFmtId="49" fontId="110" fillId="49" borderId="10">
      <alignment horizontal="center" vertical="center" wrapText="1"/>
    </xf>
    <xf numFmtId="177" fontId="117" fillId="50" borderId="0" applyNumberFormat="0" applyBorder="0" applyAlignment="0" applyProtection="0"/>
    <xf numFmtId="177" fontId="117" fillId="13" borderId="0" applyNumberFormat="0" applyBorder="0" applyAlignment="0" applyProtection="0"/>
    <xf numFmtId="177" fontId="117" fillId="15" borderId="0" applyNumberFormat="0" applyBorder="0" applyAlignment="0" applyProtection="0"/>
    <xf numFmtId="177" fontId="117" fillId="47" borderId="0" applyNumberFormat="0" applyBorder="0" applyAlignment="0" applyProtection="0"/>
    <xf numFmtId="177" fontId="117" fillId="12" borderId="0" applyNumberFormat="0" applyBorder="0" applyAlignment="0" applyProtection="0"/>
    <xf numFmtId="177" fontId="117" fillId="14" borderId="0" applyNumberFormat="0" applyBorder="0" applyAlignment="0" applyProtection="0"/>
    <xf numFmtId="177" fontId="121" fillId="3" borderId="1" applyNumberFormat="0" applyAlignment="0" applyProtection="0"/>
    <xf numFmtId="177" fontId="122" fillId="8" borderId="8" applyNumberFormat="0" applyAlignment="0" applyProtection="0"/>
    <xf numFmtId="177" fontId="123" fillId="8" borderId="1" applyNumberFormat="0" applyAlignment="0" applyProtection="0"/>
    <xf numFmtId="0" fontId="107"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177" fontId="125" fillId="0" borderId="119" applyNumberFormat="0" applyFill="0" applyAlignment="0" applyProtection="0"/>
    <xf numFmtId="177" fontId="126" fillId="0" borderId="5" applyNumberFormat="0" applyFill="0" applyAlignment="0" applyProtection="0"/>
    <xf numFmtId="177" fontId="127" fillId="0" borderId="9" applyNumberFormat="0" applyFill="0" applyAlignment="0" applyProtection="0"/>
    <xf numFmtId="177" fontId="127" fillId="0" borderId="0" applyNumberFormat="0" applyFill="0" applyBorder="0" applyAlignment="0" applyProtection="0"/>
    <xf numFmtId="177" fontId="101" fillId="0" borderId="120" applyNumberFormat="0" applyFill="0" applyAlignment="0" applyProtection="0"/>
    <xf numFmtId="177" fontId="128" fillId="18" borderId="2" applyNumberFormat="0" applyAlignment="0" applyProtection="0"/>
    <xf numFmtId="177" fontId="129" fillId="0" borderId="0" applyNumberFormat="0" applyFill="0" applyBorder="0" applyAlignment="0" applyProtection="0"/>
    <xf numFmtId="177" fontId="130" fillId="10" borderId="0" applyNumberFormat="0" applyBorder="0" applyAlignment="0" applyProtection="0"/>
    <xf numFmtId="0" fontId="102" fillId="0" borderId="0"/>
    <xf numFmtId="0" fontId="109" fillId="0" borderId="0"/>
    <xf numFmtId="0" fontId="103" fillId="0" borderId="0"/>
    <xf numFmtId="0" fontId="92" fillId="0" borderId="0"/>
    <xf numFmtId="0" fontId="92" fillId="0" borderId="0"/>
    <xf numFmtId="0" fontId="103" fillId="0" borderId="0"/>
    <xf numFmtId="0" fontId="102" fillId="0" borderId="0"/>
    <xf numFmtId="177" fontId="131" fillId="6" borderId="0" applyNumberFormat="0" applyBorder="0" applyAlignment="0" applyProtection="0"/>
    <xf numFmtId="177" fontId="132" fillId="0" borderId="0" applyNumberFormat="0" applyFill="0" applyBorder="0" applyAlignment="0" applyProtection="0"/>
    <xf numFmtId="177" fontId="103" fillId="4" borderId="7" applyNumberFormat="0" applyFont="0" applyAlignment="0" applyProtection="0"/>
    <xf numFmtId="9" fontId="102" fillId="0" borderId="0" applyFont="0" applyFill="0" applyBorder="0" applyAlignment="0" applyProtection="0"/>
    <xf numFmtId="177" fontId="133" fillId="0" borderId="3" applyNumberFormat="0" applyFill="0" applyAlignment="0" applyProtection="0"/>
    <xf numFmtId="177" fontId="134" fillId="0" borderId="0" applyNumberFormat="0" applyFill="0" applyBorder="0" applyAlignment="0" applyProtection="0"/>
    <xf numFmtId="165" fontId="103" fillId="0" borderId="0" applyFont="0" applyFill="0" applyBorder="0" applyAlignment="0" applyProtection="0"/>
    <xf numFmtId="165" fontId="109" fillId="0" borderId="0" applyFont="0" applyFill="0" applyBorder="0" applyAlignment="0" applyProtection="0"/>
    <xf numFmtId="175" fontId="103" fillId="0" borderId="0" applyFont="0" applyFill="0" applyBorder="0" applyAlignment="0" applyProtection="0"/>
    <xf numFmtId="169" fontId="103" fillId="0" borderId="0" applyFont="0" applyFill="0" applyBorder="0" applyAlignment="0" applyProtection="0"/>
    <xf numFmtId="166" fontId="102" fillId="0" borderId="0" applyFont="0" applyFill="0" applyBorder="0" applyAlignment="0" applyProtection="0"/>
    <xf numFmtId="166" fontId="103" fillId="0" borderId="0" applyFont="0" applyFill="0" applyBorder="0" applyAlignment="0" applyProtection="0"/>
    <xf numFmtId="177" fontId="135" fillId="7" borderId="0" applyNumberFormat="0" applyBorder="0" applyAlignment="0" applyProtection="0"/>
    <xf numFmtId="179" fontId="135" fillId="7" borderId="0" applyNumberFormat="0" applyBorder="0" applyAlignment="0" applyProtection="0"/>
    <xf numFmtId="0" fontId="21" fillId="0" borderId="0"/>
    <xf numFmtId="0" fontId="136" fillId="0" borderId="0" applyFill="0" applyBorder="0" applyProtection="0">
      <alignment horizontal="left"/>
    </xf>
    <xf numFmtId="43" fontId="1" fillId="0" borderId="0"/>
    <xf numFmtId="9" fontId="2" fillId="0" borderId="0" applyFont="0" applyFill="0" applyBorder="0" applyAlignment="0" applyProtection="0"/>
    <xf numFmtId="43" fontId="1" fillId="0" borderId="9" applyNumberFormat="0" applyFill="0" applyAlignment="0" applyProtection="0"/>
    <xf numFmtId="43" fontId="2" fillId="0" borderId="0" applyFont="0" applyFill="0" applyBorder="0" applyAlignment="0" applyProtection="0"/>
    <xf numFmtId="43" fontId="1" fillId="0" borderId="9" applyNumberFormat="0" applyFill="0" applyAlignment="0" applyProtection="0"/>
    <xf numFmtId="43" fontId="1" fillId="0" borderId="0"/>
    <xf numFmtId="43" fontId="1" fillId="0" borderId="0"/>
    <xf numFmtId="43" fontId="1" fillId="0" borderId="0"/>
    <xf numFmtId="43" fontId="1" fillId="0" borderId="0"/>
  </cellStyleXfs>
  <cellXfs count="1085">
    <xf numFmtId="0" fontId="0" fillId="0" borderId="0" xfId="0"/>
    <xf numFmtId="43" fontId="17" fillId="0" borderId="0" xfId="38" applyFont="1" applyAlignment="1">
      <alignment vertical="center"/>
    </xf>
    <xf numFmtId="43" fontId="23" fillId="0" borderId="0" xfId="38" applyFont="1" applyAlignment="1">
      <alignment vertical="center"/>
    </xf>
    <xf numFmtId="0" fontId="22" fillId="0" borderId="0" xfId="0" applyFont="1"/>
    <xf numFmtId="43" fontId="20" fillId="0" borderId="0" xfId="49" applyFont="1"/>
    <xf numFmtId="43" fontId="20" fillId="0" borderId="0" xfId="49" applyFont="1" applyAlignment="1">
      <alignment horizontal="center"/>
    </xf>
    <xf numFmtId="43" fontId="20" fillId="0" borderId="0" xfId="49" applyFont="1" applyAlignment="1">
      <alignment horizontal="right"/>
    </xf>
    <xf numFmtId="43" fontId="84" fillId="0" borderId="0" xfId="48"/>
    <xf numFmtId="43" fontId="16" fillId="0" borderId="0" xfId="48" applyFont="1"/>
    <xf numFmtId="0" fontId="19" fillId="0" borderId="0" xfId="48" applyNumberFormat="1" applyFont="1"/>
    <xf numFmtId="43" fontId="84" fillId="0" borderId="0" xfId="50"/>
    <xf numFmtId="43" fontId="84" fillId="0" borderId="0" xfId="50" applyAlignment="1">
      <alignment horizontal="left"/>
    </xf>
    <xf numFmtId="0" fontId="16" fillId="0" borderId="0" xfId="0" applyFont="1"/>
    <xf numFmtId="43" fontId="16" fillId="0" borderId="0" xfId="50" applyFont="1"/>
    <xf numFmtId="15" fontId="30" fillId="0" borderId="0" xfId="0" applyNumberFormat="1" applyFont="1" applyAlignment="1" applyProtection="1">
      <alignment horizontal="center" vertical="center" wrapText="1"/>
      <protection locked="0"/>
    </xf>
    <xf numFmtId="43" fontId="29" fillId="0" borderId="0" xfId="0" applyNumberFormat="1" applyFont="1"/>
    <xf numFmtId="168" fontId="29" fillId="0" borderId="0" xfId="60" applyNumberFormat="1" applyFont="1" applyAlignment="1">
      <alignment horizontal="left"/>
    </xf>
    <xf numFmtId="43" fontId="17" fillId="0" borderId="0" xfId="47" applyFont="1" applyAlignment="1">
      <alignment vertical="center"/>
    </xf>
    <xf numFmtId="0" fontId="0" fillId="0" borderId="10" xfId="0" applyBorder="1" applyAlignment="1">
      <alignment horizontal="center"/>
    </xf>
    <xf numFmtId="0" fontId="2" fillId="0" borderId="0" xfId="0" applyFont="1"/>
    <xf numFmtId="10" fontId="7" fillId="0" borderId="0" xfId="59" applyNumberFormat="1" applyFont="1" applyFill="1" applyBorder="1" applyAlignment="1">
      <alignment horizontal="center"/>
    </xf>
    <xf numFmtId="10" fontId="7" fillId="0" borderId="0" xfId="59" applyNumberFormat="1" applyFont="1" applyFill="1" applyBorder="1" applyAlignment="1" applyProtection="1">
      <alignment horizontal="center"/>
      <protection locked="0"/>
    </xf>
    <xf numFmtId="43" fontId="84" fillId="0" borderId="0" xfId="57" applyFill="1" applyBorder="1" applyAlignment="1" applyProtection="1">
      <alignment vertical="center"/>
      <protection locked="0"/>
    </xf>
    <xf numFmtId="167" fontId="33" fillId="0" borderId="0" xfId="0" applyNumberFormat="1" applyFont="1" applyAlignment="1">
      <alignment horizontal="center"/>
    </xf>
    <xf numFmtId="0" fontId="27" fillId="0" borderId="0" xfId="0" applyFont="1" applyAlignment="1">
      <alignment horizontal="centerContinuous"/>
    </xf>
    <xf numFmtId="0" fontId="0" fillId="0" borderId="0" xfId="0" applyAlignment="1">
      <alignment horizontal="centerContinuous"/>
    </xf>
    <xf numFmtId="43" fontId="39" fillId="0" borderId="0" xfId="57" applyFont="1" applyFill="1" applyBorder="1" applyAlignment="1" applyProtection="1">
      <alignment vertical="center"/>
      <protection locked="0"/>
    </xf>
    <xf numFmtId="0" fontId="0" fillId="0" borderId="10" xfId="0" applyBorder="1"/>
    <xf numFmtId="0" fontId="0" fillId="0" borderId="0" xfId="0" applyAlignment="1">
      <alignment horizontal="center"/>
    </xf>
    <xf numFmtId="22" fontId="0" fillId="0" borderId="0" xfId="0" applyNumberFormat="1"/>
    <xf numFmtId="2" fontId="0" fillId="0" borderId="0" xfId="0" applyNumberFormat="1"/>
    <xf numFmtId="2" fontId="84" fillId="0" borderId="0" xfId="55" applyNumberFormat="1" applyFill="1" applyBorder="1" applyAlignment="1" applyProtection="1">
      <alignment horizontal="center"/>
      <protection locked="0"/>
    </xf>
    <xf numFmtId="0" fontId="16" fillId="0" borderId="0" xfId="0" applyFont="1" applyAlignment="1">
      <alignment horizontal="center"/>
    </xf>
    <xf numFmtId="0" fontId="24" fillId="0" borderId="0" xfId="0" applyFont="1"/>
    <xf numFmtId="0" fontId="16" fillId="0" borderId="0" xfId="0" applyFont="1" applyAlignment="1">
      <alignment horizontal="left" indent="1"/>
    </xf>
    <xf numFmtId="0" fontId="19" fillId="0" borderId="0" xfId="0" applyFont="1" applyAlignment="1">
      <alignment horizontal="left" indent="1"/>
    </xf>
    <xf numFmtId="43" fontId="46" fillId="0" borderId="0" xfId="48" applyFont="1"/>
    <xf numFmtId="43" fontId="46" fillId="0" borderId="0" xfId="50" applyFont="1"/>
    <xf numFmtId="0" fontId="46" fillId="0" borderId="10" xfId="0" applyFont="1" applyBorder="1" applyAlignment="1">
      <alignment horizontal="center"/>
    </xf>
    <xf numFmtId="0" fontId="46" fillId="0" borderId="10" xfId="0" applyFont="1" applyBorder="1"/>
    <xf numFmtId="43" fontId="46" fillId="0" borderId="10" xfId="50" applyFont="1" applyBorder="1"/>
    <xf numFmtId="0" fontId="47" fillId="0" borderId="10" xfId="0" applyFont="1" applyBorder="1" applyAlignment="1">
      <alignment horizontal="left" indent="1"/>
    </xf>
    <xf numFmtId="0" fontId="48" fillId="19" borderId="10" xfId="0" applyFont="1" applyFill="1" applyBorder="1" applyAlignment="1">
      <alignment horizontal="center"/>
    </xf>
    <xf numFmtId="3" fontId="16" fillId="20" borderId="11" xfId="0" applyNumberFormat="1" applyFont="1" applyFill="1" applyBorder="1" applyAlignment="1">
      <alignment horizontal="right"/>
    </xf>
    <xf numFmtId="3" fontId="16" fillId="20" borderId="11" xfId="60" applyNumberFormat="1" applyFont="1" applyFill="1" applyBorder="1"/>
    <xf numFmtId="9" fontId="16" fillId="20" borderId="11" xfId="59" applyFont="1" applyFill="1" applyBorder="1"/>
    <xf numFmtId="0" fontId="16" fillId="20" borderId="11" xfId="0" applyFont="1" applyFill="1" applyBorder="1"/>
    <xf numFmtId="9" fontId="16" fillId="20" borderId="11" xfId="59" applyFont="1" applyFill="1" applyBorder="1" applyAlignment="1">
      <alignment horizontal="center"/>
    </xf>
    <xf numFmtId="0" fontId="15" fillId="0" borderId="0" xfId="0" applyFont="1"/>
    <xf numFmtId="15" fontId="0" fillId="0" borderId="0" xfId="0" applyNumberFormat="1" applyAlignment="1">
      <alignment horizontal="center"/>
    </xf>
    <xf numFmtId="1" fontId="22" fillId="0" borderId="0" xfId="0" applyNumberFormat="1" applyFont="1" applyAlignment="1">
      <alignment horizontal="center"/>
    </xf>
    <xf numFmtId="1" fontId="53" fillId="20" borderId="0" xfId="0" applyNumberFormat="1" applyFont="1" applyFill="1" applyAlignment="1">
      <alignment horizontal="center"/>
    </xf>
    <xf numFmtId="0" fontId="53" fillId="0" borderId="0" xfId="0" applyFont="1" applyAlignment="1">
      <alignment horizontal="left"/>
    </xf>
    <xf numFmtId="0" fontId="54" fillId="0" borderId="0" xfId="0" applyFont="1"/>
    <xf numFmtId="43" fontId="39" fillId="0" borderId="0" xfId="57" applyFont="1" applyFill="1" applyBorder="1" applyAlignment="1" applyProtection="1">
      <alignment horizontal="center" vertical="center"/>
      <protection locked="0"/>
    </xf>
    <xf numFmtId="43" fontId="32" fillId="0" borderId="12" xfId="57" applyFont="1" applyBorder="1" applyAlignment="1" applyProtection="1"/>
    <xf numFmtId="43" fontId="84" fillId="0" borderId="12" xfId="57" applyFill="1" applyBorder="1" applyAlignment="1" applyProtection="1">
      <alignment vertical="center"/>
    </xf>
    <xf numFmtId="43" fontId="32" fillId="0" borderId="0" xfId="57" applyFont="1" applyBorder="1" applyAlignment="1" applyProtection="1"/>
    <xf numFmtId="43" fontId="84" fillId="0" borderId="0" xfId="57" applyFill="1" applyBorder="1" applyAlignment="1" applyProtection="1">
      <alignment vertical="center"/>
    </xf>
    <xf numFmtId="0" fontId="33" fillId="0" borderId="13" xfId="0" applyFont="1" applyBorder="1" applyAlignment="1">
      <alignment horizontal="center"/>
    </xf>
    <xf numFmtId="15" fontId="33" fillId="0" borderId="14" xfId="0" applyNumberFormat="1" applyFont="1" applyBorder="1" applyAlignment="1">
      <alignment horizontal="center"/>
    </xf>
    <xf numFmtId="0" fontId="33" fillId="0" borderId="15" xfId="0" applyFont="1" applyBorder="1" applyAlignment="1">
      <alignment horizontal="center"/>
    </xf>
    <xf numFmtId="168" fontId="16" fillId="0" borderId="0" xfId="0" applyNumberFormat="1" applyFont="1"/>
    <xf numFmtId="0" fontId="7" fillId="0" borderId="0" xfId="0" applyFont="1" applyAlignment="1">
      <alignment horizontal="centerContinuous"/>
    </xf>
    <xf numFmtId="10" fontId="7" fillId="0" borderId="0" xfId="59" applyNumberFormat="1" applyFont="1" applyFill="1" applyBorder="1" applyAlignment="1" applyProtection="1">
      <alignment horizontal="center"/>
    </xf>
    <xf numFmtId="0" fontId="7" fillId="0" borderId="0" xfId="0" applyFont="1"/>
    <xf numFmtId="0" fontId="27" fillId="0" borderId="0" xfId="0" applyFont="1" applyAlignment="1">
      <alignment horizontal="centerContinuous" wrapText="1"/>
    </xf>
    <xf numFmtId="43" fontId="38" fillId="0" borderId="16" xfId="57" applyFont="1" applyBorder="1" applyAlignment="1" applyProtection="1"/>
    <xf numFmtId="43" fontId="39" fillId="0" borderId="16" xfId="57" applyFont="1" applyFill="1" applyBorder="1" applyAlignment="1" applyProtection="1">
      <alignment vertical="center"/>
    </xf>
    <xf numFmtId="43" fontId="39" fillId="0" borderId="0" xfId="57" applyFont="1" applyFill="1" applyBorder="1" applyAlignment="1" applyProtection="1">
      <alignment vertical="center"/>
    </xf>
    <xf numFmtId="43" fontId="38" fillId="0" borderId="0" xfId="57" applyFont="1" applyBorder="1" applyAlignment="1" applyProtection="1"/>
    <xf numFmtId="43" fontId="40" fillId="0" borderId="0" xfId="57" applyFont="1" applyFill="1" applyBorder="1" applyAlignment="1" applyProtection="1">
      <alignment vertical="center"/>
    </xf>
    <xf numFmtId="0" fontId="15" fillId="0" borderId="0" xfId="0" applyFont="1" applyAlignment="1">
      <alignment horizontal="center"/>
    </xf>
    <xf numFmtId="0" fontId="15" fillId="0" borderId="17" xfId="0" applyFont="1" applyBorder="1" applyAlignment="1">
      <alignment horizontal="center"/>
    </xf>
    <xf numFmtId="0" fontId="15" fillId="0" borderId="17" xfId="0" applyFont="1" applyBorder="1" applyAlignment="1">
      <alignment horizontal="center" wrapText="1"/>
    </xf>
    <xf numFmtId="1" fontId="22" fillId="20" borderId="18" xfId="0" applyNumberFormat="1" applyFont="1" applyFill="1" applyBorder="1" applyAlignment="1">
      <alignment horizontal="center"/>
    </xf>
    <xf numFmtId="1" fontId="22" fillId="20" borderId="20" xfId="0" applyNumberFormat="1" applyFont="1" applyFill="1" applyBorder="1" applyAlignment="1">
      <alignment horizontal="center"/>
    </xf>
    <xf numFmtId="0" fontId="0" fillId="0" borderId="22" xfId="0" applyBorder="1" applyAlignment="1">
      <alignment horizontal="center"/>
    </xf>
    <xf numFmtId="0" fontId="0" fillId="0" borderId="0" xfId="0" applyAlignment="1">
      <alignment horizontal="center" wrapText="1"/>
    </xf>
    <xf numFmtId="43" fontId="0" fillId="0" borderId="0" xfId="0" applyNumberFormat="1"/>
    <xf numFmtId="43" fontId="45" fillId="0" borderId="23" xfId="57" applyFont="1" applyFill="1" applyBorder="1" applyAlignment="1" applyProtection="1"/>
    <xf numFmtId="43" fontId="39" fillId="0" borderId="23" xfId="57" applyFont="1" applyFill="1" applyBorder="1" applyAlignment="1" applyProtection="1">
      <alignment vertical="center"/>
    </xf>
    <xf numFmtId="168" fontId="29" fillId="0" borderId="0" xfId="60" applyNumberFormat="1" applyFont="1" applyAlignment="1" applyProtection="1">
      <alignment horizontal="left"/>
    </xf>
    <xf numFmtId="15" fontId="29" fillId="0" borderId="0" xfId="0" applyNumberFormat="1" applyFont="1" applyAlignment="1">
      <alignment horizontal="left"/>
    </xf>
    <xf numFmtId="43" fontId="29" fillId="0" borderId="0" xfId="0" applyNumberFormat="1" applyFont="1" applyAlignment="1">
      <alignment horizontal="right"/>
    </xf>
    <xf numFmtId="168" fontId="29" fillId="0" borderId="0" xfId="60" applyNumberFormat="1" applyFont="1" applyBorder="1" applyAlignment="1" applyProtection="1">
      <alignment horizontal="left"/>
    </xf>
    <xf numFmtId="0" fontId="20" fillId="0" borderId="0" xfId="0" applyFont="1" applyAlignment="1">
      <alignment horizontal="center"/>
    </xf>
    <xf numFmtId="0" fontId="35" fillId="0" borderId="0" xfId="0" applyFont="1"/>
    <xf numFmtId="15" fontId="27" fillId="0" borderId="0" xfId="0" applyNumberFormat="1" applyFont="1"/>
    <xf numFmtId="15" fontId="27" fillId="0" borderId="0" xfId="0" applyNumberFormat="1" applyFont="1" applyAlignment="1">
      <alignment horizontal="center" wrapText="1"/>
    </xf>
    <xf numFmtId="0" fontId="27" fillId="0" borderId="0" xfId="0" applyFont="1"/>
    <xf numFmtId="0" fontId="46" fillId="0" borderId="0" xfId="0" applyFont="1"/>
    <xf numFmtId="43" fontId="16" fillId="0" borderId="0" xfId="0" applyNumberFormat="1" applyFont="1"/>
    <xf numFmtId="0" fontId="29" fillId="0" borderId="0" xfId="0" applyFont="1" applyAlignment="1">
      <alignment horizontal="center"/>
    </xf>
    <xf numFmtId="15" fontId="29" fillId="0" borderId="0" xfId="0" applyNumberFormat="1" applyFont="1" applyAlignment="1">
      <alignment horizontal="center"/>
    </xf>
    <xf numFmtId="43" fontId="0" fillId="0" borderId="0" xfId="0" applyNumberFormat="1" applyAlignment="1">
      <alignment horizontal="right"/>
    </xf>
    <xf numFmtId="3" fontId="0" fillId="0" borderId="0" xfId="0" applyNumberFormat="1"/>
    <xf numFmtId="43" fontId="37" fillId="0" borderId="0" xfId="0" applyNumberFormat="1" applyFont="1"/>
    <xf numFmtId="168" fontId="7" fillId="0" borderId="0" xfId="60" applyNumberFormat="1" applyFont="1" applyFill="1" applyBorder="1" applyAlignment="1" applyProtection="1">
      <protection locked="0"/>
    </xf>
    <xf numFmtId="168" fontId="7" fillId="0" borderId="0" xfId="60" applyNumberFormat="1" applyFont="1" applyFill="1" applyBorder="1" applyProtection="1">
      <protection locked="0"/>
    </xf>
    <xf numFmtId="0" fontId="16" fillId="20" borderId="0" xfId="0" applyFont="1" applyFill="1"/>
    <xf numFmtId="167" fontId="16" fillId="20" borderId="0" xfId="0" applyNumberFormat="1" applyFont="1" applyFill="1"/>
    <xf numFmtId="168" fontId="16" fillId="20" borderId="0" xfId="0" applyNumberFormat="1" applyFont="1" applyFill="1"/>
    <xf numFmtId="3" fontId="16" fillId="20" borderId="0" xfId="0" applyNumberFormat="1" applyFont="1" applyFill="1"/>
    <xf numFmtId="0" fontId="35" fillId="0" borderId="0" xfId="0" applyFont="1" applyAlignment="1" applyProtection="1">
      <alignment horizontal="left"/>
      <protection locked="0"/>
    </xf>
    <xf numFmtId="43" fontId="18" fillId="0" borderId="0" xfId="46" applyFont="1" applyAlignment="1">
      <alignment horizontal="center" vertical="center"/>
    </xf>
    <xf numFmtId="43" fontId="17" fillId="0" borderId="0" xfId="46" applyFont="1" applyAlignment="1">
      <alignment vertical="center"/>
    </xf>
    <xf numFmtId="0" fontId="55" fillId="0" borderId="0" xfId="0" applyFont="1"/>
    <xf numFmtId="43" fontId="21" fillId="0" borderId="27" xfId="55" applyFont="1" applyBorder="1" applyAlignment="1" applyProtection="1">
      <alignment horizontal="right"/>
    </xf>
    <xf numFmtId="0" fontId="13" fillId="0" borderId="0" xfId="0" applyFont="1"/>
    <xf numFmtId="0" fontId="0" fillId="20" borderId="0" xfId="0" applyFill="1"/>
    <xf numFmtId="0" fontId="0" fillId="20" borderId="28" xfId="0" applyFill="1" applyBorder="1"/>
    <xf numFmtId="43" fontId="61" fillId="0" borderId="0" xfId="0" applyNumberFormat="1" applyFont="1"/>
    <xf numFmtId="0" fontId="61" fillId="0" borderId="0" xfId="0" applyFont="1"/>
    <xf numFmtId="43" fontId="0" fillId="0" borderId="0" xfId="0" quotePrefix="1" applyNumberFormat="1"/>
    <xf numFmtId="43" fontId="84" fillId="0" borderId="0" xfId="51" applyAlignment="1">
      <alignment horizontal="center"/>
    </xf>
    <xf numFmtId="0" fontId="35" fillId="0" borderId="0" xfId="0" quotePrefix="1" applyFont="1"/>
    <xf numFmtId="43" fontId="62" fillId="0" borderId="23" xfId="57" applyFont="1" applyFill="1" applyBorder="1" applyAlignment="1" applyProtection="1"/>
    <xf numFmtId="43" fontId="10" fillId="0" borderId="23" xfId="57" applyFont="1" applyFill="1" applyBorder="1" applyAlignment="1" applyProtection="1">
      <alignment vertical="center"/>
    </xf>
    <xf numFmtId="0" fontId="3" fillId="0" borderId="32" xfId="0" applyFont="1" applyBorder="1" applyAlignment="1">
      <alignment horizontal="center"/>
    </xf>
    <xf numFmtId="43" fontId="64" fillId="0" borderId="23" xfId="57" applyFont="1" applyFill="1" applyBorder="1" applyAlignment="1" applyProtection="1">
      <alignment vertical="center"/>
    </xf>
    <xf numFmtId="0" fontId="63" fillId="0" borderId="0" xfId="0" applyFont="1"/>
    <xf numFmtId="15" fontId="7" fillId="0" borderId="0" xfId="0" applyNumberFormat="1" applyFont="1" applyAlignment="1">
      <alignment horizontal="centerContinuous"/>
    </xf>
    <xf numFmtId="15" fontId="7" fillId="0" borderId="0" xfId="0" applyNumberFormat="1" applyFont="1" applyAlignment="1">
      <alignment horizontal="center"/>
    </xf>
    <xf numFmtId="1" fontId="22" fillId="24" borderId="10" xfId="0" applyNumberFormat="1" applyFont="1" applyFill="1" applyBorder="1" applyAlignment="1" applyProtection="1">
      <alignment horizontal="center"/>
      <protection locked="0"/>
    </xf>
    <xf numFmtId="1" fontId="22" fillId="24" borderId="33"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8" fontId="0" fillId="0" borderId="0" xfId="0" applyNumberFormat="1"/>
    <xf numFmtId="0" fontId="66" fillId="0" borderId="0" xfId="0" applyFont="1" applyAlignment="1">
      <alignment horizontal="right"/>
    </xf>
    <xf numFmtId="43" fontId="67" fillId="0" borderId="12" xfId="57" applyFont="1" applyFill="1" applyBorder="1" applyAlignment="1" applyProtection="1">
      <alignment horizontal="left" vertical="center"/>
    </xf>
    <xf numFmtId="0" fontId="66" fillId="0" borderId="0" xfId="0" applyFont="1"/>
    <xf numFmtId="0" fontId="69" fillId="0" borderId="0" xfId="0" applyFont="1" applyAlignment="1">
      <alignment horizontal="center" wrapText="1"/>
    </xf>
    <xf numFmtId="0" fontId="66" fillId="0" borderId="0" xfId="0" applyFont="1" applyAlignment="1">
      <alignment horizontal="center"/>
    </xf>
    <xf numFmtId="3" fontId="3" fillId="21" borderId="10" xfId="0" applyNumberFormat="1" applyFont="1" applyFill="1" applyBorder="1" applyAlignment="1" applyProtection="1">
      <alignment vertical="center"/>
      <protection locked="0"/>
    </xf>
    <xf numFmtId="3" fontId="3" fillId="22" borderId="10" xfId="0" applyNumberFormat="1" applyFont="1" applyFill="1" applyBorder="1" applyAlignment="1" applyProtection="1">
      <alignment vertical="center"/>
      <protection locked="0"/>
    </xf>
    <xf numFmtId="15" fontId="33" fillId="0" borderId="34" xfId="0" applyNumberFormat="1" applyFont="1" applyBorder="1" applyAlignment="1">
      <alignment horizontal="center"/>
    </xf>
    <xf numFmtId="15" fontId="30" fillId="0" borderId="0" xfId="0" applyNumberFormat="1" applyFont="1" applyAlignment="1">
      <alignment horizontal="center" vertical="center" wrapText="1"/>
    </xf>
    <xf numFmtId="43" fontId="73" fillId="0" borderId="0" xfId="38" applyFont="1" applyAlignment="1">
      <alignment vertical="center"/>
    </xf>
    <xf numFmtId="0" fontId="0" fillId="0" borderId="0" xfId="0" applyProtection="1">
      <protection locked="0"/>
    </xf>
    <xf numFmtId="0" fontId="7" fillId="0" borderId="0" xfId="0" applyFont="1" applyProtection="1">
      <protection locked="0"/>
    </xf>
    <xf numFmtId="0" fontId="70" fillId="0" borderId="0" xfId="0" applyFont="1" applyAlignment="1" applyProtection="1">
      <alignment horizontal="left"/>
      <protection locked="0"/>
    </xf>
    <xf numFmtId="0" fontId="68" fillId="0" borderId="0" xfId="0" applyFont="1" applyAlignment="1">
      <alignment horizontal="center" vertical="center"/>
    </xf>
    <xf numFmtId="0" fontId="27" fillId="0" borderId="36" xfId="0" applyFont="1" applyBorder="1"/>
    <xf numFmtId="0" fontId="33" fillId="25" borderId="37" xfId="0" applyFont="1" applyFill="1" applyBorder="1" applyAlignment="1">
      <alignment horizontal="centerContinuous"/>
    </xf>
    <xf numFmtId="15" fontId="71" fillId="0" borderId="26" xfId="0" applyNumberFormat="1" applyFont="1" applyBorder="1" applyAlignment="1">
      <alignment horizontal="center" wrapText="1"/>
    </xf>
    <xf numFmtId="15" fontId="71" fillId="0" borderId="38" xfId="0" applyNumberFormat="1" applyFont="1" applyBorder="1" applyAlignment="1">
      <alignment horizontal="center" wrapText="1"/>
    </xf>
    <xf numFmtId="0" fontId="37" fillId="0" borderId="36" xfId="0" applyFont="1" applyBorder="1" applyAlignment="1">
      <alignment horizontal="center"/>
    </xf>
    <xf numFmtId="0" fontId="37" fillId="0" borderId="39" xfId="0" applyFont="1" applyBorder="1" applyAlignment="1">
      <alignment horizontal="center"/>
    </xf>
    <xf numFmtId="0" fontId="33" fillId="25" borderId="40" xfId="0" applyFont="1" applyFill="1" applyBorder="1" applyAlignment="1">
      <alignment horizontal="centerContinuous"/>
    </xf>
    <xf numFmtId="0" fontId="0" fillId="0" borderId="0" xfId="0" applyAlignment="1" applyProtection="1">
      <alignment horizontal="left" vertical="top"/>
      <protection locked="0"/>
    </xf>
    <xf numFmtId="15" fontId="0" fillId="0" borderId="0" xfId="0" applyNumberFormat="1" applyAlignment="1" applyProtection="1">
      <alignment horizontal="center"/>
      <protection locked="0"/>
    </xf>
    <xf numFmtId="14" fontId="0" fillId="0" borderId="10" xfId="0" applyNumberFormat="1" applyBorder="1" applyAlignment="1" applyProtection="1">
      <alignment horizontal="center"/>
      <protection locked="0"/>
    </xf>
    <xf numFmtId="3" fontId="3" fillId="22" borderId="10" xfId="0" applyNumberFormat="1" applyFont="1" applyFill="1" applyBorder="1" applyAlignment="1" applyProtection="1">
      <alignment horizontal="right" vertical="center"/>
      <protection locked="0"/>
    </xf>
    <xf numFmtId="0" fontId="52" fillId="0" borderId="43" xfId="0" applyFont="1" applyBorder="1" applyAlignment="1">
      <alignment horizontal="center" vertical="center"/>
    </xf>
    <xf numFmtId="0" fontId="25" fillId="0" borderId="0" xfId="0" applyFont="1"/>
    <xf numFmtId="43" fontId="71" fillId="0" borderId="0" xfId="0" applyNumberFormat="1" applyFont="1" applyAlignment="1">
      <alignment vertical="center" wrapText="1"/>
    </xf>
    <xf numFmtId="0" fontId="71" fillId="0" borderId="0" xfId="0" applyFont="1" applyAlignment="1">
      <alignment wrapText="1"/>
    </xf>
    <xf numFmtId="43" fontId="21" fillId="0" borderId="27" xfId="55" applyFont="1" applyFill="1" applyBorder="1" applyAlignment="1" applyProtection="1">
      <alignment horizontal="right"/>
    </xf>
    <xf numFmtId="0" fontId="29" fillId="0" borderId="0" xfId="0" applyFont="1" applyAlignment="1">
      <alignment wrapText="1"/>
    </xf>
    <xf numFmtId="0" fontId="0" fillId="0" borderId="23" xfId="0" applyBorder="1"/>
    <xf numFmtId="9" fontId="16" fillId="0" borderId="0" xfId="59" applyFont="1" applyProtection="1"/>
    <xf numFmtId="43" fontId="25" fillId="24" borderId="27" xfId="55" applyFont="1" applyFill="1" applyBorder="1" applyAlignment="1" applyProtection="1">
      <alignment horizontal="center" vertical="center"/>
    </xf>
    <xf numFmtId="15" fontId="25" fillId="24" borderId="27" xfId="55" applyNumberFormat="1" applyFont="1" applyFill="1" applyBorder="1" applyAlignment="1" applyProtection="1">
      <alignment horizontal="center" vertical="center"/>
    </xf>
    <xf numFmtId="0" fontId="31" fillId="21" borderId="0" xfId="0" applyFont="1" applyFill="1" applyAlignment="1" applyProtection="1">
      <alignment horizontal="left"/>
      <protection locked="0"/>
    </xf>
    <xf numFmtId="0" fontId="35" fillId="21" borderId="0" xfId="0" applyFont="1" applyFill="1" applyAlignment="1" applyProtection="1">
      <alignment horizontal="left"/>
      <protection locked="0"/>
    </xf>
    <xf numFmtId="49" fontId="0" fillId="0" borderId="0" xfId="0" applyNumberFormat="1"/>
    <xf numFmtId="3" fontId="0" fillId="24" borderId="10" xfId="0" applyNumberFormat="1" applyFill="1" applyBorder="1" applyAlignment="1" applyProtection="1">
      <alignment horizontal="right" wrapText="1"/>
      <protection locked="0"/>
    </xf>
    <xf numFmtId="3" fontId="0" fillId="0" borderId="10" xfId="0" applyNumberFormat="1" applyBorder="1" applyAlignment="1">
      <alignment horizontal="right" wrapText="1"/>
    </xf>
    <xf numFmtId="171" fontId="22" fillId="20" borderId="0" xfId="0" applyNumberFormat="1" applyFont="1" applyFill="1"/>
    <xf numFmtId="4" fontId="0" fillId="0" borderId="0" xfId="0" applyNumberFormat="1" applyProtection="1">
      <protection locked="0"/>
    </xf>
    <xf numFmtId="4" fontId="0" fillId="0" borderId="0" xfId="0" applyNumberFormat="1"/>
    <xf numFmtId="167" fontId="33" fillId="19" borderId="47" xfId="0" applyNumberFormat="1" applyFont="1" applyFill="1" applyBorder="1" applyAlignment="1" applyProtection="1">
      <alignment horizontal="center"/>
      <protection locked="0"/>
    </xf>
    <xf numFmtId="167" fontId="33" fillId="19" borderId="48" xfId="0" applyNumberFormat="1" applyFont="1" applyFill="1" applyBorder="1" applyAlignment="1" applyProtection="1">
      <alignment horizontal="center"/>
      <protection locked="0"/>
    </xf>
    <xf numFmtId="167" fontId="33" fillId="19" borderId="49" xfId="0" applyNumberFormat="1" applyFont="1" applyFill="1" applyBorder="1" applyAlignment="1" applyProtection="1">
      <alignment horizontal="center"/>
      <protection locked="0"/>
    </xf>
    <xf numFmtId="167" fontId="33" fillId="19" borderId="50" xfId="0" applyNumberFormat="1" applyFont="1" applyFill="1" applyBorder="1" applyAlignment="1" applyProtection="1">
      <alignment horizontal="center"/>
      <protection locked="0"/>
    </xf>
    <xf numFmtId="0" fontId="0" fillId="0" borderId="0" xfId="0" applyAlignment="1">
      <alignment horizontal="left" wrapText="1"/>
    </xf>
    <xf numFmtId="43" fontId="36" fillId="0" borderId="0" xfId="0" applyNumberFormat="1" applyFont="1"/>
    <xf numFmtId="0" fontId="0" fillId="0" borderId="0" xfId="0" applyAlignment="1">
      <alignment horizontal="left"/>
    </xf>
    <xf numFmtId="3" fontId="29" fillId="25" borderId="47" xfId="0" applyNumberFormat="1" applyFont="1" applyFill="1" applyBorder="1" applyProtection="1">
      <protection locked="0"/>
    </xf>
    <xf numFmtId="3" fontId="29" fillId="25" borderId="52" xfId="0" applyNumberFormat="1" applyFont="1" applyFill="1" applyBorder="1" applyProtection="1">
      <protection locked="0"/>
    </xf>
    <xf numFmtId="3" fontId="29" fillId="0" borderId="10" xfId="0" applyNumberFormat="1" applyFont="1" applyBorder="1"/>
    <xf numFmtId="3" fontId="29" fillId="0" borderId="46" xfId="0" applyNumberFormat="1" applyFont="1" applyBorder="1"/>
    <xf numFmtId="167" fontId="15" fillId="19" borderId="53" xfId="0" applyNumberFormat="1" applyFont="1" applyFill="1" applyBorder="1" applyAlignment="1" applyProtection="1">
      <alignment horizontal="center"/>
      <protection locked="0"/>
    </xf>
    <xf numFmtId="0" fontId="0" fillId="25" borderId="10" xfId="0" applyFill="1" applyBorder="1"/>
    <xf numFmtId="0" fontId="0" fillId="24" borderId="10" xfId="0" applyFill="1" applyBorder="1"/>
    <xf numFmtId="49" fontId="27" fillId="0" borderId="55" xfId="0" applyNumberFormat="1" applyFont="1" applyBorder="1" applyProtection="1">
      <protection locked="0"/>
    </xf>
    <xf numFmtId="0" fontId="0" fillId="0" borderId="57" xfId="0" applyBorder="1"/>
    <xf numFmtId="0" fontId="0" fillId="0" borderId="60" xfId="0" applyBorder="1"/>
    <xf numFmtId="49" fontId="55" fillId="0" borderId="10" xfId="0" applyNumberFormat="1" applyFont="1" applyBorder="1" applyAlignment="1" applyProtection="1">
      <alignment horizontal="center"/>
      <protection locked="0"/>
    </xf>
    <xf numFmtId="0" fontId="0" fillId="0" borderId="17" xfId="0" applyBorder="1" applyAlignment="1">
      <alignment horizontal="center"/>
    </xf>
    <xf numFmtId="0" fontId="15" fillId="0" borderId="17" xfId="0" applyFont="1" applyBorder="1" applyAlignment="1">
      <alignment horizontal="center" vertical="center" wrapText="1"/>
    </xf>
    <xf numFmtId="0" fontId="15" fillId="0" borderId="22" xfId="0" applyFont="1" applyBorder="1" applyAlignment="1">
      <alignment horizontal="center" vertical="center"/>
    </xf>
    <xf numFmtId="0" fontId="52" fillId="0" borderId="62" xfId="0" applyFont="1" applyBorder="1" applyAlignment="1">
      <alignment horizontal="center" vertical="center" wrapText="1"/>
    </xf>
    <xf numFmtId="3" fontId="25" fillId="24" borderId="27" xfId="55" applyNumberFormat="1" applyFont="1" applyFill="1" applyBorder="1" applyAlignment="1" applyProtection="1">
      <alignment horizontal="center" wrapText="1"/>
    </xf>
    <xf numFmtId="14" fontId="25" fillId="24" borderId="27" xfId="55" applyNumberFormat="1" applyFont="1" applyFill="1" applyBorder="1" applyAlignment="1" applyProtection="1">
      <alignment horizontal="center" vertical="center" wrapText="1"/>
    </xf>
    <xf numFmtId="172" fontId="25" fillId="24" borderId="27" xfId="55" applyNumberFormat="1" applyFont="1" applyFill="1" applyBorder="1" applyAlignment="1" applyProtection="1">
      <alignment horizontal="center" wrapText="1"/>
    </xf>
    <xf numFmtId="43" fontId="2" fillId="0" borderId="27" xfId="55" applyFont="1" applyBorder="1" applyAlignment="1" applyProtection="1">
      <alignment horizontal="right" vertical="center"/>
    </xf>
    <xf numFmtId="43" fontId="2" fillId="0" borderId="27" xfId="55" applyFont="1" applyBorder="1" applyAlignment="1" applyProtection="1">
      <alignment horizontal="right" vertical="center" wrapText="1"/>
    </xf>
    <xf numFmtId="43" fontId="29" fillId="0" borderId="0" xfId="0" applyNumberFormat="1" applyFont="1" applyAlignment="1">
      <alignment horizontal="right" wrapText="1"/>
    </xf>
    <xf numFmtId="49" fontId="26" fillId="0" borderId="63" xfId="0" applyNumberFormat="1" applyFont="1" applyBorder="1" applyAlignment="1">
      <alignment vertical="center" wrapText="1"/>
    </xf>
    <xf numFmtId="0" fontId="0" fillId="0" borderId="0" xfId="0" applyAlignment="1">
      <alignment vertical="center" wrapText="1"/>
    </xf>
    <xf numFmtId="43" fontId="29" fillId="0" borderId="0" xfId="0" applyNumberFormat="1" applyFont="1" applyAlignment="1">
      <alignment horizontal="right" vertical="center" wrapText="1"/>
    </xf>
    <xf numFmtId="0" fontId="31" fillId="0" borderId="0" xfId="0" applyFont="1" applyAlignment="1" applyProtection="1">
      <alignment horizontal="left" wrapText="1"/>
      <protection locked="0"/>
    </xf>
    <xf numFmtId="43" fontId="2" fillId="0" borderId="27" xfId="55" applyFont="1" applyBorder="1" applyAlignment="1" applyProtection="1">
      <alignment horizontal="right" wrapText="1"/>
    </xf>
    <xf numFmtId="43" fontId="29" fillId="0" borderId="27" xfId="55" applyFont="1" applyBorder="1" applyAlignment="1" applyProtection="1">
      <alignment horizontal="center"/>
    </xf>
    <xf numFmtId="43" fontId="35" fillId="0" borderId="0" xfId="0" applyNumberFormat="1" applyFont="1" applyAlignment="1">
      <alignment horizontal="center" wrapText="1"/>
    </xf>
    <xf numFmtId="43" fontId="35" fillId="0" borderId="0" xfId="0" applyNumberFormat="1" applyFont="1" applyAlignment="1">
      <alignment horizontal="left" vertical="center" wrapText="1"/>
    </xf>
    <xf numFmtId="43" fontId="35" fillId="0" borderId="0" xfId="0" applyNumberFormat="1" applyFont="1" applyAlignment="1">
      <alignment horizontal="left" wrapText="1"/>
    </xf>
    <xf numFmtId="0" fontId="0" fillId="0" borderId="66" xfId="0" applyBorder="1"/>
    <xf numFmtId="0" fontId="0" fillId="0" borderId="19" xfId="0" applyBorder="1" applyAlignment="1">
      <alignment horizontal="center"/>
    </xf>
    <xf numFmtId="3" fontId="3" fillId="27" borderId="10" xfId="0" applyNumberFormat="1" applyFont="1" applyFill="1" applyBorder="1" applyAlignment="1" applyProtection="1">
      <alignment vertical="center"/>
      <protection locked="0"/>
    </xf>
    <xf numFmtId="3" fontId="3" fillId="28" borderId="10" xfId="0" applyNumberFormat="1" applyFont="1" applyFill="1" applyBorder="1" applyAlignment="1" applyProtection="1">
      <alignment vertical="center"/>
      <protection locked="0"/>
    </xf>
    <xf numFmtId="3" fontId="3" fillId="27" borderId="10" xfId="0" applyNumberFormat="1" applyFont="1" applyFill="1" applyBorder="1" applyAlignment="1" applyProtection="1">
      <alignment horizontal="right" vertical="center"/>
      <protection locked="0"/>
    </xf>
    <xf numFmtId="0" fontId="36" fillId="0" borderId="10" xfId="0" applyFont="1" applyBorder="1" applyAlignment="1">
      <alignment horizontal="center" vertical="center" wrapText="1"/>
    </xf>
    <xf numFmtId="3" fontId="85" fillId="0" borderId="29" xfId="0" applyNumberFormat="1" applyFont="1" applyBorder="1" applyAlignment="1" applyProtection="1">
      <alignment horizontal="center" vertical="center" wrapText="1"/>
      <protection locked="0"/>
    </xf>
    <xf numFmtId="9" fontId="88" fillId="26" borderId="10" xfId="59" applyFont="1" applyFill="1" applyBorder="1" applyAlignment="1" applyProtection="1">
      <alignment horizontal="center" vertical="center" wrapText="1"/>
    </xf>
    <xf numFmtId="14" fontId="0" fillId="0" borderId="10" xfId="55" applyNumberFormat="1" applyFont="1" applyFill="1" applyBorder="1" applyAlignment="1" applyProtection="1">
      <alignment horizontal="center"/>
      <protection locked="0"/>
    </xf>
    <xf numFmtId="15" fontId="27" fillId="0" borderId="67" xfId="0" applyNumberFormat="1" applyFont="1" applyBorder="1" applyAlignment="1">
      <alignment horizontal="center"/>
    </xf>
    <xf numFmtId="0" fontId="0" fillId="0" borderId="0" xfId="0" applyAlignment="1">
      <alignment wrapText="1"/>
    </xf>
    <xf numFmtId="3" fontId="0" fillId="0" borderId="0" xfId="0" quotePrefix="1" applyNumberFormat="1"/>
    <xf numFmtId="0" fontId="26" fillId="0" borderId="96" xfId="0" applyFont="1" applyBorder="1" applyAlignment="1">
      <alignment vertical="distributed"/>
    </xf>
    <xf numFmtId="15" fontId="28" fillId="0" borderId="103" xfId="0" applyNumberFormat="1" applyFont="1" applyBorder="1" applyAlignment="1">
      <alignment horizontal="center" vertical="center" wrapText="1"/>
    </xf>
    <xf numFmtId="15" fontId="28" fillId="0" borderId="104" xfId="0" applyNumberFormat="1" applyFont="1" applyBorder="1" applyAlignment="1">
      <alignment horizontal="center" vertical="center" wrapText="1"/>
    </xf>
    <xf numFmtId="0" fontId="7" fillId="0" borderId="36" xfId="0" applyFont="1" applyBorder="1"/>
    <xf numFmtId="0" fontId="7" fillId="0" borderId="39" xfId="0" applyFont="1" applyBorder="1"/>
    <xf numFmtId="3" fontId="7" fillId="0" borderId="37" xfId="60" applyNumberFormat="1" applyFont="1" applyFill="1" applyBorder="1" applyAlignment="1" applyProtection="1"/>
    <xf numFmtId="3" fontId="7" fillId="0" borderId="40" xfId="60" applyNumberFormat="1" applyFont="1" applyFill="1" applyBorder="1" applyAlignment="1" applyProtection="1"/>
    <xf numFmtId="0" fontId="0" fillId="0" borderId="26" xfId="0" applyBorder="1"/>
    <xf numFmtId="0" fontId="0" fillId="0" borderId="51" xfId="0" applyBorder="1" applyAlignment="1">
      <alignment horizontal="center"/>
    </xf>
    <xf numFmtId="0" fontId="0" fillId="0" borderId="41" xfId="0" applyBorder="1" applyAlignment="1">
      <alignment horizontal="center"/>
    </xf>
    <xf numFmtId="3" fontId="3" fillId="22" borderId="10" xfId="0" applyNumberFormat="1" applyFont="1" applyFill="1" applyBorder="1" applyAlignment="1" applyProtection="1">
      <alignment vertical="center" wrapText="1"/>
      <protection locked="0"/>
    </xf>
    <xf numFmtId="4" fontId="29" fillId="25" borderId="47" xfId="0" applyNumberFormat="1" applyFont="1" applyFill="1" applyBorder="1" applyProtection="1">
      <protection locked="0"/>
    </xf>
    <xf numFmtId="4" fontId="2" fillId="36" borderId="54" xfId="60" applyNumberFormat="1" applyFont="1" applyFill="1" applyBorder="1" applyProtection="1">
      <protection locked="0"/>
    </xf>
    <xf numFmtId="15" fontId="27" fillId="0" borderId="41" xfId="0" applyNumberFormat="1" applyFont="1" applyBorder="1"/>
    <xf numFmtId="15" fontId="27" fillId="0" borderId="99" xfId="0" applyNumberFormat="1" applyFont="1" applyBorder="1" applyAlignment="1">
      <alignment horizontal="center"/>
    </xf>
    <xf numFmtId="0" fontId="27" fillId="0" borderId="39" xfId="0" applyFont="1" applyBorder="1"/>
    <xf numFmtId="0" fontId="0" fillId="0" borderId="45" xfId="0" applyBorder="1"/>
    <xf numFmtId="15" fontId="28" fillId="0" borderId="82" xfId="0" applyNumberFormat="1" applyFont="1" applyBorder="1" applyAlignment="1">
      <alignment horizontal="center" vertical="center" wrapText="1"/>
    </xf>
    <xf numFmtId="49" fontId="93" fillId="37" borderId="29" xfId="0" applyNumberFormat="1" applyFont="1" applyFill="1" applyBorder="1" applyAlignment="1">
      <alignment horizontal="center" vertical="center" wrapText="1"/>
    </xf>
    <xf numFmtId="3" fontId="94" fillId="0" borderId="10" xfId="0" applyNumberFormat="1" applyFont="1" applyBorder="1"/>
    <xf numFmtId="3" fontId="94" fillId="0" borderId="46" xfId="0" applyNumberFormat="1" applyFont="1" applyBorder="1"/>
    <xf numFmtId="3" fontId="94" fillId="25" borderId="47" xfId="0" applyNumberFormat="1" applyFont="1" applyFill="1" applyBorder="1" applyProtection="1">
      <protection locked="0"/>
    </xf>
    <xf numFmtId="4" fontId="94" fillId="25" borderId="47" xfId="0" applyNumberFormat="1" applyFont="1" applyFill="1" applyBorder="1" applyProtection="1">
      <protection locked="0"/>
    </xf>
    <xf numFmtId="43" fontId="29" fillId="25" borderId="47" xfId="60" applyFont="1" applyFill="1" applyBorder="1" applyAlignment="1" applyProtection="1">
      <protection locked="0"/>
    </xf>
    <xf numFmtId="43" fontId="29" fillId="0" borderId="10" xfId="60" applyFont="1" applyFill="1" applyBorder="1" applyAlignment="1" applyProtection="1"/>
    <xf numFmtId="43" fontId="29" fillId="0" borderId="46" xfId="60" applyFont="1" applyFill="1" applyBorder="1" applyAlignment="1" applyProtection="1"/>
    <xf numFmtId="3" fontId="22" fillId="25" borderId="10" xfId="60" applyNumberFormat="1" applyFont="1" applyFill="1" applyBorder="1" applyAlignment="1" applyProtection="1">
      <protection locked="0"/>
    </xf>
    <xf numFmtId="1" fontId="0" fillId="25" borderId="10" xfId="0" applyNumberFormat="1" applyFill="1" applyBorder="1" applyAlignment="1" applyProtection="1">
      <alignment horizontal="center"/>
      <protection locked="0"/>
    </xf>
    <xf numFmtId="1" fontId="0" fillId="25" borderId="46" xfId="0" applyNumberFormat="1" applyFill="1" applyBorder="1" applyAlignment="1" applyProtection="1">
      <alignment horizontal="center"/>
      <protection locked="0"/>
    </xf>
    <xf numFmtId="43" fontId="95" fillId="0" borderId="23" xfId="57" applyFont="1" applyFill="1" applyBorder="1" applyAlignment="1" applyProtection="1">
      <alignment vertical="center"/>
    </xf>
    <xf numFmtId="43" fontId="96" fillId="0" borderId="23" xfId="57" applyFont="1" applyFill="1" applyBorder="1" applyAlignment="1" applyProtection="1">
      <alignment vertical="center"/>
    </xf>
    <xf numFmtId="0" fontId="96" fillId="0" borderId="23" xfId="0" applyFont="1" applyBorder="1"/>
    <xf numFmtId="0" fontId="96" fillId="21" borderId="71" xfId="0" applyFont="1" applyFill="1" applyBorder="1"/>
    <xf numFmtId="0" fontId="97" fillId="0" borderId="10" xfId="0" applyFont="1" applyBorder="1" applyAlignment="1">
      <alignment horizontal="center"/>
    </xf>
    <xf numFmtId="3" fontId="97" fillId="21" borderId="10" xfId="0" applyNumberFormat="1" applyFont="1" applyFill="1" applyBorder="1" applyAlignment="1" applyProtection="1">
      <alignment vertical="center"/>
      <protection locked="0"/>
    </xf>
    <xf numFmtId="3" fontId="97" fillId="21" borderId="10" xfId="0" applyNumberFormat="1" applyFont="1" applyFill="1" applyBorder="1" applyAlignment="1" applyProtection="1">
      <alignment horizontal="right" vertical="center"/>
      <protection locked="0"/>
    </xf>
    <xf numFmtId="3" fontId="97" fillId="21" borderId="10" xfId="0" applyNumberFormat="1" applyFont="1" applyFill="1" applyBorder="1" applyAlignment="1" applyProtection="1">
      <alignment horizontal="right" vertical="center" wrapText="1"/>
      <protection locked="0"/>
    </xf>
    <xf numFmtId="3" fontId="97" fillId="21" borderId="24" xfId="0" applyNumberFormat="1" applyFont="1" applyFill="1" applyBorder="1" applyAlignment="1" applyProtection="1">
      <alignment vertical="center"/>
      <protection locked="0"/>
    </xf>
    <xf numFmtId="0" fontId="97" fillId="23" borderId="10" xfId="0" applyFont="1" applyFill="1" applyBorder="1" applyAlignment="1">
      <alignment horizontal="center"/>
    </xf>
    <xf numFmtId="3" fontId="97" fillId="27" borderId="10" xfId="0" applyNumberFormat="1" applyFont="1" applyFill="1" applyBorder="1" applyAlignment="1" applyProtection="1">
      <alignment vertical="center"/>
      <protection locked="0"/>
    </xf>
    <xf numFmtId="3" fontId="97" fillId="22" borderId="10" xfId="0" applyNumberFormat="1" applyFont="1" applyFill="1" applyBorder="1" applyAlignment="1" applyProtection="1">
      <alignment vertical="center"/>
      <protection locked="0"/>
    </xf>
    <xf numFmtId="3" fontId="97" fillId="22" borderId="10" xfId="0" applyNumberFormat="1" applyFont="1" applyFill="1" applyBorder="1" applyAlignment="1" applyProtection="1">
      <alignment horizontal="right" vertical="center"/>
      <protection locked="0"/>
    </xf>
    <xf numFmtId="3" fontId="97" fillId="22" borderId="10" xfId="0" applyNumberFormat="1" applyFont="1" applyFill="1" applyBorder="1" applyAlignment="1" applyProtection="1">
      <alignment horizontal="right" vertical="center" wrapText="1"/>
      <protection locked="0"/>
    </xf>
    <xf numFmtId="3" fontId="97" fillId="22" borderId="24" xfId="0" applyNumberFormat="1" applyFont="1" applyFill="1" applyBorder="1" applyAlignment="1" applyProtection="1">
      <alignment vertical="center"/>
      <protection locked="0"/>
    </xf>
    <xf numFmtId="3" fontId="97" fillId="27" borderId="10" xfId="0" applyNumberFormat="1" applyFont="1" applyFill="1" applyBorder="1" applyAlignment="1" applyProtection="1">
      <alignment horizontal="right" vertical="center"/>
      <protection locked="0"/>
    </xf>
    <xf numFmtId="9" fontId="97" fillId="27" borderId="10" xfId="0" applyNumberFormat="1" applyFont="1" applyFill="1" applyBorder="1" applyAlignment="1" applyProtection="1">
      <alignment horizontal="right" vertical="center"/>
      <protection locked="0"/>
    </xf>
    <xf numFmtId="3" fontId="97" fillId="27" borderId="10" xfId="0" applyNumberFormat="1" applyFont="1" applyFill="1" applyBorder="1" applyAlignment="1" applyProtection="1">
      <alignment horizontal="right" vertical="center" wrapText="1"/>
      <protection locked="0"/>
    </xf>
    <xf numFmtId="3" fontId="97" fillId="27" borderId="24" xfId="0" applyNumberFormat="1" applyFont="1" applyFill="1" applyBorder="1" applyAlignment="1" applyProtection="1">
      <alignment vertical="center"/>
      <protection locked="0"/>
    </xf>
    <xf numFmtId="3" fontId="97" fillId="28" borderId="10" xfId="0" applyNumberFormat="1" applyFont="1" applyFill="1" applyBorder="1" applyAlignment="1" applyProtection="1">
      <alignment vertical="center"/>
      <protection locked="0"/>
    </xf>
    <xf numFmtId="3" fontId="97" fillId="28" borderId="10" xfId="0" applyNumberFormat="1" applyFont="1" applyFill="1" applyBorder="1" applyAlignment="1" applyProtection="1">
      <alignment horizontal="right" vertical="center"/>
      <protection locked="0"/>
    </xf>
    <xf numFmtId="3" fontId="97" fillId="28" borderId="10" xfId="0" applyNumberFormat="1" applyFont="1" applyFill="1" applyBorder="1" applyAlignment="1" applyProtection="1">
      <alignment horizontal="right" vertical="center" wrapText="1"/>
      <protection locked="0"/>
    </xf>
    <xf numFmtId="3" fontId="97" fillId="28" borderId="24" xfId="0" applyNumberFormat="1" applyFont="1" applyFill="1" applyBorder="1" applyAlignment="1" applyProtection="1">
      <alignment vertical="center"/>
      <protection locked="0"/>
    </xf>
    <xf numFmtId="3" fontId="97" fillId="27" borderId="24" xfId="0" applyNumberFormat="1" applyFont="1" applyFill="1" applyBorder="1" applyAlignment="1" applyProtection="1">
      <alignment horizontal="right" vertical="center"/>
      <protection locked="0"/>
    </xf>
    <xf numFmtId="9" fontId="97" fillId="28" borderId="10" xfId="0" applyNumberFormat="1" applyFont="1" applyFill="1" applyBorder="1" applyAlignment="1" applyProtection="1">
      <alignment horizontal="right" vertical="center"/>
      <protection locked="0"/>
    </xf>
    <xf numFmtId="3" fontId="97" fillId="0" borderId="10" xfId="0" applyNumberFormat="1" applyFont="1" applyBorder="1" applyAlignment="1">
      <alignment vertical="center"/>
    </xf>
    <xf numFmtId="3" fontId="97" fillId="0" borderId="10" xfId="0" applyNumberFormat="1" applyFont="1" applyBorder="1" applyAlignment="1">
      <alignment horizontal="right" vertical="center"/>
    </xf>
    <xf numFmtId="3" fontId="97" fillId="23" borderId="10" xfId="0" applyNumberFormat="1" applyFont="1" applyFill="1" applyBorder="1" applyAlignment="1">
      <alignment vertical="center"/>
    </xf>
    <xf numFmtId="3" fontId="97" fillId="23" borderId="10" xfId="0" applyNumberFormat="1" applyFont="1" applyFill="1" applyBorder="1" applyAlignment="1">
      <alignment horizontal="right" vertical="center"/>
    </xf>
    <xf numFmtId="0" fontId="97" fillId="0" borderId="66" xfId="0" applyFont="1" applyBorder="1" applyAlignment="1">
      <alignment horizontal="center"/>
    </xf>
    <xf numFmtId="0" fontId="0" fillId="0" borderId="21" xfId="0" applyBorder="1" applyAlignment="1">
      <alignment horizontal="center" vertical="center"/>
    </xf>
    <xf numFmtId="0" fontId="0" fillId="24" borderId="10" xfId="0" applyFill="1" applyBorder="1" applyAlignment="1" applyProtection="1">
      <alignment horizontal="center"/>
      <protection locked="0"/>
    </xf>
    <xf numFmtId="0" fontId="0" fillId="24" borderId="45" xfId="0" applyFill="1" applyBorder="1" applyAlignment="1" applyProtection="1">
      <alignment horizontal="center"/>
      <protection locked="0"/>
    </xf>
    <xf numFmtId="15" fontId="89" fillId="0" borderId="0" xfId="0" applyNumberFormat="1" applyFont="1" applyAlignment="1">
      <alignment horizontal="center"/>
    </xf>
    <xf numFmtId="9" fontId="99" fillId="26" borderId="10" xfId="59" applyFont="1" applyFill="1" applyBorder="1" applyAlignment="1" applyProtection="1">
      <alignment horizontal="center" vertical="center" wrapText="1"/>
    </xf>
    <xf numFmtId="9" fontId="16" fillId="20" borderId="0" xfId="59" applyFont="1" applyFill="1" applyBorder="1"/>
    <xf numFmtId="4" fontId="0" fillId="0" borderId="58" xfId="0" applyNumberFormat="1" applyBorder="1"/>
    <xf numFmtId="3" fontId="0" fillId="24" borderId="10" xfId="0" applyNumberFormat="1" applyFill="1" applyBorder="1" applyAlignment="1" applyProtection="1">
      <alignment horizontal="center" vertical="center" wrapText="1"/>
      <protection locked="0"/>
    </xf>
    <xf numFmtId="3" fontId="0" fillId="0" borderId="10" xfId="0" applyNumberFormat="1" applyBorder="1" applyAlignment="1">
      <alignment horizontal="center" vertical="center" wrapText="1"/>
    </xf>
    <xf numFmtId="9" fontId="3" fillId="27" borderId="10" xfId="0" applyNumberFormat="1" applyFont="1" applyFill="1" applyBorder="1" applyAlignment="1" applyProtection="1">
      <alignment horizontal="right" vertical="center"/>
      <protection locked="0"/>
    </xf>
    <xf numFmtId="43" fontId="100" fillId="0" borderId="23" xfId="57" applyFont="1" applyFill="1" applyBorder="1" applyAlignment="1" applyProtection="1"/>
    <xf numFmtId="0" fontId="33" fillId="0" borderId="25" xfId="0" applyFont="1" applyBorder="1" applyAlignment="1">
      <alignment horizontal="center" vertical="center"/>
    </xf>
    <xf numFmtId="0" fontId="33" fillId="0" borderId="38" xfId="0" applyFont="1" applyBorder="1" applyAlignment="1">
      <alignment horizontal="center" vertical="center" wrapText="1"/>
    </xf>
    <xf numFmtId="0" fontId="15" fillId="0" borderId="36" xfId="0" applyFont="1" applyBorder="1" applyAlignment="1">
      <alignment horizontal="center"/>
    </xf>
    <xf numFmtId="1" fontId="0" fillId="0" borderId="37" xfId="0" applyNumberFormat="1" applyBorder="1" applyAlignment="1">
      <alignment horizontal="center"/>
    </xf>
    <xf numFmtId="1" fontId="22" fillId="0" borderId="45" xfId="0" applyNumberFormat="1" applyFont="1" applyBorder="1" applyAlignment="1" applyProtection="1">
      <alignment horizontal="center"/>
      <protection locked="0"/>
    </xf>
    <xf numFmtId="1" fontId="0" fillId="0" borderId="45" xfId="0" applyNumberFormat="1" applyBorder="1" applyAlignment="1" applyProtection="1">
      <alignment horizontal="center"/>
      <protection locked="0"/>
    </xf>
    <xf numFmtId="1" fontId="0" fillId="0" borderId="40" xfId="0" applyNumberFormat="1" applyBorder="1" applyAlignment="1">
      <alignment horizontal="center"/>
    </xf>
    <xf numFmtId="167" fontId="33" fillId="19" borderId="117" xfId="0" applyNumberFormat="1" applyFont="1" applyFill="1" applyBorder="1" applyAlignment="1" applyProtection="1">
      <alignment horizontal="center"/>
      <protection locked="0"/>
    </xf>
    <xf numFmtId="3" fontId="0" fillId="24" borderId="37" xfId="0" applyNumberFormat="1" applyFill="1" applyBorder="1" applyAlignment="1" applyProtection="1">
      <alignment horizontal="right" wrapText="1"/>
      <protection locked="0"/>
    </xf>
    <xf numFmtId="3" fontId="0" fillId="0" borderId="37" xfId="0" applyNumberFormat="1" applyBorder="1" applyAlignment="1">
      <alignment horizontal="right" wrapText="1"/>
    </xf>
    <xf numFmtId="0" fontId="0" fillId="0" borderId="39" xfId="0" applyBorder="1" applyAlignment="1">
      <alignment horizontal="center" wrapText="1"/>
    </xf>
    <xf numFmtId="3" fontId="2" fillId="0" borderId="45" xfId="60" applyNumberFormat="1" applyFont="1" applyFill="1" applyBorder="1" applyAlignment="1" applyProtection="1">
      <alignment horizontal="center" vertical="center"/>
    </xf>
    <xf numFmtId="3" fontId="0" fillId="0" borderId="45" xfId="0" applyNumberFormat="1" applyBorder="1" applyAlignment="1">
      <alignment horizontal="right" wrapText="1"/>
    </xf>
    <xf numFmtId="3" fontId="0" fillId="0" borderId="40" xfId="0" applyNumberFormat="1" applyBorder="1" applyAlignment="1">
      <alignment horizontal="right" wrapText="1"/>
    </xf>
    <xf numFmtId="0" fontId="0" fillId="0" borderId="25" xfId="0" applyBorder="1" applyAlignment="1">
      <alignment horizontal="center"/>
    </xf>
    <xf numFmtId="0" fontId="0" fillId="0" borderId="25" xfId="0" applyBorder="1" applyAlignment="1">
      <alignment horizontal="center" wrapText="1"/>
    </xf>
    <xf numFmtId="0" fontId="0" fillId="0" borderId="38" xfId="0" applyBorder="1" applyAlignment="1">
      <alignment horizontal="center" wrapText="1"/>
    </xf>
    <xf numFmtId="0" fontId="0" fillId="0" borderId="36" xfId="0" applyBorder="1" applyAlignment="1">
      <alignment horizontal="center"/>
    </xf>
    <xf numFmtId="0" fontId="0" fillId="0" borderId="39" xfId="0" applyBorder="1" applyAlignment="1">
      <alignment horizontal="center"/>
    </xf>
    <xf numFmtId="0" fontId="0" fillId="24" borderId="40" xfId="0" applyFill="1" applyBorder="1" applyAlignment="1" applyProtection="1">
      <alignment horizontal="center"/>
      <protection locked="0"/>
    </xf>
    <xf numFmtId="0" fontId="101" fillId="40" borderId="26" xfId="0" applyFont="1" applyFill="1" applyBorder="1" applyAlignment="1">
      <alignment horizontal="center"/>
    </xf>
    <xf numFmtId="0" fontId="101" fillId="0" borderId="25" xfId="0" applyFont="1" applyBorder="1" applyAlignment="1">
      <alignment horizontal="center" wrapText="1"/>
    </xf>
    <xf numFmtId="0" fontId="89" fillId="0" borderId="25" xfId="0" applyFont="1" applyBorder="1" applyAlignment="1">
      <alignment horizontal="center" wrapText="1"/>
    </xf>
    <xf numFmtId="0" fontId="101" fillId="34" borderId="25" xfId="0" applyFont="1" applyFill="1" applyBorder="1" applyAlignment="1">
      <alignment horizontal="center" wrapText="1"/>
    </xf>
    <xf numFmtId="0" fontId="31" fillId="21" borderId="80" xfId="0" applyFont="1" applyFill="1" applyBorder="1" applyAlignment="1" applyProtection="1">
      <alignment horizontal="left" vertical="top" wrapText="1"/>
      <protection locked="0"/>
    </xf>
    <xf numFmtId="0" fontId="31" fillId="21" borderId="80" xfId="0" applyFont="1" applyFill="1" applyBorder="1" applyAlignment="1" applyProtection="1">
      <alignment horizontal="left" vertical="top"/>
      <protection locked="0"/>
    </xf>
    <xf numFmtId="0" fontId="35" fillId="0" borderId="0" xfId="0" applyFont="1" applyAlignment="1" applyProtection="1">
      <alignment horizontal="left" vertical="top" wrapText="1"/>
      <protection locked="0"/>
    </xf>
    <xf numFmtId="0" fontId="0" fillId="0" borderId="0" xfId="0" applyAlignment="1">
      <alignment horizontal="left" vertical="top"/>
    </xf>
    <xf numFmtId="49" fontId="137" fillId="0" borderId="121" xfId="0" applyNumberFormat="1" applyFont="1" applyBorder="1" applyAlignment="1" applyProtection="1">
      <alignment horizontal="left" vertical="center" wrapText="1"/>
      <protection locked="0"/>
    </xf>
    <xf numFmtId="43" fontId="2" fillId="0" borderId="12" xfId="57" applyFont="1" applyFill="1" applyBorder="1" applyAlignment="1" applyProtection="1">
      <alignment vertical="center"/>
    </xf>
    <xf numFmtId="43" fontId="53" fillId="0" borderId="12" xfId="57" applyFont="1" applyFill="1" applyBorder="1" applyAlignment="1" applyProtection="1">
      <alignment horizontal="left" vertical="center"/>
    </xf>
    <xf numFmtId="43" fontId="22" fillId="0" borderId="12" xfId="57" applyFont="1" applyFill="1" applyBorder="1" applyAlignment="1" applyProtection="1">
      <alignment vertical="center"/>
    </xf>
    <xf numFmtId="43" fontId="22" fillId="25" borderId="68" xfId="57" applyFont="1" applyFill="1" applyBorder="1" applyAlignment="1" applyProtection="1">
      <alignment vertical="center"/>
    </xf>
    <xf numFmtId="43" fontId="2" fillId="0" borderId="0" xfId="57" applyFont="1" applyFill="1" applyBorder="1" applyAlignment="1" applyProtection="1">
      <alignment vertical="center"/>
    </xf>
    <xf numFmtId="0" fontId="26" fillId="0" borderId="64" xfId="0" applyFont="1" applyBorder="1" applyAlignment="1">
      <alignment horizontal="center" vertical="center" wrapText="1"/>
    </xf>
    <xf numFmtId="0" fontId="26" fillId="0" borderId="65" xfId="0" applyFont="1" applyBorder="1" applyAlignment="1">
      <alignment horizontal="center" vertical="center" wrapText="1"/>
    </xf>
    <xf numFmtId="0" fontId="7" fillId="0" borderId="0" xfId="0" applyFont="1" applyAlignment="1">
      <alignment horizontal="center" vertical="center"/>
    </xf>
    <xf numFmtId="43" fontId="53" fillId="0" borderId="16" xfId="57" applyFont="1" applyFill="1" applyBorder="1" applyAlignment="1" applyProtection="1">
      <alignment vertical="center"/>
    </xf>
    <xf numFmtId="43" fontId="22" fillId="0" borderId="16" xfId="57" applyFont="1" applyFill="1" applyBorder="1" applyAlignment="1" applyProtection="1">
      <alignment vertical="center"/>
    </xf>
    <xf numFmtId="43" fontId="22" fillId="0" borderId="16" xfId="57" applyFont="1" applyFill="1" applyBorder="1" applyAlignment="1" applyProtection="1">
      <alignment horizontal="center" vertical="center"/>
    </xf>
    <xf numFmtId="43" fontId="22" fillId="24" borderId="70" xfId="57" applyFont="1" applyFill="1" applyBorder="1" applyAlignment="1" applyProtection="1">
      <alignment horizontal="center" vertical="center"/>
    </xf>
    <xf numFmtId="0" fontId="2" fillId="0" borderId="0" xfId="0" applyFont="1" applyAlignment="1">
      <alignment horizontal="center"/>
    </xf>
    <xf numFmtId="0" fontId="39" fillId="0" borderId="0" xfId="0" applyFont="1" applyAlignment="1">
      <alignment horizontal="center" vertical="center"/>
    </xf>
    <xf numFmtId="15" fontId="2" fillId="0" borderId="0" xfId="0" applyNumberFormat="1" applyFont="1" applyAlignment="1">
      <alignment horizontal="left"/>
    </xf>
    <xf numFmtId="9" fontId="2" fillId="0" borderId="0" xfId="59" applyFont="1" applyBorder="1" applyProtection="1"/>
    <xf numFmtId="43" fontId="2" fillId="0" borderId="0" xfId="60" applyFont="1" applyFill="1" applyBorder="1" applyProtection="1"/>
    <xf numFmtId="43" fontId="53" fillId="0" borderId="23" xfId="57" applyFont="1" applyFill="1" applyBorder="1" applyAlignment="1" applyProtection="1">
      <alignment vertical="center"/>
    </xf>
    <xf numFmtId="43" fontId="22" fillId="0" borderId="23" xfId="57" applyFont="1" applyFill="1" applyBorder="1" applyAlignment="1" applyProtection="1">
      <alignment vertical="center"/>
    </xf>
    <xf numFmtId="0" fontId="22" fillId="0" borderId="23" xfId="0" applyFont="1" applyBorder="1"/>
    <xf numFmtId="0" fontId="22" fillId="21" borderId="71" xfId="0" applyFont="1" applyFill="1" applyBorder="1"/>
    <xf numFmtId="0" fontId="3" fillId="0" borderId="10" xfId="0" applyFont="1" applyBorder="1" applyAlignment="1">
      <alignment horizontal="center"/>
    </xf>
    <xf numFmtId="0" fontId="3" fillId="23" borderId="10" xfId="0" applyFont="1" applyFill="1" applyBorder="1" applyAlignment="1">
      <alignment horizontal="center"/>
    </xf>
    <xf numFmtId="3" fontId="3" fillId="0" borderId="10" xfId="0" applyNumberFormat="1" applyFont="1" applyBorder="1" applyAlignment="1">
      <alignment vertical="center"/>
    </xf>
    <xf numFmtId="0" fontId="3" fillId="0" borderId="69" xfId="0" applyFont="1" applyBorder="1" applyAlignment="1">
      <alignment horizontal="center"/>
    </xf>
    <xf numFmtId="3" fontId="3" fillId="23" borderId="10" xfId="0" applyNumberFormat="1" applyFont="1" applyFill="1" applyBorder="1" applyAlignment="1">
      <alignment vertical="center"/>
    </xf>
    <xf numFmtId="0" fontId="3" fillId="0" borderId="66" xfId="0" applyFont="1" applyBorder="1" applyAlignment="1">
      <alignment horizontal="center"/>
    </xf>
    <xf numFmtId="9" fontId="3" fillId="0" borderId="10" xfId="0" applyNumberFormat="1" applyFont="1" applyBorder="1" applyAlignment="1">
      <alignment vertical="center"/>
    </xf>
    <xf numFmtId="0" fontId="3" fillId="0" borderId="42" xfId="0" applyFont="1" applyBorder="1" applyAlignment="1">
      <alignment horizontal="center"/>
    </xf>
    <xf numFmtId="3" fontId="3" fillId="0" borderId="42" xfId="0" applyNumberFormat="1" applyFont="1" applyBorder="1" applyAlignment="1">
      <alignment vertical="center"/>
    </xf>
    <xf numFmtId="9" fontId="3" fillId="0" borderId="42" xfId="0" applyNumberFormat="1" applyFont="1" applyBorder="1" applyAlignment="1">
      <alignment vertical="center"/>
    </xf>
    <xf numFmtId="43" fontId="35" fillId="0" borderId="0" xfId="50" applyFont="1"/>
    <xf numFmtId="0" fontId="72" fillId="0" borderId="0" xfId="0" applyFont="1"/>
    <xf numFmtId="0" fontId="2" fillId="0" borderId="10" xfId="0" applyFont="1" applyBorder="1"/>
    <xf numFmtId="0" fontId="22" fillId="24" borderId="45" xfId="0" applyFont="1" applyFill="1" applyBorder="1" applyAlignment="1" applyProtection="1">
      <alignment horizontal="center"/>
      <protection locked="0"/>
    </xf>
    <xf numFmtId="1" fontId="29" fillId="51" borderId="10" xfId="0" applyNumberFormat="1" applyFont="1" applyFill="1" applyBorder="1"/>
    <xf numFmtId="1" fontId="29" fillId="51" borderId="37" xfId="0" applyNumberFormat="1" applyFont="1" applyFill="1" applyBorder="1"/>
    <xf numFmtId="0" fontId="29" fillId="51" borderId="10" xfId="0" applyFont="1" applyFill="1" applyBorder="1"/>
    <xf numFmtId="1" fontId="29" fillId="51" borderId="69" xfId="0" applyNumberFormat="1" applyFont="1" applyFill="1" applyBorder="1"/>
    <xf numFmtId="1" fontId="29" fillId="51" borderId="98" xfId="0" applyNumberFormat="1" applyFont="1" applyFill="1" applyBorder="1"/>
    <xf numFmtId="1" fontId="139" fillId="51" borderId="10" xfId="0" applyNumberFormat="1" applyFont="1" applyFill="1" applyBorder="1"/>
    <xf numFmtId="0" fontId="29" fillId="51" borderId="69" xfId="0" applyFont="1" applyFill="1" applyBorder="1" applyAlignment="1">
      <alignment wrapText="1"/>
    </xf>
    <xf numFmtId="0" fontId="89" fillId="0" borderId="26" xfId="0" applyFont="1" applyBorder="1" applyAlignment="1">
      <alignment horizontal="center" vertical="top" wrapText="1"/>
    </xf>
    <xf numFmtId="0" fontId="89" fillId="0" borderId="25" xfId="0" applyFont="1" applyBorder="1" applyAlignment="1">
      <alignment vertical="top" wrapText="1"/>
    </xf>
    <xf numFmtId="0" fontId="89" fillId="0" borderId="25" xfId="0" applyFont="1" applyBorder="1" applyAlignment="1">
      <alignment horizontal="center" vertical="top" wrapText="1"/>
    </xf>
    <xf numFmtId="0" fontId="89" fillId="0" borderId="38" xfId="0" applyFont="1" applyBorder="1" applyAlignment="1">
      <alignment horizontal="center" vertical="top" wrapText="1"/>
    </xf>
    <xf numFmtId="0" fontId="22" fillId="24" borderId="33" xfId="0" applyFont="1" applyFill="1" applyBorder="1" applyAlignment="1" applyProtection="1">
      <alignment horizontal="center"/>
      <protection locked="0"/>
    </xf>
    <xf numFmtId="0" fontId="52" fillId="0" borderId="90" xfId="0" applyFont="1" applyBorder="1" applyAlignment="1">
      <alignment horizontal="center" vertical="center"/>
    </xf>
    <xf numFmtId="49" fontId="3" fillId="38" borderId="106" xfId="0" applyNumberFormat="1" applyFont="1" applyFill="1" applyBorder="1" applyAlignment="1" applyProtection="1">
      <alignment horizontal="left" vertical="center" wrapText="1"/>
      <protection locked="0"/>
    </xf>
    <xf numFmtId="49" fontId="3" fillId="37" borderId="105" xfId="0" applyNumberFormat="1" applyFont="1" applyFill="1" applyBorder="1" applyAlignment="1" applyProtection="1">
      <alignment horizontal="left" vertical="center" wrapText="1"/>
      <protection locked="0"/>
    </xf>
    <xf numFmtId="49" fontId="3" fillId="37" borderId="106" xfId="0" applyNumberFormat="1" applyFont="1" applyFill="1" applyBorder="1" applyAlignment="1" applyProtection="1">
      <alignment horizontal="left" vertical="center" wrapText="1"/>
      <protection locked="0"/>
    </xf>
    <xf numFmtId="0" fontId="101" fillId="40" borderId="123" xfId="0" applyFont="1" applyFill="1" applyBorder="1" applyAlignment="1">
      <alignment horizontal="center"/>
    </xf>
    <xf numFmtId="0" fontId="101" fillId="0" borderId="66" xfId="0" applyFont="1" applyBorder="1" applyAlignment="1">
      <alignment horizontal="center" wrapText="1"/>
    </xf>
    <xf numFmtId="0" fontId="89" fillId="0" borderId="66" xfId="0" applyFont="1" applyBorder="1" applyAlignment="1">
      <alignment horizontal="center" wrapText="1"/>
    </xf>
    <xf numFmtId="0" fontId="101" fillId="34" borderId="66" xfId="0" applyFont="1" applyFill="1" applyBorder="1" applyAlignment="1">
      <alignment horizontal="center" wrapText="1"/>
    </xf>
    <xf numFmtId="0" fontId="89" fillId="0" borderId="66" xfId="0" applyFont="1" applyBorder="1" applyAlignment="1">
      <alignment horizontal="center" vertical="center" wrapText="1"/>
    </xf>
    <xf numFmtId="1" fontId="70" fillId="51" borderId="10" xfId="0" applyNumberFormat="1" applyFont="1" applyFill="1" applyBorder="1"/>
    <xf numFmtId="1" fontId="70" fillId="51" borderId="37" xfId="0" applyNumberFormat="1" applyFont="1" applyFill="1" applyBorder="1"/>
    <xf numFmtId="4" fontId="0" fillId="0" borderId="59" xfId="0" applyNumberFormat="1" applyBorder="1"/>
    <xf numFmtId="1" fontId="0" fillId="0" borderId="10" xfId="0" applyNumberFormat="1" applyBorder="1" applyAlignment="1" applyProtection="1">
      <alignment horizontal="center"/>
      <protection locked="0"/>
    </xf>
    <xf numFmtId="168" fontId="2" fillId="0" borderId="110" xfId="60" applyNumberFormat="1" applyFont="1" applyFill="1" applyBorder="1" applyAlignment="1" applyProtection="1">
      <alignment horizontal="center"/>
      <protection locked="0"/>
    </xf>
    <xf numFmtId="49" fontId="0" fillId="0" borderId="30" xfId="0" applyNumberFormat="1" applyBorder="1" applyAlignment="1" applyProtection="1">
      <alignment horizontal="center"/>
      <protection locked="0"/>
    </xf>
    <xf numFmtId="49" fontId="0" fillId="0" borderId="31" xfId="0" applyNumberFormat="1" applyBorder="1" applyAlignment="1" applyProtection="1">
      <alignment horizontal="center"/>
      <protection locked="0"/>
    </xf>
    <xf numFmtId="15" fontId="0" fillId="0" borderId="10" xfId="55" applyNumberFormat="1" applyFont="1" applyFill="1" applyBorder="1" applyAlignment="1" applyProtection="1">
      <alignment horizontal="center"/>
      <protection locked="0"/>
    </xf>
    <xf numFmtId="0" fontId="66" fillId="0" borderId="35" xfId="0" applyFont="1" applyBorder="1" applyAlignment="1">
      <alignment horizontal="right"/>
    </xf>
    <xf numFmtId="49" fontId="0" fillId="0" borderId="10" xfId="0" applyNumberFormat="1" applyBorder="1" applyAlignment="1" applyProtection="1">
      <alignment horizontal="center"/>
      <protection locked="0"/>
    </xf>
    <xf numFmtId="43" fontId="25" fillId="24" borderId="27" xfId="55" applyFont="1" applyFill="1" applyBorder="1" applyAlignment="1" applyProtection="1">
      <alignment horizontal="center"/>
    </xf>
    <xf numFmtId="43" fontId="2" fillId="0" borderId="27" xfId="55" applyFont="1" applyBorder="1" applyAlignment="1" applyProtection="1">
      <alignment horizontal="right"/>
    </xf>
    <xf numFmtId="43" fontId="21" fillId="0" borderId="0" xfId="49" applyFont="1" applyAlignment="1">
      <alignment horizontal="right" vertical="center"/>
    </xf>
    <xf numFmtId="15" fontId="25" fillId="24" borderId="27" xfId="55" applyNumberFormat="1" applyFont="1" applyFill="1" applyBorder="1" applyAlignment="1" applyProtection="1">
      <alignment horizontal="center"/>
    </xf>
    <xf numFmtId="15" fontId="29" fillId="0" borderId="0" xfId="0" applyNumberFormat="1" applyFont="1" applyAlignment="1">
      <alignment horizontal="right"/>
    </xf>
    <xf numFmtId="43" fontId="15" fillId="0" borderId="0" xfId="0" applyNumberFormat="1" applyFont="1" applyAlignment="1">
      <alignment horizontal="center"/>
    </xf>
    <xf numFmtId="43" fontId="36" fillId="0" borderId="0" xfId="0" applyNumberFormat="1" applyFont="1" applyAlignment="1">
      <alignment horizontal="left" vertical="center" wrapText="1"/>
    </xf>
    <xf numFmtId="0" fontId="31" fillId="21" borderId="0" xfId="0" applyFont="1" applyFill="1" applyAlignment="1" applyProtection="1">
      <alignment horizontal="left" vertical="top" wrapText="1"/>
      <protection locked="0"/>
    </xf>
    <xf numFmtId="0" fontId="56" fillId="0" borderId="0" xfId="0" applyFont="1" applyAlignment="1">
      <alignment horizontal="left" wrapText="1"/>
    </xf>
    <xf numFmtId="43" fontId="72" fillId="0" borderId="0" xfId="0" applyNumberFormat="1" applyFont="1" applyAlignment="1">
      <alignment horizontal="center"/>
    </xf>
    <xf numFmtId="0" fontId="35" fillId="0" borderId="10" xfId="0" applyFont="1" applyBorder="1" applyAlignment="1">
      <alignment horizontal="center" vertical="center" wrapText="1"/>
    </xf>
    <xf numFmtId="3" fontId="97" fillId="22" borderId="24" xfId="0" applyNumberFormat="1" applyFont="1" applyFill="1" applyBorder="1" applyAlignment="1" applyProtection="1">
      <alignment vertical="center" wrapText="1"/>
      <protection locked="0"/>
    </xf>
    <xf numFmtId="49" fontId="0" fillId="0" borderId="66" xfId="0" applyNumberFormat="1" applyBorder="1" applyProtection="1">
      <protection locked="0"/>
    </xf>
    <xf numFmtId="49" fontId="0" fillId="0" borderId="10" xfId="0" applyNumberFormat="1" applyBorder="1" applyProtection="1">
      <protection locked="0"/>
    </xf>
    <xf numFmtId="49" fontId="91" fillId="0" borderId="10" xfId="0" applyNumberFormat="1" applyFont="1" applyBorder="1" applyProtection="1">
      <protection locked="0"/>
    </xf>
    <xf numFmtId="49" fontId="0" fillId="0" borderId="10" xfId="0" applyNumberFormat="1" applyBorder="1" applyAlignment="1" applyProtection="1">
      <alignment horizontal="left"/>
      <protection locked="0"/>
    </xf>
    <xf numFmtId="49" fontId="0" fillId="0" borderId="69" xfId="0" applyNumberFormat="1" applyBorder="1" applyAlignment="1" applyProtection="1">
      <alignment horizontal="left"/>
      <protection locked="0"/>
    </xf>
    <xf numFmtId="49" fontId="0" fillId="0" borderId="45" xfId="0" applyNumberFormat="1" applyBorder="1" applyAlignment="1" applyProtection="1">
      <alignment horizontal="left"/>
      <protection locked="0"/>
    </xf>
    <xf numFmtId="9" fontId="85" fillId="0" borderId="29" xfId="59" applyFont="1" applyFill="1" applyBorder="1" applyAlignment="1" applyProtection="1">
      <alignment horizontal="center" vertical="center" wrapText="1"/>
      <protection locked="0"/>
    </xf>
    <xf numFmtId="10" fontId="97" fillId="21" borderId="10" xfId="59" applyNumberFormat="1" applyFont="1" applyFill="1" applyBorder="1" applyAlignment="1" applyProtection="1">
      <alignment vertical="top" wrapText="1"/>
      <protection locked="0"/>
    </xf>
    <xf numFmtId="167" fontId="15" fillId="53" borderId="53" xfId="0" applyNumberFormat="1" applyFont="1" applyFill="1" applyBorder="1" applyAlignment="1" applyProtection="1">
      <alignment horizontal="center"/>
      <protection locked="0"/>
    </xf>
    <xf numFmtId="9" fontId="97" fillId="37" borderId="10" xfId="0" applyNumberFormat="1" applyFont="1" applyFill="1" applyBorder="1" applyAlignment="1" applyProtection="1">
      <alignment horizontal="center" vertical="center"/>
      <protection locked="0"/>
    </xf>
    <xf numFmtId="3" fontId="97" fillId="0" borderId="10" xfId="0" applyNumberFormat="1" applyFont="1" applyBorder="1" applyAlignment="1" applyProtection="1">
      <alignment vertical="center"/>
      <protection locked="0"/>
    </xf>
    <xf numFmtId="3" fontId="97" fillId="0" borderId="24" xfId="0" applyNumberFormat="1" applyFont="1" applyBorder="1" applyAlignment="1" applyProtection="1">
      <alignment vertical="center" wrapText="1"/>
      <protection locked="0"/>
    </xf>
    <xf numFmtId="3" fontId="97" fillId="0" borderId="10" xfId="0" applyNumberFormat="1" applyFont="1" applyBorder="1" applyAlignment="1" applyProtection="1">
      <alignment horizontal="right" vertical="center"/>
      <protection locked="0"/>
    </xf>
    <xf numFmtId="2" fontId="97" fillId="0" borderId="10" xfId="59" applyNumberFormat="1" applyFont="1" applyFill="1" applyBorder="1" applyAlignment="1" applyProtection="1">
      <alignment vertical="top" wrapText="1"/>
      <protection locked="0"/>
    </xf>
    <xf numFmtId="9" fontId="142" fillId="0" borderId="29" xfId="59" applyFont="1" applyBorder="1" applyAlignment="1" applyProtection="1">
      <alignment horizontal="center" vertical="center" wrapText="1"/>
      <protection locked="0"/>
    </xf>
    <xf numFmtId="3" fontId="142" fillId="0" borderId="29" xfId="0" applyNumberFormat="1" applyFont="1" applyBorder="1" applyAlignment="1" applyProtection="1">
      <alignment horizontal="center" vertical="center" wrapText="1"/>
      <protection locked="0"/>
    </xf>
    <xf numFmtId="0" fontId="101" fillId="0" borderId="132" xfId="0" applyFont="1" applyBorder="1" applyAlignment="1">
      <alignment horizontal="center" wrapText="1"/>
    </xf>
    <xf numFmtId="1" fontId="22" fillId="35" borderId="132" xfId="0" applyNumberFormat="1" applyFont="1" applyFill="1" applyBorder="1" applyAlignment="1">
      <alignment horizontal="center" vertical="center"/>
    </xf>
    <xf numFmtId="1" fontId="96" fillId="35" borderId="132" xfId="0" applyNumberFormat="1" applyFont="1" applyFill="1" applyBorder="1" applyAlignment="1">
      <alignment horizontal="center" vertical="center"/>
    </xf>
    <xf numFmtId="0" fontId="89" fillId="0" borderId="127" xfId="0" applyFont="1" applyBorder="1" applyAlignment="1">
      <alignment horizontal="center" wrapText="1"/>
    </xf>
    <xf numFmtId="0" fontId="89" fillId="0" borderId="67" xfId="0" applyFont="1" applyBorder="1" applyAlignment="1">
      <alignment horizontal="center" wrapText="1"/>
    </xf>
    <xf numFmtId="0" fontId="70" fillId="21" borderId="136" xfId="0" applyFont="1" applyFill="1" applyBorder="1" applyAlignment="1" applyProtection="1">
      <alignment horizontal="right" vertical="top"/>
      <protection locked="0"/>
    </xf>
    <xf numFmtId="0" fontId="70" fillId="21" borderId="137" xfId="0" applyFont="1" applyFill="1" applyBorder="1" applyAlignment="1" applyProtection="1">
      <alignment horizontal="right" vertical="top"/>
      <protection locked="0"/>
    </xf>
    <xf numFmtId="9" fontId="145" fillId="0" borderId="10" xfId="0" applyNumberFormat="1" applyFont="1" applyBorder="1" applyAlignment="1">
      <alignment horizontal="center" vertical="center" wrapText="1"/>
    </xf>
    <xf numFmtId="0" fontId="145" fillId="0" borderId="10" xfId="0" applyFont="1" applyBorder="1" applyAlignment="1">
      <alignment horizontal="center" vertical="center" wrapText="1"/>
    </xf>
    <xf numFmtId="9" fontId="22" fillId="34" borderId="29" xfId="59" applyFont="1" applyFill="1" applyBorder="1" applyAlignment="1" applyProtection="1">
      <alignment horizontal="left" vertical="top" wrapText="1"/>
      <protection locked="0"/>
    </xf>
    <xf numFmtId="0" fontId="59" fillId="0" borderId="30" xfId="0" applyFont="1" applyBorder="1" applyAlignment="1">
      <alignment vertical="top" wrapText="1"/>
    </xf>
    <xf numFmtId="0" fontId="0" fillId="0" borderId="0" xfId="0" applyAlignment="1">
      <alignment vertical="top"/>
    </xf>
    <xf numFmtId="0" fontId="44" fillId="0" borderId="29" xfId="0" applyFont="1" applyBorder="1" applyAlignment="1" applyProtection="1">
      <alignment horizontal="left" vertical="top" wrapText="1"/>
      <protection locked="0"/>
    </xf>
    <xf numFmtId="0" fontId="44" fillId="0" borderId="30" xfId="0" applyFont="1" applyBorder="1" applyAlignment="1" applyProtection="1">
      <alignment horizontal="left" vertical="top" wrapText="1"/>
      <protection locked="0"/>
    </xf>
    <xf numFmtId="0" fontId="44" fillId="0" borderId="31" xfId="0" applyFont="1" applyBorder="1" applyAlignment="1" applyProtection="1">
      <alignment horizontal="left" vertical="top" wrapText="1"/>
      <protection locked="0"/>
    </xf>
    <xf numFmtId="0" fontId="59" fillId="0" borderId="29" xfId="0" applyFont="1" applyBorder="1" applyAlignment="1">
      <alignment vertical="top" wrapText="1"/>
    </xf>
    <xf numFmtId="0" fontId="44" fillId="0" borderId="30" xfId="0" applyFont="1" applyBorder="1" applyAlignment="1">
      <alignment horizontal="justify" vertical="top" wrapText="1"/>
    </xf>
    <xf numFmtId="0" fontId="60" fillId="0" borderId="30" xfId="0" applyFont="1" applyBorder="1" applyAlignment="1">
      <alignment horizontal="justify" vertical="top" wrapText="1"/>
    </xf>
    <xf numFmtId="0" fontId="44" fillId="0" borderId="31" xfId="0" applyFont="1" applyBorder="1" applyAlignment="1">
      <alignment horizontal="justify" vertical="top" wrapText="1"/>
    </xf>
    <xf numFmtId="0" fontId="44" fillId="0" borderId="29" xfId="0" applyFont="1" applyBorder="1" applyAlignment="1">
      <alignment horizontal="justify" vertical="top" wrapText="1"/>
    </xf>
    <xf numFmtId="9" fontId="3" fillId="27" borderId="10" xfId="0" applyNumberFormat="1" applyFont="1" applyFill="1" applyBorder="1" applyAlignment="1" applyProtection="1">
      <alignment horizontal="center" vertical="center"/>
      <protection locked="0"/>
    </xf>
    <xf numFmtId="3" fontId="3" fillId="27" borderId="10" xfId="0" applyNumberFormat="1" applyFont="1" applyFill="1" applyBorder="1" applyAlignment="1" applyProtection="1">
      <alignment horizontal="center" vertical="center"/>
      <protection locked="0"/>
    </xf>
    <xf numFmtId="9" fontId="3" fillId="28" borderId="10" xfId="0" applyNumberFormat="1" applyFont="1" applyFill="1" applyBorder="1" applyAlignment="1" applyProtection="1">
      <alignment horizontal="center" vertical="center"/>
      <protection locked="0"/>
    </xf>
    <xf numFmtId="9" fontId="3" fillId="0" borderId="10" xfId="0" applyNumberFormat="1" applyFont="1" applyBorder="1" applyAlignment="1" applyProtection="1">
      <alignment horizontal="center" vertical="center"/>
      <protection locked="0"/>
    </xf>
    <xf numFmtId="3" fontId="3" fillId="23" borderId="10" xfId="0" applyNumberFormat="1" applyFont="1" applyFill="1" applyBorder="1" applyAlignment="1">
      <alignment horizontal="center" vertical="center"/>
    </xf>
    <xf numFmtId="3" fontId="3" fillId="0" borderId="10" xfId="0" applyNumberFormat="1" applyFont="1" applyBorder="1" applyAlignment="1">
      <alignment horizontal="center" vertical="center"/>
    </xf>
    <xf numFmtId="3" fontId="3" fillId="0" borderId="42" xfId="0" applyNumberFormat="1" applyFont="1" applyBorder="1" applyAlignment="1">
      <alignment horizontal="center" vertical="center"/>
    </xf>
    <xf numFmtId="15" fontId="29" fillId="0" borderId="0" xfId="0" applyNumberFormat="1" applyFont="1" applyAlignment="1">
      <alignment horizontal="left" vertical="top"/>
    </xf>
    <xf numFmtId="0" fontId="70" fillId="21" borderId="100" xfId="0" applyFont="1" applyFill="1" applyBorder="1" applyAlignment="1" applyProtection="1">
      <alignment horizontal="left" vertical="top"/>
      <protection locked="0"/>
    </xf>
    <xf numFmtId="0" fontId="70" fillId="21" borderId="101" xfId="0" applyFont="1" applyFill="1" applyBorder="1" applyAlignment="1" applyProtection="1">
      <alignment horizontal="left" vertical="top"/>
      <protection locked="0"/>
    </xf>
    <xf numFmtId="9" fontId="0" fillId="0" borderId="0" xfId="0" applyNumberFormat="1"/>
    <xf numFmtId="9" fontId="15" fillId="19" borderId="53" xfId="0" applyNumberFormat="1" applyFont="1" applyFill="1" applyBorder="1" applyAlignment="1" applyProtection="1">
      <alignment horizontal="center"/>
      <protection locked="0"/>
    </xf>
    <xf numFmtId="9" fontId="97" fillId="0" borderId="10" xfId="0" applyNumberFormat="1" applyFont="1" applyBorder="1" applyAlignment="1">
      <alignment horizontal="center" vertical="center"/>
    </xf>
    <xf numFmtId="9" fontId="97" fillId="23" borderId="10" xfId="0" applyNumberFormat="1" applyFont="1" applyFill="1" applyBorder="1" applyAlignment="1">
      <alignment horizontal="center" vertical="center"/>
    </xf>
    <xf numFmtId="3" fontId="146" fillId="54" borderId="144" xfId="0" applyNumberFormat="1" applyFont="1" applyFill="1" applyBorder="1"/>
    <xf numFmtId="3" fontId="22" fillId="54" borderId="10" xfId="0" applyNumberFormat="1" applyFont="1" applyFill="1" applyBorder="1"/>
    <xf numFmtId="3" fontId="22" fillId="54" borderId="66" xfId="0" applyNumberFormat="1" applyFont="1" applyFill="1" applyBorder="1"/>
    <xf numFmtId="3" fontId="147" fillId="55" borderId="10" xfId="0" applyNumberFormat="1" applyFont="1" applyFill="1" applyBorder="1" applyAlignment="1">
      <alignment horizontal="center" vertical="center" wrapText="1"/>
    </xf>
    <xf numFmtId="3" fontId="147" fillId="55" borderId="66" xfId="0" applyNumberFormat="1" applyFont="1" applyFill="1" applyBorder="1" applyAlignment="1">
      <alignment horizontal="center" vertical="center" wrapText="1"/>
    </xf>
    <xf numFmtId="0" fontId="148" fillId="0" borderId="149" xfId="0" applyFont="1" applyBorder="1" applyAlignment="1">
      <alignment wrapText="1"/>
    </xf>
    <xf numFmtId="0" fontId="148" fillId="0" borderId="150" xfId="0" applyFont="1" applyBorder="1" applyAlignment="1">
      <alignment wrapText="1"/>
    </xf>
    <xf numFmtId="0" fontId="148" fillId="0" borderId="150" xfId="0" applyFont="1" applyBorder="1"/>
    <xf numFmtId="43" fontId="147" fillId="54" borderId="145" xfId="0" applyNumberFormat="1" applyFont="1" applyFill="1" applyBorder="1"/>
    <xf numFmtId="43" fontId="147" fillId="54" borderId="146" xfId="0" applyNumberFormat="1" applyFont="1" applyFill="1" applyBorder="1"/>
    <xf numFmtId="43" fontId="147" fillId="54" borderId="147" xfId="0" applyNumberFormat="1" applyFont="1" applyFill="1" applyBorder="1"/>
    <xf numFmtId="43" fontId="147" fillId="54" borderId="148" xfId="0" applyNumberFormat="1" applyFont="1" applyFill="1" applyBorder="1"/>
    <xf numFmtId="43" fontId="147" fillId="56" borderId="147" xfId="0" applyNumberFormat="1" applyFont="1" applyFill="1" applyBorder="1"/>
    <xf numFmtId="9" fontId="97" fillId="28" borderId="10" xfId="0" applyNumberFormat="1" applyFont="1" applyFill="1" applyBorder="1" applyAlignment="1" applyProtection="1">
      <alignment horizontal="center" vertical="center"/>
      <protection locked="0"/>
    </xf>
    <xf numFmtId="3" fontId="150" fillId="58" borderId="10" xfId="0" applyNumberFormat="1" applyFont="1" applyFill="1" applyBorder="1" applyAlignment="1">
      <alignment horizontal="right" vertical="center"/>
    </xf>
    <xf numFmtId="174" fontId="97" fillId="37" borderId="10" xfId="0" applyNumberFormat="1" applyFont="1" applyFill="1" applyBorder="1" applyAlignment="1" applyProtection="1">
      <alignment horizontal="center" vertical="center"/>
      <protection locked="0"/>
    </xf>
    <xf numFmtId="10" fontId="97" fillId="37" borderId="10" xfId="0" applyNumberFormat="1" applyFont="1" applyFill="1" applyBorder="1" applyAlignment="1" applyProtection="1">
      <alignment horizontal="center" vertical="center"/>
      <protection locked="0"/>
    </xf>
    <xf numFmtId="10" fontId="145" fillId="0" borderId="31" xfId="0" applyNumberFormat="1" applyFont="1" applyBorder="1" applyAlignment="1">
      <alignment horizontal="center" vertical="center" wrapText="1"/>
    </xf>
    <xf numFmtId="174" fontId="97" fillId="0" borderId="10" xfId="0" applyNumberFormat="1" applyFont="1" applyBorder="1" applyAlignment="1">
      <alignment horizontal="center" vertical="center"/>
    </xf>
    <xf numFmtId="9" fontId="97" fillId="0" borderId="10" xfId="0" applyNumberFormat="1" applyFont="1" applyBorder="1" applyAlignment="1">
      <alignment vertical="center"/>
    </xf>
    <xf numFmtId="10" fontId="97" fillId="0" borderId="10" xfId="0" applyNumberFormat="1" applyFont="1" applyBorder="1" applyAlignment="1">
      <alignment vertical="center"/>
    </xf>
    <xf numFmtId="9" fontId="97" fillId="23" borderId="10" xfId="0" applyNumberFormat="1" applyFont="1" applyFill="1" applyBorder="1" applyAlignment="1">
      <alignment vertical="center"/>
    </xf>
    <xf numFmtId="10" fontId="97" fillId="23" borderId="10" xfId="0" applyNumberFormat="1" applyFont="1" applyFill="1" applyBorder="1" applyAlignment="1">
      <alignment vertical="center"/>
    </xf>
    <xf numFmtId="1" fontId="29" fillId="59" borderId="125" xfId="0" applyNumberFormat="1" applyFont="1" applyFill="1" applyBorder="1"/>
    <xf numFmtId="1" fontId="22" fillId="59" borderId="10" xfId="0" applyNumberFormat="1" applyFont="1" applyFill="1" applyBorder="1" applyAlignment="1">
      <alignment horizontal="right" vertical="center"/>
    </xf>
    <xf numFmtId="0" fontId="0" fillId="59" borderId="10" xfId="0" applyFill="1" applyBorder="1" applyAlignment="1" applyProtection="1">
      <alignment horizontal="right" vertical="center"/>
      <protection locked="0"/>
    </xf>
    <xf numFmtId="1" fontId="0" fillId="59" borderId="37" xfId="0" applyNumberFormat="1" applyFill="1" applyBorder="1" applyAlignment="1">
      <alignment horizontal="right" vertical="center"/>
    </xf>
    <xf numFmtId="1" fontId="29" fillId="59" borderId="10" xfId="0" applyNumberFormat="1" applyFont="1" applyFill="1" applyBorder="1"/>
    <xf numFmtId="1" fontId="22" fillId="59" borderId="69" xfId="0" applyNumberFormat="1" applyFont="1" applyFill="1" applyBorder="1" applyAlignment="1">
      <alignment horizontal="right" vertical="center"/>
    </xf>
    <xf numFmtId="0" fontId="0" fillId="59" borderId="69" xfId="0" applyFill="1" applyBorder="1" applyAlignment="1" applyProtection="1">
      <alignment horizontal="right" vertical="center"/>
      <protection locked="0"/>
    </xf>
    <xf numFmtId="1" fontId="22" fillId="59" borderId="45" xfId="0" applyNumberFormat="1" applyFont="1" applyFill="1" applyBorder="1" applyAlignment="1">
      <alignment horizontal="right" vertical="center"/>
    </xf>
    <xf numFmtId="0" fontId="0" fillId="59" borderId="45" xfId="0" applyFill="1" applyBorder="1" applyAlignment="1" applyProtection="1">
      <alignment horizontal="right" vertical="center"/>
      <protection locked="0"/>
    </xf>
    <xf numFmtId="0" fontId="29" fillId="59" borderId="126" xfId="0" applyFont="1" applyFill="1" applyBorder="1"/>
    <xf numFmtId="1" fontId="29" fillId="59" borderId="126" xfId="0" applyNumberFormat="1" applyFont="1" applyFill="1" applyBorder="1" applyAlignment="1">
      <alignment horizontal="right" vertical="center"/>
    </xf>
    <xf numFmtId="0" fontId="22" fillId="59" borderId="66" xfId="0" applyFont="1" applyFill="1" applyBorder="1" applyAlignment="1" applyProtection="1">
      <alignment horizontal="center" vertical="center"/>
      <protection locked="0"/>
    </xf>
    <xf numFmtId="0" fontId="22" fillId="59" borderId="66" xfId="0" applyFont="1" applyFill="1" applyBorder="1" applyAlignment="1">
      <alignment horizontal="center" vertical="center"/>
    </xf>
    <xf numFmtId="3" fontId="0" fillId="59" borderId="10" xfId="0" applyNumberFormat="1" applyFill="1" applyBorder="1" applyAlignment="1" applyProtection="1">
      <alignment horizontal="center" vertical="center"/>
      <protection locked="0"/>
    </xf>
    <xf numFmtId="3" fontId="0" fillId="59" borderId="29" xfId="0" applyNumberFormat="1" applyFill="1" applyBorder="1" applyAlignment="1">
      <alignment horizontal="center" vertical="center"/>
    </xf>
    <xf numFmtId="3" fontId="0" fillId="59" borderId="132" xfId="0" applyNumberFormat="1" applyFill="1" applyBorder="1" applyAlignment="1" applyProtection="1">
      <alignment horizontal="center" vertical="center"/>
      <protection locked="0"/>
    </xf>
    <xf numFmtId="0" fontId="0" fillId="59" borderId="132" xfId="0" applyFill="1" applyBorder="1"/>
    <xf numFmtId="1" fontId="22" fillId="59" borderId="132" xfId="0" applyNumberFormat="1" applyFont="1" applyFill="1" applyBorder="1" applyAlignment="1">
      <alignment horizontal="center" vertical="center"/>
    </xf>
    <xf numFmtId="0" fontId="0" fillId="59" borderId="31" xfId="0" applyFill="1" applyBorder="1" applyAlignment="1" applyProtection="1">
      <alignment horizontal="center" vertical="center"/>
      <protection locked="0"/>
    </xf>
    <xf numFmtId="1" fontId="0" fillId="59" borderId="99" xfId="0" applyNumberFormat="1" applyFill="1" applyBorder="1" applyAlignment="1">
      <alignment horizontal="center" vertical="center"/>
    </xf>
    <xf numFmtId="0" fontId="22" fillId="59" borderId="10" xfId="0" applyFont="1" applyFill="1" applyBorder="1" applyAlignment="1" applyProtection="1">
      <alignment horizontal="center" vertical="center"/>
      <protection locked="0"/>
    </xf>
    <xf numFmtId="0" fontId="22" fillId="59" borderId="10" xfId="0" applyFont="1" applyFill="1" applyBorder="1" applyAlignment="1">
      <alignment horizontal="center" vertical="center"/>
    </xf>
    <xf numFmtId="1" fontId="0" fillId="59" borderId="37" xfId="0" applyNumberFormat="1" applyFill="1" applyBorder="1" applyAlignment="1">
      <alignment horizontal="center" vertical="center"/>
    </xf>
    <xf numFmtId="0" fontId="22" fillId="59" borderId="69" xfId="0" applyFont="1" applyFill="1" applyBorder="1" applyAlignment="1" applyProtection="1">
      <alignment horizontal="center" vertical="center"/>
      <protection locked="0"/>
    </xf>
    <xf numFmtId="3" fontId="0" fillId="59" borderId="10" xfId="0" applyNumberFormat="1" applyFill="1" applyBorder="1" applyAlignment="1" applyProtection="1">
      <alignment horizontal="center" vertical="top"/>
      <protection locked="0"/>
    </xf>
    <xf numFmtId="3" fontId="0" fillId="59" borderId="132" xfId="0" applyNumberFormat="1" applyFill="1" applyBorder="1" applyAlignment="1" applyProtection="1">
      <alignment horizontal="center"/>
      <protection locked="0"/>
    </xf>
    <xf numFmtId="0" fontId="22" fillId="59" borderId="69" xfId="0" applyFont="1" applyFill="1" applyBorder="1" applyAlignment="1">
      <alignment horizontal="center" vertical="center"/>
    </xf>
    <xf numFmtId="3" fontId="0" fillId="59" borderId="69" xfId="0" applyNumberFormat="1" applyFill="1" applyBorder="1" applyAlignment="1" applyProtection="1">
      <alignment horizontal="center" vertical="top"/>
      <protection locked="0"/>
    </xf>
    <xf numFmtId="1" fontId="0" fillId="59" borderId="72" xfId="0" applyNumberFormat="1" applyFill="1" applyBorder="1" applyAlignment="1">
      <alignment horizontal="center"/>
    </xf>
    <xf numFmtId="0" fontId="0" fillId="59" borderId="73" xfId="0" applyFill="1" applyBorder="1" applyAlignment="1" applyProtection="1">
      <alignment horizontal="center" vertical="center"/>
      <protection locked="0"/>
    </xf>
    <xf numFmtId="1" fontId="0" fillId="59" borderId="98" xfId="0" applyNumberFormat="1" applyFill="1" applyBorder="1" applyAlignment="1">
      <alignment horizontal="center" vertical="center"/>
    </xf>
    <xf numFmtId="0" fontId="22" fillId="59" borderId="45" xfId="0" applyFont="1" applyFill="1" applyBorder="1" applyAlignment="1" applyProtection="1">
      <alignment horizontal="center" vertical="center"/>
      <protection locked="0"/>
    </xf>
    <xf numFmtId="0" fontId="22" fillId="59" borderId="45" xfId="0" applyFont="1" applyFill="1" applyBorder="1" applyAlignment="1">
      <alignment horizontal="center" vertical="center"/>
    </xf>
    <xf numFmtId="3" fontId="0" fillId="59" borderId="45" xfId="0" applyNumberFormat="1" applyFill="1" applyBorder="1" applyAlignment="1" applyProtection="1">
      <alignment horizontal="center" vertical="top"/>
      <protection locked="0"/>
    </xf>
    <xf numFmtId="1" fontId="0" fillId="59" borderId="138" xfId="0" applyNumberFormat="1" applyFill="1" applyBorder="1" applyAlignment="1">
      <alignment horizontal="center"/>
    </xf>
    <xf numFmtId="0" fontId="0" fillId="59" borderId="139" xfId="0" applyFill="1" applyBorder="1" applyAlignment="1" applyProtection="1">
      <alignment horizontal="center" vertical="center"/>
      <protection locked="0"/>
    </xf>
    <xf numFmtId="1" fontId="0" fillId="59" borderId="40" xfId="0" applyNumberFormat="1" applyFill="1" applyBorder="1" applyAlignment="1">
      <alignment horizontal="center" vertical="center"/>
    </xf>
    <xf numFmtId="49" fontId="96" fillId="35" borderId="10" xfId="0" applyNumberFormat="1" applyFont="1" applyFill="1" applyBorder="1" applyProtection="1">
      <protection locked="0"/>
    </xf>
    <xf numFmtId="0" fontId="152" fillId="35" borderId="66" xfId="0" applyFont="1" applyFill="1" applyBorder="1" applyAlignment="1">
      <alignment horizontal="center" wrapText="1"/>
    </xf>
    <xf numFmtId="0" fontId="96" fillId="35" borderId="10" xfId="0" applyFont="1" applyFill="1" applyBorder="1" applyAlignment="1">
      <alignment horizontal="center" vertical="center"/>
    </xf>
    <xf numFmtId="0" fontId="96" fillId="35" borderId="66" xfId="0" applyFont="1" applyFill="1" applyBorder="1" applyAlignment="1">
      <alignment horizontal="center" wrapText="1"/>
    </xf>
    <xf numFmtId="3" fontId="96" fillId="35" borderId="10" xfId="0" applyNumberFormat="1" applyFont="1" applyFill="1" applyBorder="1" applyAlignment="1">
      <alignment horizontal="center" vertical="center"/>
    </xf>
    <xf numFmtId="0" fontId="96" fillId="57" borderId="132" xfId="0" applyFont="1" applyFill="1" applyBorder="1"/>
    <xf numFmtId="1" fontId="96" fillId="35" borderId="10" xfId="0" applyNumberFormat="1" applyFont="1" applyFill="1" applyBorder="1" applyAlignment="1">
      <alignment horizontal="center" vertical="center"/>
    </xf>
    <xf numFmtId="0" fontId="96" fillId="35" borderId="29" xfId="0" applyFont="1" applyFill="1" applyBorder="1" applyAlignment="1" applyProtection="1">
      <alignment horizontal="center" vertical="center"/>
      <protection locked="0"/>
    </xf>
    <xf numFmtId="3" fontId="96" fillId="35" borderId="10" xfId="0" applyNumberFormat="1" applyFont="1" applyFill="1" applyBorder="1" applyAlignment="1">
      <alignment horizontal="right" vertical="center"/>
    </xf>
    <xf numFmtId="0" fontId="96" fillId="35" borderId="10" xfId="0" applyFont="1" applyFill="1" applyBorder="1" applyAlignment="1" applyProtection="1">
      <alignment horizontal="center" vertical="center"/>
      <protection locked="0"/>
    </xf>
    <xf numFmtId="49" fontId="96" fillId="35" borderId="10" xfId="0" applyNumberFormat="1" applyFont="1" applyFill="1" applyBorder="1" applyAlignment="1" applyProtection="1">
      <alignment horizontal="left"/>
      <protection locked="0"/>
    </xf>
    <xf numFmtId="3" fontId="96" fillId="35" borderId="69" xfId="0" applyNumberFormat="1" applyFont="1" applyFill="1" applyBorder="1" applyAlignment="1">
      <alignment horizontal="center" vertical="center"/>
    </xf>
    <xf numFmtId="1" fontId="96" fillId="35" borderId="69" xfId="0" applyNumberFormat="1" applyFont="1" applyFill="1" applyBorder="1" applyAlignment="1">
      <alignment horizontal="center" vertical="center"/>
    </xf>
    <xf numFmtId="49" fontId="0" fillId="0" borderId="29" xfId="0" applyNumberFormat="1" applyBorder="1" applyAlignment="1" applyProtection="1">
      <alignment horizontal="left"/>
      <protection locked="0"/>
    </xf>
    <xf numFmtId="49" fontId="0" fillId="0" borderId="29" xfId="0" applyNumberFormat="1" applyBorder="1" applyAlignment="1" applyProtection="1">
      <alignment horizontal="center"/>
      <protection locked="0"/>
    </xf>
    <xf numFmtId="10" fontId="145" fillId="0" borderId="10" xfId="0" applyNumberFormat="1" applyFont="1" applyBorder="1" applyAlignment="1">
      <alignment horizontal="center" vertical="center" wrapText="1"/>
    </xf>
    <xf numFmtId="43" fontId="17" fillId="0" borderId="0" xfId="172" applyFont="1" applyAlignment="1">
      <alignment vertical="center"/>
    </xf>
    <xf numFmtId="0" fontId="52" fillId="0" borderId="152" xfId="0" applyFont="1" applyBorder="1" applyAlignment="1">
      <alignment horizontal="center" vertical="center"/>
    </xf>
    <xf numFmtId="43" fontId="22" fillId="0" borderId="23" xfId="174" applyFont="1" applyFill="1" applyBorder="1" applyAlignment="1" applyProtection="1">
      <alignment vertical="center"/>
    </xf>
    <xf numFmtId="43" fontId="53" fillId="0" borderId="23" xfId="174" applyFont="1" applyFill="1" applyBorder="1" applyAlignment="1" applyProtection="1">
      <alignment vertical="center"/>
    </xf>
    <xf numFmtId="43" fontId="10" fillId="0" borderId="23" xfId="174" applyFont="1" applyFill="1" applyBorder="1" applyAlignment="1" applyProtection="1">
      <alignment vertical="center"/>
    </xf>
    <xf numFmtId="43" fontId="64" fillId="0" borderId="23" xfId="174" applyFont="1" applyFill="1" applyBorder="1" applyAlignment="1" applyProtection="1">
      <alignment vertical="center"/>
    </xf>
    <xf numFmtId="43" fontId="39" fillId="0" borderId="23" xfId="174" applyFont="1" applyFill="1" applyBorder="1" applyAlignment="1" applyProtection="1">
      <alignment vertical="center"/>
    </xf>
    <xf numFmtId="43" fontId="100" fillId="0" borderId="23" xfId="174" applyFont="1" applyFill="1" applyBorder="1" applyAlignment="1" applyProtection="1"/>
    <xf numFmtId="43" fontId="39" fillId="0" borderId="0" xfId="174" applyFont="1" applyFill="1" applyBorder="1" applyAlignment="1" applyProtection="1">
      <alignment vertical="center"/>
    </xf>
    <xf numFmtId="2" fontId="97" fillId="0" borderId="10" xfId="173" applyNumberFormat="1" applyFont="1" applyFill="1" applyBorder="1" applyAlignment="1" applyProtection="1">
      <alignment vertical="top" wrapText="1"/>
      <protection locked="0"/>
    </xf>
    <xf numFmtId="10" fontId="97" fillId="21" borderId="10" xfId="173" applyNumberFormat="1" applyFont="1" applyFill="1" applyBorder="1" applyAlignment="1" applyProtection="1">
      <alignment vertical="top" wrapText="1"/>
      <protection locked="0"/>
    </xf>
    <xf numFmtId="43" fontId="96" fillId="0" borderId="23" xfId="174" applyFont="1" applyFill="1" applyBorder="1" applyAlignment="1" applyProtection="1">
      <alignment vertical="center"/>
    </xf>
    <xf numFmtId="43" fontId="95" fillId="0" borderId="23" xfId="174" applyFont="1" applyFill="1" applyBorder="1" applyAlignment="1" applyProtection="1">
      <alignment vertical="center"/>
    </xf>
    <xf numFmtId="43" fontId="45" fillId="0" borderId="23" xfId="174" applyFont="1" applyFill="1" applyBorder="1" applyAlignment="1" applyProtection="1"/>
    <xf numFmtId="43" fontId="62" fillId="0" borderId="23" xfId="174" applyFont="1" applyFill="1" applyBorder="1" applyAlignment="1" applyProtection="1"/>
    <xf numFmtId="43" fontId="38" fillId="0" borderId="0" xfId="174" applyFont="1" applyBorder="1" applyAlignment="1" applyProtection="1"/>
    <xf numFmtId="43" fontId="2" fillId="0" borderId="0" xfId="175" applyFont="1" applyFill="1" applyBorder="1" applyProtection="1"/>
    <xf numFmtId="3" fontId="2" fillId="0" borderId="45" xfId="175" applyNumberFormat="1" applyFont="1" applyFill="1" applyBorder="1" applyAlignment="1" applyProtection="1">
      <alignment horizontal="center" vertical="center"/>
    </xf>
    <xf numFmtId="0" fontId="15" fillId="0" borderId="39" xfId="0" applyFont="1" applyBorder="1" applyAlignment="1">
      <alignment horizontal="center"/>
    </xf>
    <xf numFmtId="9" fontId="2" fillId="0" borderId="0" xfId="173" applyFont="1" applyBorder="1" applyProtection="1"/>
    <xf numFmtId="43" fontId="39" fillId="0" borderId="0" xfId="174" applyFont="1" applyFill="1" applyBorder="1" applyAlignment="1" applyProtection="1">
      <alignment horizontal="center" vertical="center"/>
      <protection locked="0"/>
    </xf>
    <xf numFmtId="43" fontId="40" fillId="0" borderId="0" xfId="174" applyFont="1" applyFill="1" applyBorder="1" applyAlignment="1" applyProtection="1">
      <alignment vertical="center"/>
    </xf>
    <xf numFmtId="43" fontId="22" fillId="24" borderId="70" xfId="174" applyFont="1" applyFill="1" applyBorder="1" applyAlignment="1" applyProtection="1">
      <alignment horizontal="center" vertical="center"/>
    </xf>
    <xf numFmtId="43" fontId="22" fillId="0" borderId="16" xfId="174" applyFont="1" applyFill="1" applyBorder="1" applyAlignment="1" applyProtection="1">
      <alignment horizontal="center" vertical="center"/>
    </xf>
    <xf numFmtId="43" fontId="22" fillId="0" borderId="16" xfId="174" applyFont="1" applyFill="1" applyBorder="1" applyAlignment="1" applyProtection="1">
      <alignment vertical="center"/>
    </xf>
    <xf numFmtId="43" fontId="53" fillId="0" borderId="16" xfId="174" applyFont="1" applyFill="1" applyBorder="1" applyAlignment="1" applyProtection="1">
      <alignment vertical="center"/>
    </xf>
    <xf numFmtId="43" fontId="39" fillId="0" borderId="16" xfId="174" applyFont="1" applyFill="1" applyBorder="1" applyAlignment="1" applyProtection="1">
      <alignment vertical="center"/>
    </xf>
    <xf numFmtId="43" fontId="38" fillId="0" borderId="16" xfId="174" applyFont="1" applyBorder="1" applyAlignment="1" applyProtection="1"/>
    <xf numFmtId="168" fontId="2" fillId="0" borderId="110" xfId="175" applyNumberFormat="1" applyFont="1" applyFill="1" applyBorder="1" applyAlignment="1" applyProtection="1">
      <alignment horizontal="center"/>
      <protection locked="0"/>
    </xf>
    <xf numFmtId="43" fontId="32" fillId="0" borderId="0" xfId="174" applyFont="1" applyBorder="1" applyAlignment="1" applyProtection="1"/>
    <xf numFmtId="10" fontId="7" fillId="0" borderId="0" xfId="173" applyNumberFormat="1" applyFont="1" applyFill="1" applyBorder="1" applyAlignment="1" applyProtection="1">
      <alignment horizontal="center"/>
      <protection locked="0"/>
    </xf>
    <xf numFmtId="10" fontId="7" fillId="0" borderId="0" xfId="173" applyNumberFormat="1" applyFont="1" applyFill="1" applyBorder="1" applyAlignment="1" applyProtection="1">
      <alignment horizontal="center"/>
    </xf>
    <xf numFmtId="3" fontId="7" fillId="0" borderId="40" xfId="175" applyNumberFormat="1" applyFont="1" applyFill="1" applyBorder="1" applyAlignment="1" applyProtection="1"/>
    <xf numFmtId="3" fontId="22" fillId="25" borderId="10" xfId="175" applyNumberFormat="1" applyFont="1" applyFill="1" applyBorder="1" applyAlignment="1" applyProtection="1">
      <protection locked="0"/>
    </xf>
    <xf numFmtId="10" fontId="7" fillId="0" borderId="0" xfId="173" applyNumberFormat="1" applyFont="1" applyFill="1" applyBorder="1" applyAlignment="1">
      <alignment horizontal="center"/>
    </xf>
    <xf numFmtId="168" fontId="7" fillId="0" borderId="0" xfId="175" applyNumberFormat="1" applyFont="1" applyFill="1" applyBorder="1" applyProtection="1">
      <protection locked="0"/>
    </xf>
    <xf numFmtId="168" fontId="7" fillId="0" borderId="0" xfId="175" applyNumberFormat="1" applyFont="1" applyFill="1" applyBorder="1" applyAlignment="1" applyProtection="1">
      <protection locked="0"/>
    </xf>
    <xf numFmtId="3" fontId="7" fillId="0" borderId="37" xfId="175" applyNumberFormat="1" applyFont="1" applyFill="1" applyBorder="1" applyAlignment="1" applyProtection="1"/>
    <xf numFmtId="3" fontId="0" fillId="25" borderId="56" xfId="175" applyNumberFormat="1" applyFont="1" applyFill="1" applyBorder="1" applyProtection="1">
      <protection locked="0"/>
    </xf>
    <xf numFmtId="4" fontId="2" fillId="36" borderId="54" xfId="175" applyNumberFormat="1" applyFont="1" applyFill="1" applyBorder="1" applyProtection="1">
      <protection locked="0"/>
    </xf>
    <xf numFmtId="9" fontId="16" fillId="0" borderId="0" xfId="173" applyFont="1" applyProtection="1"/>
    <xf numFmtId="43" fontId="29" fillId="0" borderId="46" xfId="175" applyFont="1" applyFill="1" applyBorder="1" applyAlignment="1" applyProtection="1"/>
    <xf numFmtId="43" fontId="29" fillId="0" borderId="10" xfId="175" applyFont="1" applyFill="1" applyBorder="1" applyAlignment="1" applyProtection="1"/>
    <xf numFmtId="43" fontId="29" fillId="25" borderId="47" xfId="175" applyFont="1" applyFill="1" applyBorder="1" applyAlignment="1" applyProtection="1">
      <protection locked="0"/>
    </xf>
    <xf numFmtId="43" fontId="39" fillId="0" borderId="0" xfId="174" applyFont="1" applyFill="1" applyBorder="1" applyAlignment="1" applyProtection="1">
      <alignment vertical="center"/>
      <protection locked="0"/>
    </xf>
    <xf numFmtId="43" fontId="1" fillId="0" borderId="0" xfId="174" applyFill="1" applyBorder="1" applyAlignment="1" applyProtection="1">
      <alignment vertical="center"/>
      <protection locked="0"/>
    </xf>
    <xf numFmtId="43" fontId="1" fillId="0" borderId="0" xfId="174" applyFill="1" applyBorder="1" applyAlignment="1" applyProtection="1">
      <alignment vertical="center"/>
    </xf>
    <xf numFmtId="43" fontId="2" fillId="0" borderId="0" xfId="174" applyFont="1" applyFill="1" applyBorder="1" applyAlignment="1" applyProtection="1">
      <alignment vertical="center"/>
    </xf>
    <xf numFmtId="43" fontId="22" fillId="25" borderId="68" xfId="174" applyFont="1" applyFill="1" applyBorder="1" applyAlignment="1" applyProtection="1">
      <alignment vertical="center"/>
    </xf>
    <xf numFmtId="43" fontId="22" fillId="0" borderId="12" xfId="174" applyFont="1" applyFill="1" applyBorder="1" applyAlignment="1" applyProtection="1">
      <alignment vertical="center"/>
    </xf>
    <xf numFmtId="43" fontId="53" fillId="0" borderId="12" xfId="174" applyFont="1" applyFill="1" applyBorder="1" applyAlignment="1" applyProtection="1">
      <alignment horizontal="left" vertical="center"/>
    </xf>
    <xf numFmtId="43" fontId="2" fillId="0" borderId="12" xfId="174" applyFont="1" applyFill="1" applyBorder="1" applyAlignment="1" applyProtection="1">
      <alignment vertical="center"/>
    </xf>
    <xf numFmtId="43" fontId="67" fillId="0" borderId="12" xfId="174" applyFont="1" applyFill="1" applyBorder="1" applyAlignment="1" applyProtection="1">
      <alignment horizontal="left" vertical="center"/>
    </xf>
    <xf numFmtId="43" fontId="1" fillId="0" borderId="12" xfId="174" applyFill="1" applyBorder="1" applyAlignment="1" applyProtection="1">
      <alignment vertical="center"/>
    </xf>
    <xf numFmtId="43" fontId="32" fillId="0" borderId="12" xfId="174" applyFont="1" applyBorder="1" applyAlignment="1" applyProtection="1"/>
    <xf numFmtId="15" fontId="0" fillId="0" borderId="10" xfId="176" applyNumberFormat="1" applyFont="1" applyFill="1" applyBorder="1" applyAlignment="1" applyProtection="1">
      <alignment horizontal="center"/>
      <protection locked="0"/>
    </xf>
    <xf numFmtId="14" fontId="0" fillId="0" borderId="10" xfId="176" applyNumberFormat="1" applyFont="1" applyFill="1" applyBorder="1" applyAlignment="1" applyProtection="1">
      <alignment horizontal="center"/>
      <protection locked="0"/>
    </xf>
    <xf numFmtId="43" fontId="73" fillId="0" borderId="0" xfId="172" applyFont="1" applyAlignment="1">
      <alignment vertical="center"/>
    </xf>
    <xf numFmtId="43" fontId="1" fillId="0" borderId="0" xfId="177"/>
    <xf numFmtId="43" fontId="35" fillId="0" borderId="0" xfId="177" applyFont="1"/>
    <xf numFmtId="43" fontId="1" fillId="0" borderId="0" xfId="178" applyAlignment="1">
      <alignment horizontal="center"/>
    </xf>
    <xf numFmtId="43" fontId="1" fillId="0" borderId="0" xfId="177" applyAlignment="1">
      <alignment horizontal="left"/>
    </xf>
    <xf numFmtId="43" fontId="46" fillId="0" borderId="0" xfId="177" applyFont="1"/>
    <xf numFmtId="43" fontId="16" fillId="0" borderId="0" xfId="177" applyFont="1"/>
    <xf numFmtId="43" fontId="2" fillId="0" borderId="27" xfId="176" applyFont="1" applyBorder="1" applyAlignment="1" applyProtection="1">
      <alignment horizontal="right" vertical="center"/>
    </xf>
    <xf numFmtId="43" fontId="16" fillId="0" borderId="0" xfId="179" applyFont="1"/>
    <xf numFmtId="0" fontId="19" fillId="0" borderId="0" xfId="179" applyNumberFormat="1" applyFont="1"/>
    <xf numFmtId="43" fontId="46" fillId="0" borderId="0" xfId="179" applyFont="1"/>
    <xf numFmtId="43" fontId="2" fillId="0" borderId="27" xfId="176" applyFont="1" applyBorder="1" applyAlignment="1" applyProtection="1">
      <alignment horizontal="right" vertical="center" wrapText="1"/>
    </xf>
    <xf numFmtId="43" fontId="2" fillId="0" borderId="27" xfId="176" applyFont="1" applyBorder="1" applyAlignment="1" applyProtection="1">
      <alignment horizontal="right" wrapText="1"/>
    </xf>
    <xf numFmtId="15" fontId="25" fillId="24" borderId="27" xfId="176" applyNumberFormat="1" applyFont="1" applyFill="1" applyBorder="1" applyAlignment="1" applyProtection="1">
      <alignment horizontal="center"/>
    </xf>
    <xf numFmtId="43" fontId="21" fillId="0" borderId="27" xfId="176" applyFont="1" applyFill="1" applyBorder="1" applyAlignment="1" applyProtection="1">
      <alignment horizontal="right"/>
    </xf>
    <xf numFmtId="43" fontId="25" fillId="24" borderId="27" xfId="176" applyFont="1" applyFill="1" applyBorder="1" applyAlignment="1" applyProtection="1">
      <alignment horizontal="center"/>
    </xf>
    <xf numFmtId="43" fontId="2" fillId="0" borderId="27" xfId="176" applyFont="1" applyBorder="1" applyAlignment="1" applyProtection="1">
      <alignment horizontal="right"/>
    </xf>
    <xf numFmtId="3" fontId="25" fillId="24" borderId="27" xfId="176" applyNumberFormat="1" applyFont="1" applyFill="1" applyBorder="1" applyAlignment="1" applyProtection="1">
      <alignment horizontal="center" wrapText="1"/>
    </xf>
    <xf numFmtId="43" fontId="21" fillId="0" borderId="27" xfId="176" applyFont="1" applyBorder="1" applyAlignment="1" applyProtection="1">
      <alignment horizontal="right"/>
    </xf>
    <xf numFmtId="172" fontId="25" fillId="24" borderId="27" xfId="176" applyNumberFormat="1" applyFont="1" applyFill="1" applyBorder="1" applyAlignment="1" applyProtection="1">
      <alignment horizontal="center" wrapText="1"/>
    </xf>
    <xf numFmtId="43" fontId="1" fillId="0" borderId="0" xfId="179"/>
    <xf numFmtId="43" fontId="29" fillId="0" borderId="27" xfId="176" applyFont="1" applyBorder="1" applyAlignment="1" applyProtection="1">
      <alignment horizontal="center"/>
    </xf>
    <xf numFmtId="15" fontId="25" fillId="24" borderId="27" xfId="176" applyNumberFormat="1" applyFont="1" applyFill="1" applyBorder="1" applyAlignment="1" applyProtection="1">
      <alignment horizontal="center" vertical="center"/>
    </xf>
    <xf numFmtId="43" fontId="25" fillId="24" borderId="27" xfId="176" applyFont="1" applyFill="1" applyBorder="1" applyAlignment="1" applyProtection="1">
      <alignment horizontal="center" vertical="center"/>
    </xf>
    <xf numFmtId="14" fontId="25" fillId="24" borderId="27" xfId="176" applyNumberFormat="1" applyFont="1" applyFill="1" applyBorder="1" applyAlignment="1" applyProtection="1">
      <alignment horizontal="center" vertical="center" wrapText="1"/>
    </xf>
    <xf numFmtId="43" fontId="20" fillId="0" borderId="0" xfId="180" applyFont="1" applyAlignment="1">
      <alignment horizontal="center"/>
    </xf>
    <xf numFmtId="43" fontId="20" fillId="0" borderId="0" xfId="180" applyFont="1" applyAlignment="1">
      <alignment horizontal="right"/>
    </xf>
    <xf numFmtId="43" fontId="20" fillId="0" borderId="0" xfId="180" applyFont="1"/>
    <xf numFmtId="43" fontId="21" fillId="0" borderId="0" xfId="180" applyFont="1" applyAlignment="1">
      <alignment horizontal="right" vertical="center"/>
    </xf>
    <xf numFmtId="43" fontId="23" fillId="0" borderId="0" xfId="172" applyFont="1" applyAlignment="1">
      <alignment vertical="center"/>
    </xf>
    <xf numFmtId="168" fontId="29" fillId="0" borderId="0" xfId="175" applyNumberFormat="1" applyFont="1" applyBorder="1" applyAlignment="1" applyProtection="1">
      <alignment horizontal="left"/>
    </xf>
    <xf numFmtId="168" fontId="29" fillId="0" borderId="0" xfId="175" applyNumberFormat="1" applyFont="1" applyAlignment="1" applyProtection="1">
      <alignment horizontal="left"/>
    </xf>
    <xf numFmtId="9" fontId="142" fillId="0" borderId="29" xfId="173" applyFont="1" applyBorder="1" applyAlignment="1" applyProtection="1">
      <alignment horizontal="center" vertical="center" wrapText="1"/>
      <protection locked="0"/>
    </xf>
    <xf numFmtId="9" fontId="16" fillId="20" borderId="11" xfId="173" applyFont="1" applyFill="1" applyBorder="1"/>
    <xf numFmtId="9" fontId="85" fillId="0" borderId="29" xfId="173" applyFont="1" applyFill="1" applyBorder="1" applyAlignment="1" applyProtection="1">
      <alignment horizontal="center" vertical="center" wrapText="1"/>
      <protection locked="0"/>
    </xf>
    <xf numFmtId="9" fontId="16" fillId="20" borderId="11" xfId="173" applyFont="1" applyFill="1" applyBorder="1" applyAlignment="1">
      <alignment horizontal="center"/>
    </xf>
    <xf numFmtId="3" fontId="16" fillId="20" borderId="11" xfId="175" applyNumberFormat="1" applyFont="1" applyFill="1" applyBorder="1"/>
    <xf numFmtId="9" fontId="88" fillId="26" borderId="10" xfId="173" applyFont="1" applyFill="1" applyBorder="1" applyAlignment="1" applyProtection="1">
      <alignment horizontal="center" vertical="center" wrapText="1"/>
    </xf>
    <xf numFmtId="9" fontId="22" fillId="34" borderId="29" xfId="173" applyFont="1" applyFill="1" applyBorder="1" applyAlignment="1" applyProtection="1">
      <alignment horizontal="left" vertical="top" wrapText="1"/>
      <protection locked="0"/>
    </xf>
    <xf numFmtId="9" fontId="16" fillId="20" borderId="0" xfId="173" applyFont="1" applyFill="1" applyBorder="1"/>
    <xf numFmtId="9" fontId="99" fillId="26" borderId="10" xfId="173" applyFont="1" applyFill="1" applyBorder="1" applyAlignment="1" applyProtection="1">
      <alignment horizontal="center" vertical="center" wrapText="1"/>
    </xf>
    <xf numFmtId="2" fontId="1" fillId="0" borderId="0" xfId="176" applyNumberFormat="1" applyFill="1" applyBorder="1" applyAlignment="1" applyProtection="1">
      <alignment horizontal="center"/>
      <protection locked="0"/>
    </xf>
    <xf numFmtId="168" fontId="29" fillId="0" borderId="0" xfId="175" applyNumberFormat="1" applyFont="1" applyAlignment="1">
      <alignment horizontal="left"/>
    </xf>
    <xf numFmtId="0" fontId="26" fillId="0" borderId="153" xfId="0" applyFont="1" applyBorder="1" applyAlignment="1">
      <alignment horizontal="center" vertical="center" wrapText="1"/>
    </xf>
    <xf numFmtId="43" fontId="147" fillId="54" borderId="154" xfId="0" applyNumberFormat="1" applyFont="1" applyFill="1" applyBorder="1"/>
    <xf numFmtId="43" fontId="147" fillId="54" borderId="155" xfId="0" applyNumberFormat="1" applyFont="1" applyFill="1" applyBorder="1"/>
    <xf numFmtId="3" fontId="0" fillId="25" borderId="156" xfId="60" applyNumberFormat="1" applyFont="1" applyFill="1" applyBorder="1" applyProtection="1">
      <protection locked="0"/>
    </xf>
    <xf numFmtId="4" fontId="0" fillId="0" borderId="157" xfId="0" applyNumberFormat="1" applyBorder="1"/>
    <xf numFmtId="43" fontId="34" fillId="0" borderId="0" xfId="0" applyNumberFormat="1" applyFont="1" applyAlignment="1">
      <alignment horizontal="center"/>
    </xf>
    <xf numFmtId="0" fontId="0" fillId="0" borderId="0" xfId="0"/>
    <xf numFmtId="0" fontId="80" fillId="0" borderId="0" xfId="0" applyFont="1" applyAlignment="1">
      <alignment horizontal="center"/>
    </xf>
    <xf numFmtId="0" fontId="81" fillId="0" borderId="0" xfId="0" applyFont="1" applyAlignment="1">
      <alignment horizontal="center"/>
    </xf>
    <xf numFmtId="43" fontId="83" fillId="29" borderId="0" xfId="47" applyFont="1" applyFill="1" applyAlignment="1">
      <alignment horizontal="center" vertical="center"/>
    </xf>
    <xf numFmtId="49" fontId="97" fillId="37" borderId="107" xfId="0" applyNumberFormat="1" applyFont="1" applyFill="1" applyBorder="1" applyAlignment="1" applyProtection="1">
      <alignment horizontal="left" vertical="center" wrapText="1"/>
      <protection locked="0"/>
    </xf>
    <xf numFmtId="49" fontId="97" fillId="37" borderId="108" xfId="0" applyNumberFormat="1" applyFont="1" applyFill="1" applyBorder="1" applyAlignment="1" applyProtection="1">
      <alignment horizontal="left" vertical="center" wrapText="1"/>
      <protection locked="0"/>
    </xf>
    <xf numFmtId="0" fontId="97" fillId="21" borderId="79" xfId="0" applyFont="1" applyFill="1" applyBorder="1" applyAlignment="1" applyProtection="1">
      <alignment horizontal="center" vertical="center" wrapText="1"/>
      <protection locked="0"/>
    </xf>
    <xf numFmtId="0" fontId="97" fillId="21" borderId="83" xfId="0" applyFont="1" applyFill="1" applyBorder="1" applyAlignment="1" applyProtection="1">
      <alignment horizontal="center" vertical="center" wrapText="1"/>
      <protection locked="0"/>
    </xf>
    <xf numFmtId="0" fontId="97" fillId="27" borderId="79" xfId="0" applyFont="1" applyFill="1" applyBorder="1" applyAlignment="1" applyProtection="1">
      <alignment horizontal="center" vertical="center" wrapText="1"/>
      <protection locked="0"/>
    </xf>
    <xf numFmtId="49" fontId="97" fillId="27" borderId="31" xfId="0" applyNumberFormat="1" applyFont="1" applyFill="1" applyBorder="1" applyAlignment="1" applyProtection="1">
      <alignment horizontal="center" vertical="center" wrapText="1"/>
      <protection locked="0"/>
    </xf>
    <xf numFmtId="49" fontId="97" fillId="37" borderId="107" xfId="0" applyNumberFormat="1" applyFont="1" applyFill="1" applyBorder="1" applyAlignment="1" applyProtection="1">
      <alignment horizontal="center" vertical="center" wrapText="1"/>
      <protection locked="0"/>
    </xf>
    <xf numFmtId="49" fontId="97" fillId="37" borderId="108" xfId="0" applyNumberFormat="1" applyFont="1" applyFill="1" applyBorder="1" applyAlignment="1" applyProtection="1">
      <alignment horizontal="center" vertical="center" wrapText="1"/>
      <protection locked="0"/>
    </xf>
    <xf numFmtId="9" fontId="34" fillId="0" borderId="76" xfId="59" applyFont="1" applyFill="1" applyBorder="1" applyAlignment="1" applyProtection="1">
      <alignment horizontal="center" vertical="center"/>
    </xf>
    <xf numFmtId="9" fontId="34" fillId="0" borderId="77" xfId="59" applyFont="1" applyFill="1" applyBorder="1" applyAlignment="1" applyProtection="1">
      <alignment horizontal="center" vertical="center"/>
    </xf>
    <xf numFmtId="9" fontId="34" fillId="0" borderId="78" xfId="59" applyFont="1" applyFill="1" applyBorder="1" applyAlignment="1" applyProtection="1">
      <alignment horizontal="center" vertical="center"/>
    </xf>
    <xf numFmtId="0" fontId="89" fillId="0" borderId="127" xfId="0" applyFont="1" applyBorder="1" applyAlignment="1">
      <alignment horizontal="center" vertical="center" wrapText="1"/>
    </xf>
    <xf numFmtId="0" fontId="89" fillId="0" borderId="128" xfId="0" applyFont="1" applyBorder="1" applyAlignment="1">
      <alignment horizontal="center" vertical="center" wrapText="1"/>
    </xf>
    <xf numFmtId="49" fontId="97" fillId="21" borderId="31" xfId="0" applyNumberFormat="1" applyFont="1" applyFill="1" applyBorder="1" applyAlignment="1" applyProtection="1">
      <alignment horizontal="center" vertical="center" wrapText="1"/>
      <protection locked="0"/>
    </xf>
    <xf numFmtId="0" fontId="101" fillId="40" borderId="123" xfId="0" applyFont="1" applyFill="1" applyBorder="1" applyAlignment="1" applyProtection="1">
      <alignment horizontal="center" vertical="center"/>
      <protection locked="0"/>
    </xf>
    <xf numFmtId="0" fontId="101" fillId="40" borderId="41" xfId="0" applyFont="1" applyFill="1" applyBorder="1" applyAlignment="1" applyProtection="1">
      <alignment horizontal="center" vertical="center"/>
      <protection locked="0"/>
    </xf>
    <xf numFmtId="0" fontId="101" fillId="40" borderId="73" xfId="0" applyFont="1" applyFill="1" applyBorder="1" applyAlignment="1">
      <alignment horizontal="center" vertical="center"/>
    </xf>
    <xf numFmtId="0" fontId="101" fillId="40" borderId="92" xfId="0" applyFont="1" applyFill="1" applyBorder="1" applyAlignment="1">
      <alignment horizontal="center" vertical="center"/>
    </xf>
    <xf numFmtId="0" fontId="135" fillId="7" borderId="66" xfId="168" applyNumberFormat="1" applyBorder="1" applyAlignment="1">
      <alignment horizontal="center"/>
    </xf>
    <xf numFmtId="49" fontId="15" fillId="0" borderId="113" xfId="0" applyNumberFormat="1" applyFont="1" applyBorder="1" applyAlignment="1">
      <alignment horizontal="center"/>
    </xf>
    <xf numFmtId="49" fontId="15" fillId="0" borderId="31" xfId="0" applyNumberFormat="1" applyFont="1" applyBorder="1" applyAlignment="1">
      <alignment horizontal="center"/>
    </xf>
    <xf numFmtId="49" fontId="15" fillId="0" borderId="111" xfId="0" applyNumberFormat="1" applyFont="1" applyBorder="1" applyAlignment="1">
      <alignment horizontal="center"/>
    </xf>
    <xf numFmtId="49" fontId="15" fillId="0" borderId="112" xfId="0" applyNumberFormat="1" applyFont="1" applyBorder="1" applyAlignment="1">
      <alignment horizontal="center"/>
    </xf>
    <xf numFmtId="49" fontId="3" fillId="21" borderId="109" xfId="0" applyNumberFormat="1" applyFont="1" applyFill="1" applyBorder="1" applyAlignment="1" applyProtection="1">
      <alignment horizontal="center" vertical="center" wrapText="1"/>
      <protection locked="0"/>
    </xf>
    <xf numFmtId="49" fontId="3" fillId="21" borderId="91" xfId="0" applyNumberFormat="1" applyFont="1" applyFill="1" applyBorder="1" applyAlignment="1" applyProtection="1">
      <alignment horizontal="center" vertical="center" wrapText="1"/>
      <protection locked="0"/>
    </xf>
    <xf numFmtId="0" fontId="97" fillId="0" borderId="79" xfId="0" applyFont="1" applyBorder="1" applyAlignment="1">
      <alignment horizontal="center" vertical="center" wrapText="1"/>
    </xf>
    <xf numFmtId="0" fontId="97" fillId="23" borderId="79" xfId="0" applyFont="1" applyFill="1" applyBorder="1" applyAlignment="1">
      <alignment horizontal="center" vertical="center" wrapText="1"/>
    </xf>
    <xf numFmtId="0" fontId="97" fillId="23" borderId="31" xfId="0" applyFont="1" applyFill="1" applyBorder="1" applyAlignment="1">
      <alignment horizontal="center" vertical="center" wrapText="1"/>
    </xf>
    <xf numFmtId="0" fontId="97" fillId="0" borderId="84" xfId="0" applyFont="1" applyBorder="1" applyAlignment="1">
      <alignment horizontal="center" vertical="center" wrapText="1"/>
    </xf>
    <xf numFmtId="0" fontId="97" fillId="0" borderId="31" xfId="0" applyFont="1" applyBorder="1" applyAlignment="1">
      <alignment horizontal="center" vertical="center" wrapText="1"/>
    </xf>
    <xf numFmtId="0" fontId="97" fillId="0" borderId="85" xfId="0" applyFont="1" applyBorder="1" applyAlignment="1">
      <alignment horizontal="center" vertical="center" wrapText="1"/>
    </xf>
    <xf numFmtId="0" fontId="3" fillId="0" borderId="129" xfId="0" applyFont="1" applyBorder="1" applyAlignment="1">
      <alignment horizontal="center" vertical="center" wrapText="1"/>
    </xf>
    <xf numFmtId="0" fontId="3" fillId="0" borderId="131" xfId="0" applyFont="1" applyBorder="1" applyAlignment="1">
      <alignment horizontal="center" vertical="center" wrapText="1"/>
    </xf>
    <xf numFmtId="0" fontId="3" fillId="0" borderId="109" xfId="0" applyFont="1" applyBorder="1" applyAlignment="1">
      <alignment horizontal="center" vertical="center" wrapText="1"/>
    </xf>
    <xf numFmtId="0" fontId="3" fillId="0" borderId="116" xfId="0" applyFont="1" applyBorder="1" applyAlignment="1">
      <alignment horizontal="center" vertical="center" wrapText="1"/>
    </xf>
    <xf numFmtId="0" fontId="3" fillId="23" borderId="109" xfId="0" applyFont="1" applyFill="1" applyBorder="1" applyAlignment="1">
      <alignment horizontal="center" vertical="center" wrapText="1"/>
    </xf>
    <xf numFmtId="0" fontId="3" fillId="23" borderId="91" xfId="0" applyFont="1" applyFill="1" applyBorder="1" applyAlignment="1">
      <alignment horizontal="center" vertical="center" wrapText="1"/>
    </xf>
    <xf numFmtId="0" fontId="3" fillId="0" borderId="130" xfId="0" applyFont="1" applyBorder="1" applyAlignment="1">
      <alignment horizontal="center" vertical="center" wrapText="1"/>
    </xf>
    <xf numFmtId="0" fontId="3" fillId="0" borderId="91" xfId="0" applyFont="1" applyBorder="1" applyAlignment="1">
      <alignment horizontal="center" vertical="center" wrapText="1"/>
    </xf>
    <xf numFmtId="49" fontId="3" fillId="27" borderId="109" xfId="0" applyNumberFormat="1" applyFont="1" applyFill="1" applyBorder="1" applyAlignment="1" applyProtection="1">
      <alignment horizontal="center" vertical="center" wrapText="1"/>
      <protection locked="0"/>
    </xf>
    <xf numFmtId="49" fontId="3" fillId="27" borderId="91" xfId="0" applyNumberFormat="1" applyFont="1" applyFill="1" applyBorder="1" applyAlignment="1" applyProtection="1">
      <alignment horizontal="center" vertical="center" wrapText="1"/>
      <protection locked="0"/>
    </xf>
    <xf numFmtId="0" fontId="97" fillId="27" borderId="107" xfId="0" applyFont="1" applyFill="1" applyBorder="1" applyAlignment="1" applyProtection="1">
      <alignment horizontal="center" vertical="center" wrapText="1"/>
      <protection locked="0"/>
    </xf>
    <xf numFmtId="0" fontId="97" fillId="27" borderId="108" xfId="0" applyFont="1" applyFill="1" applyBorder="1" applyAlignment="1" applyProtection="1">
      <alignment horizontal="center" vertical="center" wrapText="1"/>
      <protection locked="0"/>
    </xf>
    <xf numFmtId="0" fontId="3" fillId="23" borderId="129" xfId="0" applyFont="1" applyFill="1" applyBorder="1" applyAlignment="1">
      <alignment horizontal="center" vertical="center" wrapText="1"/>
    </xf>
    <xf numFmtId="0" fontId="3" fillId="23" borderId="130" xfId="0" applyFont="1" applyFill="1" applyBorder="1" applyAlignment="1">
      <alignment horizontal="center" vertical="center" wrapText="1"/>
    </xf>
    <xf numFmtId="49" fontId="0" fillId="0" borderId="29" xfId="0" applyNumberFormat="1" applyBorder="1" applyAlignment="1" applyProtection="1">
      <alignment horizontal="center"/>
      <protection locked="0"/>
    </xf>
    <xf numFmtId="49" fontId="0" fillId="0" borderId="31" xfId="0" applyNumberFormat="1" applyBorder="1" applyAlignment="1" applyProtection="1">
      <alignment horizontal="center"/>
      <protection locked="0"/>
    </xf>
    <xf numFmtId="43" fontId="43" fillId="29" borderId="0" xfId="38" applyFont="1" applyFill="1" applyAlignment="1">
      <alignment horizontal="center" vertical="center"/>
    </xf>
    <xf numFmtId="0" fontId="66" fillId="0" borderId="0" xfId="0" applyFont="1" applyAlignment="1">
      <alignment horizontal="right"/>
    </xf>
    <xf numFmtId="3" fontId="0" fillId="0" borderId="29" xfId="0" applyNumberFormat="1" applyBorder="1" applyAlignment="1" applyProtection="1">
      <alignment horizontal="center" vertical="top" wrapText="1"/>
      <protection locked="0"/>
    </xf>
    <xf numFmtId="3" fontId="0" fillId="0" borderId="31" xfId="0" applyNumberFormat="1" applyBorder="1" applyAlignment="1" applyProtection="1">
      <alignment horizontal="center" vertical="top" wrapText="1"/>
      <protection locked="0"/>
    </xf>
    <xf numFmtId="15" fontId="0" fillId="0" borderId="10" xfId="55" applyNumberFormat="1" applyFont="1" applyFill="1" applyBorder="1" applyAlignment="1" applyProtection="1">
      <alignment horizontal="center"/>
      <protection locked="0"/>
    </xf>
    <xf numFmtId="15" fontId="84" fillId="0" borderId="10" xfId="55" applyNumberFormat="1" applyFill="1" applyBorder="1" applyAlignment="1" applyProtection="1">
      <alignment horizontal="center"/>
      <protection locked="0"/>
    </xf>
    <xf numFmtId="0" fontId="66" fillId="0" borderId="35" xfId="0" applyFont="1" applyBorder="1" applyAlignment="1">
      <alignment horizontal="right"/>
    </xf>
    <xf numFmtId="49" fontId="92" fillId="0" borderId="10" xfId="0" applyNumberFormat="1" applyFont="1" applyBorder="1" applyAlignment="1" applyProtection="1">
      <alignment horizontal="center"/>
      <protection locked="0"/>
    </xf>
    <xf numFmtId="0" fontId="66" fillId="0" borderId="92" xfId="0" applyFont="1" applyBorder="1" applyAlignment="1">
      <alignment horizontal="right"/>
    </xf>
    <xf numFmtId="43" fontId="16" fillId="31" borderId="10" xfId="55" applyFont="1" applyFill="1" applyBorder="1" applyAlignment="1" applyProtection="1">
      <alignment horizontal="center"/>
      <protection locked="0"/>
    </xf>
    <xf numFmtId="49" fontId="0" fillId="0" borderId="30" xfId="0" applyNumberFormat="1" applyBorder="1" applyAlignment="1" applyProtection="1">
      <alignment horizontal="center"/>
      <protection locked="0"/>
    </xf>
    <xf numFmtId="0" fontId="55" fillId="0" borderId="86" xfId="0" applyFont="1" applyBorder="1" applyAlignment="1">
      <alignment horizontal="right"/>
    </xf>
    <xf numFmtId="0" fontId="15" fillId="0" borderId="86" xfId="0" applyFont="1" applyBorder="1"/>
    <xf numFmtId="0" fontId="0" fillId="0" borderId="114" xfId="0" applyBorder="1" applyAlignment="1">
      <alignment horizontal="center"/>
    </xf>
    <xf numFmtId="0" fontId="0" fillId="0" borderId="115" xfId="0" applyBorder="1" applyAlignment="1">
      <alignment horizontal="center"/>
    </xf>
    <xf numFmtId="0" fontId="27" fillId="0" borderId="80" xfId="0" applyFont="1" applyBorder="1" applyAlignment="1">
      <alignment horizontal="center" wrapText="1"/>
    </xf>
    <xf numFmtId="0" fontId="27" fillId="0" borderId="81" xfId="0" applyFont="1" applyBorder="1" applyAlignment="1">
      <alignment horizontal="center" wrapText="1"/>
    </xf>
    <xf numFmtId="0" fontId="27" fillId="0" borderId="82" xfId="0" applyFont="1" applyBorder="1" applyAlignment="1">
      <alignment horizontal="center" wrapText="1"/>
    </xf>
    <xf numFmtId="43" fontId="15" fillId="0" borderId="87" xfId="0" applyNumberFormat="1" applyFont="1" applyBorder="1" applyAlignment="1">
      <alignment horizontal="center"/>
    </xf>
    <xf numFmtId="0" fontId="15" fillId="0" borderId="88" xfId="0" applyFont="1" applyBorder="1" applyAlignment="1">
      <alignment horizontal="center"/>
    </xf>
    <xf numFmtId="0" fontId="15" fillId="0" borderId="89" xfId="0" applyFont="1" applyBorder="1" applyAlignment="1">
      <alignment horizontal="center"/>
    </xf>
    <xf numFmtId="0" fontId="0" fillId="21" borderId="29" xfId="0" applyFill="1" applyBorder="1" applyAlignment="1">
      <alignment horizontal="center"/>
    </xf>
    <xf numFmtId="0" fontId="0" fillId="21" borderId="31" xfId="0" applyFill="1" applyBorder="1" applyAlignment="1">
      <alignment horizontal="center"/>
    </xf>
    <xf numFmtId="49" fontId="0" fillId="0" borderId="10" xfId="0" applyNumberFormat="1" applyBorder="1" applyAlignment="1" applyProtection="1">
      <alignment horizontal="center"/>
      <protection locked="0"/>
    </xf>
    <xf numFmtId="49" fontId="3" fillId="39" borderId="107" xfId="0" applyNumberFormat="1" applyFont="1" applyFill="1" applyBorder="1" applyAlignment="1" applyProtection="1">
      <alignment horizontal="center" vertical="center" wrapText="1"/>
      <protection locked="0"/>
    </xf>
    <xf numFmtId="49" fontId="3" fillId="39" borderId="108" xfId="0" applyNumberFormat="1" applyFont="1" applyFill="1" applyBorder="1" applyAlignment="1" applyProtection="1">
      <alignment horizontal="center" vertical="center" wrapText="1"/>
      <protection locked="0"/>
    </xf>
    <xf numFmtId="49" fontId="3" fillId="0" borderId="69" xfId="0" applyNumberFormat="1" applyFont="1" applyBorder="1" applyAlignment="1">
      <alignment horizontal="center" vertical="center" wrapText="1"/>
    </xf>
    <xf numFmtId="49" fontId="3" fillId="0" borderId="66" xfId="0" applyNumberFormat="1" applyFont="1" applyBorder="1" applyAlignment="1">
      <alignment horizontal="center" vertical="center" wrapText="1"/>
    </xf>
    <xf numFmtId="49" fontId="3" fillId="23" borderId="69" xfId="0" applyNumberFormat="1" applyFont="1" applyFill="1" applyBorder="1" applyAlignment="1">
      <alignment horizontal="center" vertical="center" wrapText="1"/>
    </xf>
    <xf numFmtId="49" fontId="3" fillId="23" borderId="66" xfId="0" applyNumberFormat="1" applyFont="1" applyFill="1" applyBorder="1" applyAlignment="1">
      <alignment horizontal="center" vertical="center" wrapText="1"/>
    </xf>
    <xf numFmtId="0" fontId="97" fillId="0" borderId="107" xfId="0" applyFont="1" applyBorder="1" applyAlignment="1">
      <alignment horizontal="center" vertical="center" wrapText="1"/>
    </xf>
    <xf numFmtId="0" fontId="97" fillId="0" borderId="140" xfId="0" applyFont="1" applyBorder="1" applyAlignment="1">
      <alignment horizontal="center" vertical="center" wrapText="1"/>
    </xf>
    <xf numFmtId="0" fontId="97" fillId="23" borderId="141" xfId="0" applyFont="1" applyFill="1" applyBorder="1" applyAlignment="1">
      <alignment horizontal="center" vertical="center" wrapText="1"/>
    </xf>
    <xf numFmtId="0" fontId="97" fillId="23" borderId="140" xfId="0" applyFont="1" applyFill="1" applyBorder="1" applyAlignment="1">
      <alignment horizontal="center" vertical="center" wrapText="1"/>
    </xf>
    <xf numFmtId="0" fontId="97" fillId="0" borderId="141" xfId="0" applyFont="1" applyBorder="1" applyAlignment="1">
      <alignment horizontal="center" vertical="center" wrapText="1"/>
    </xf>
    <xf numFmtId="49" fontId="3" fillId="38" borderId="107" xfId="0" applyNumberFormat="1" applyFont="1" applyFill="1" applyBorder="1" applyAlignment="1" applyProtection="1">
      <alignment horizontal="center" vertical="center" wrapText="1"/>
      <protection locked="0"/>
    </xf>
    <xf numFmtId="49" fontId="3" fillId="38" borderId="108" xfId="0" applyNumberFormat="1" applyFont="1" applyFill="1" applyBorder="1" applyAlignment="1" applyProtection="1">
      <alignment horizontal="center" vertical="center" wrapText="1"/>
      <protection locked="0"/>
    </xf>
    <xf numFmtId="0" fontId="44" fillId="0" borderId="133" xfId="0" applyFont="1" applyBorder="1" applyAlignment="1" applyProtection="1">
      <alignment horizontal="left" vertical="center" wrapText="1"/>
      <protection locked="0"/>
    </xf>
    <xf numFmtId="0" fontId="44" fillId="0" borderId="134" xfId="0" applyFont="1" applyBorder="1" applyAlignment="1" applyProtection="1">
      <alignment horizontal="left" vertical="center" wrapText="1"/>
      <protection locked="0"/>
    </xf>
    <xf numFmtId="0" fontId="44" fillId="0" borderId="135" xfId="0" applyFont="1" applyBorder="1" applyAlignment="1" applyProtection="1">
      <alignment horizontal="left" vertical="center" wrapText="1"/>
      <protection locked="0"/>
    </xf>
    <xf numFmtId="0" fontId="44" fillId="0" borderId="29" xfId="0" applyFont="1" applyBorder="1" applyAlignment="1" applyProtection="1">
      <alignment horizontal="left" vertical="top" wrapText="1"/>
      <protection locked="0"/>
    </xf>
    <xf numFmtId="0" fontId="44" fillId="0" borderId="30" xfId="0" applyFont="1" applyBorder="1" applyAlignment="1" applyProtection="1">
      <alignment horizontal="left" vertical="top" wrapText="1"/>
      <protection locked="0"/>
    </xf>
    <xf numFmtId="0" fontId="44" fillId="0" borderId="31" xfId="0" applyFont="1" applyBorder="1" applyAlignment="1" applyProtection="1">
      <alignment horizontal="left" vertical="top" wrapText="1"/>
      <protection locked="0"/>
    </xf>
    <xf numFmtId="0" fontId="142" fillId="34" borderId="29" xfId="0" applyFont="1" applyFill="1" applyBorder="1" applyAlignment="1">
      <alignment horizontal="left" vertical="top" wrapText="1"/>
    </xf>
    <xf numFmtId="0" fontId="142" fillId="34" borderId="30" xfId="0" applyFont="1" applyFill="1" applyBorder="1" applyAlignment="1">
      <alignment horizontal="left" vertical="top" wrapText="1"/>
    </xf>
    <xf numFmtId="0" fontId="142" fillId="34" borderId="31" xfId="0" applyFont="1" applyFill="1" applyBorder="1" applyAlignment="1">
      <alignment horizontal="left" vertical="top" wrapText="1"/>
    </xf>
    <xf numFmtId="0" fontId="44" fillId="34" borderId="29" xfId="0" applyFont="1" applyFill="1" applyBorder="1" applyAlignment="1" applyProtection="1">
      <alignment horizontal="left" vertical="top" wrapText="1"/>
      <protection locked="0"/>
    </xf>
    <xf numFmtId="0" fontId="44" fillId="34" borderId="30" xfId="0" applyFont="1" applyFill="1" applyBorder="1" applyAlignment="1" applyProtection="1">
      <alignment horizontal="left" vertical="top" wrapText="1"/>
      <protection locked="0"/>
    </xf>
    <xf numFmtId="0" fontId="44" fillId="34" borderId="31" xfId="0" applyFont="1" applyFill="1" applyBorder="1" applyAlignment="1" applyProtection="1">
      <alignment horizontal="left" vertical="top" wrapText="1"/>
      <protection locked="0"/>
    </xf>
    <xf numFmtId="0" fontId="142" fillId="34" borderId="29" xfId="0" applyFont="1" applyFill="1" applyBorder="1" applyAlignment="1">
      <alignment vertical="top" wrapText="1"/>
    </xf>
    <xf numFmtId="0" fontId="82" fillId="34" borderId="30" xfId="0" applyFont="1" applyFill="1" applyBorder="1" applyAlignment="1">
      <alignment vertical="top" wrapText="1"/>
    </xf>
    <xf numFmtId="0" fontId="82" fillId="34" borderId="31" xfId="0" applyFont="1" applyFill="1" applyBorder="1" applyAlignment="1">
      <alignment vertical="top" wrapText="1"/>
    </xf>
    <xf numFmtId="0" fontId="44" fillId="0" borderId="29" xfId="0" applyFont="1" applyBorder="1" applyAlignment="1" applyProtection="1">
      <alignment horizontal="justify" vertical="top" wrapText="1"/>
      <protection locked="0"/>
    </xf>
    <xf numFmtId="0" fontId="44" fillId="0" borderId="30" xfId="0" applyFont="1" applyBorder="1" applyAlignment="1" applyProtection="1">
      <alignment horizontal="justify" vertical="top" wrapText="1"/>
      <protection locked="0"/>
    </xf>
    <xf numFmtId="0" fontId="44" fillId="0" borderId="31" xfId="0" applyFont="1" applyBorder="1" applyAlignment="1" applyProtection="1">
      <alignment horizontal="justify" vertical="top" wrapText="1"/>
      <protection locked="0"/>
    </xf>
    <xf numFmtId="0" fontId="142" fillId="34" borderId="30" xfId="0" applyFont="1" applyFill="1" applyBorder="1" applyAlignment="1">
      <alignment vertical="top" wrapText="1"/>
    </xf>
    <xf numFmtId="0" fontId="142" fillId="34" borderId="31" xfId="0" applyFont="1" applyFill="1" applyBorder="1" applyAlignment="1">
      <alignment vertical="top" wrapText="1"/>
    </xf>
    <xf numFmtId="0" fontId="60" fillId="0" borderId="30" xfId="0" applyFont="1" applyBorder="1" applyAlignment="1" applyProtection="1">
      <alignment horizontal="justify" vertical="top" wrapText="1"/>
      <protection locked="0"/>
    </xf>
    <xf numFmtId="0" fontId="60" fillId="0" borderId="31" xfId="0" applyFont="1" applyBorder="1" applyAlignment="1" applyProtection="1">
      <alignment horizontal="justify" vertical="top" wrapText="1"/>
      <protection locked="0"/>
    </xf>
    <xf numFmtId="0" fontId="15" fillId="21" borderId="29" xfId="0" applyFont="1" applyFill="1" applyBorder="1" applyAlignment="1">
      <alignment horizontal="center" vertical="top" wrapText="1"/>
    </xf>
    <xf numFmtId="0" fontId="15" fillId="21" borderId="30" xfId="0" applyFont="1" applyFill="1" applyBorder="1" applyAlignment="1">
      <alignment horizontal="center" vertical="top"/>
    </xf>
    <xf numFmtId="0" fontId="15" fillId="21" borderId="31" xfId="0" applyFont="1" applyFill="1" applyBorder="1" applyAlignment="1">
      <alignment horizontal="center" vertical="top"/>
    </xf>
    <xf numFmtId="0" fontId="25" fillId="21" borderId="29" xfId="0" applyFont="1" applyFill="1" applyBorder="1" applyAlignment="1">
      <alignment horizontal="center" vertical="top"/>
    </xf>
    <xf numFmtId="0" fontId="25" fillId="21" borderId="30" xfId="0" applyFont="1" applyFill="1" applyBorder="1" applyAlignment="1">
      <alignment horizontal="center" vertical="top"/>
    </xf>
    <xf numFmtId="0" fontId="25" fillId="21" borderId="31" xfId="0" applyFont="1" applyFill="1" applyBorder="1" applyAlignment="1">
      <alignment horizontal="center" vertical="top"/>
    </xf>
    <xf numFmtId="0" fontId="25" fillId="21" borderId="29" xfId="0" applyFont="1" applyFill="1" applyBorder="1" applyAlignment="1">
      <alignment horizontal="center" vertical="top" wrapText="1"/>
    </xf>
    <xf numFmtId="0" fontId="25" fillId="21" borderId="30" xfId="0" applyFont="1" applyFill="1" applyBorder="1" applyAlignment="1">
      <alignment horizontal="center" vertical="top" wrapText="1"/>
    </xf>
    <xf numFmtId="0" fontId="25" fillId="21" borderId="31" xfId="0" applyFont="1" applyFill="1" applyBorder="1" applyAlignment="1">
      <alignment horizontal="center" vertical="top" wrapText="1"/>
    </xf>
    <xf numFmtId="0" fontId="60" fillId="0" borderId="29" xfId="0" applyFont="1" applyBorder="1" applyAlignment="1" applyProtection="1">
      <alignment vertical="top" wrapText="1"/>
      <protection locked="0"/>
    </xf>
    <xf numFmtId="0" fontId="60" fillId="0" borderId="30" xfId="0" applyFont="1" applyBorder="1" applyAlignment="1" applyProtection="1">
      <alignment vertical="top" wrapText="1"/>
      <protection locked="0"/>
    </xf>
    <xf numFmtId="0" fontId="60" fillId="0" borderId="31" xfId="0" applyFont="1" applyBorder="1" applyAlignment="1" applyProtection="1">
      <alignment vertical="top" wrapText="1"/>
      <protection locked="0"/>
    </xf>
    <xf numFmtId="0" fontId="60" fillId="0" borderId="29" xfId="0" applyFont="1" applyBorder="1" applyAlignment="1" applyProtection="1">
      <alignment horizontal="left" vertical="top" wrapText="1"/>
      <protection locked="0"/>
    </xf>
    <xf numFmtId="0" fontId="60" fillId="0" borderId="30" xfId="0" applyFont="1" applyBorder="1" applyAlignment="1" applyProtection="1">
      <alignment horizontal="left" vertical="top" wrapText="1"/>
      <protection locked="0"/>
    </xf>
    <xf numFmtId="0" fontId="60" fillId="0" borderId="31" xfId="0" applyFont="1" applyBorder="1" applyAlignment="1" applyProtection="1">
      <alignment horizontal="left" vertical="top" wrapText="1"/>
      <protection locked="0"/>
    </xf>
    <xf numFmtId="0" fontId="141" fillId="0" borderId="29" xfId="0" applyFont="1" applyBorder="1" applyAlignment="1" applyProtection="1">
      <alignment horizontal="center" vertical="top" wrapText="1"/>
      <protection locked="0"/>
    </xf>
    <xf numFmtId="0" fontId="141" fillId="0" borderId="30" xfId="0" applyFont="1" applyBorder="1" applyAlignment="1" applyProtection="1">
      <alignment horizontal="center" vertical="top" wrapText="1"/>
      <protection locked="0"/>
    </xf>
    <xf numFmtId="0" fontId="141" fillId="0" borderId="31" xfId="0" applyFont="1" applyBorder="1" applyAlignment="1" applyProtection="1">
      <alignment horizontal="center" vertical="top" wrapText="1"/>
      <protection locked="0"/>
    </xf>
    <xf numFmtId="0" fontId="0" fillId="0" borderId="0" xfId="0" applyAlignment="1">
      <alignment horizontal="center" vertical="top"/>
    </xf>
    <xf numFmtId="0" fontId="0" fillId="0" borderId="118" xfId="0" applyBorder="1" applyAlignment="1">
      <alignment horizontal="center" vertical="top"/>
    </xf>
    <xf numFmtId="0" fontId="44" fillId="0" borderId="29" xfId="0" applyFont="1" applyBorder="1" applyAlignment="1">
      <alignment vertical="top" wrapText="1"/>
    </xf>
    <xf numFmtId="0" fontId="44" fillId="0" borderId="30" xfId="0" applyFont="1" applyBorder="1" applyAlignment="1">
      <alignment vertical="top" wrapText="1"/>
    </xf>
    <xf numFmtId="0" fontId="44" fillId="0" borderId="31" xfId="0" applyFont="1" applyBorder="1" applyAlignment="1">
      <alignment vertical="top" wrapText="1"/>
    </xf>
    <xf numFmtId="0" fontId="0" fillId="0" borderId="0" xfId="0" applyAlignment="1">
      <alignment horizontal="center" vertical="top" wrapText="1"/>
    </xf>
    <xf numFmtId="0" fontId="44" fillId="0" borderId="72" xfId="0" applyFont="1" applyBorder="1" applyAlignment="1">
      <alignment horizontal="left" vertical="top" wrapText="1"/>
    </xf>
    <xf numFmtId="0" fontId="44" fillId="0" borderId="118" xfId="0" applyFont="1" applyBorder="1" applyAlignment="1">
      <alignment horizontal="left" vertical="top" wrapText="1"/>
    </xf>
    <xf numFmtId="0" fontId="44" fillId="0" borderId="73" xfId="0" applyFont="1" applyBorder="1" applyAlignment="1">
      <alignment horizontal="left" vertical="top" wrapText="1"/>
    </xf>
    <xf numFmtId="0" fontId="44" fillId="0" borderId="67" xfId="0" applyFont="1" applyBorder="1" applyAlignment="1">
      <alignment horizontal="left" vertical="top" wrapText="1"/>
    </xf>
    <xf numFmtId="0" fontId="44" fillId="0" borderId="74" xfId="0" applyFont="1" applyBorder="1" applyAlignment="1">
      <alignment horizontal="left" vertical="top" wrapText="1"/>
    </xf>
    <xf numFmtId="0" fontId="44" fillId="0" borderId="75" xfId="0" applyFont="1" applyBorder="1" applyAlignment="1">
      <alignment horizontal="left" vertical="top" wrapText="1"/>
    </xf>
    <xf numFmtId="43" fontId="59" fillId="0" borderId="29" xfId="0" applyNumberFormat="1" applyFont="1" applyBorder="1" applyAlignment="1">
      <alignment horizontal="left" vertical="top" wrapText="1"/>
    </xf>
    <xf numFmtId="0" fontId="59" fillId="0" borderId="30" xfId="0" applyFont="1" applyBorder="1" applyAlignment="1">
      <alignment horizontal="left" vertical="top" wrapText="1"/>
    </xf>
    <xf numFmtId="0" fontId="59" fillId="0" borderId="31" xfId="0" applyFont="1" applyBorder="1" applyAlignment="1">
      <alignment horizontal="left" vertical="top" wrapText="1"/>
    </xf>
    <xf numFmtId="0" fontId="44" fillId="0" borderId="29" xfId="0" applyFont="1" applyBorder="1" applyAlignment="1">
      <alignment horizontal="left" vertical="top" wrapText="1"/>
    </xf>
    <xf numFmtId="0" fontId="44" fillId="0" borderId="30" xfId="0" applyFont="1" applyBorder="1" applyAlignment="1">
      <alignment horizontal="left" vertical="top" wrapText="1"/>
    </xf>
    <xf numFmtId="0" fontId="44" fillId="0" borderId="31" xfId="0" applyFont="1" applyBorder="1" applyAlignment="1">
      <alignment horizontal="left" vertical="top" wrapText="1"/>
    </xf>
    <xf numFmtId="0" fontId="141" fillId="0" borderId="29" xfId="0" applyFont="1" applyBorder="1" applyAlignment="1">
      <alignment horizontal="left" vertical="top" wrapText="1"/>
    </xf>
    <xf numFmtId="0" fontId="60" fillId="0" borderId="30" xfId="0" applyFont="1" applyBorder="1" applyAlignment="1">
      <alignment horizontal="left" vertical="top" wrapText="1"/>
    </xf>
    <xf numFmtId="0" fontId="60" fillId="0" borderId="31" xfId="0" applyFont="1" applyBorder="1" applyAlignment="1">
      <alignment horizontal="left" vertical="top" wrapText="1"/>
    </xf>
    <xf numFmtId="0" fontId="77" fillId="0" borderId="29" xfId="0" applyFont="1" applyBorder="1" applyAlignment="1">
      <alignment horizontal="justify" vertical="top" wrapText="1"/>
    </xf>
    <xf numFmtId="0" fontId="77" fillId="0" borderId="30" xfId="0" applyFont="1" applyBorder="1" applyAlignment="1">
      <alignment horizontal="justify" vertical="top" wrapText="1"/>
    </xf>
    <xf numFmtId="0" fontId="77" fillId="0" borderId="31" xfId="0" applyFont="1" applyBorder="1" applyAlignment="1">
      <alignment horizontal="justify" vertical="top" wrapText="1"/>
    </xf>
    <xf numFmtId="0" fontId="77" fillId="0" borderId="29" xfId="0" applyFont="1" applyBorder="1" applyAlignment="1">
      <alignment horizontal="left" vertical="top" wrapText="1"/>
    </xf>
    <xf numFmtId="0" fontId="76" fillId="0" borderId="30" xfId="0" applyFont="1" applyBorder="1" applyAlignment="1">
      <alignment horizontal="left" vertical="top" wrapText="1"/>
    </xf>
    <xf numFmtId="0" fontId="76" fillId="0" borderId="31" xfId="0" applyFont="1" applyBorder="1" applyAlignment="1">
      <alignment horizontal="left" vertical="top" wrapText="1"/>
    </xf>
    <xf numFmtId="0" fontId="58" fillId="24" borderId="29" xfId="0" applyFont="1" applyFill="1" applyBorder="1" applyAlignment="1">
      <alignment horizontal="center" vertical="top"/>
    </xf>
    <xf numFmtId="0" fontId="58" fillId="24" borderId="30" xfId="0" applyFont="1" applyFill="1" applyBorder="1" applyAlignment="1">
      <alignment horizontal="center" vertical="top"/>
    </xf>
    <xf numFmtId="0" fontId="58" fillId="24" borderId="31" xfId="0" applyFont="1" applyFill="1" applyBorder="1" applyAlignment="1">
      <alignment horizontal="center" vertical="top"/>
    </xf>
    <xf numFmtId="0" fontId="153" fillId="0" borderId="29" xfId="0" applyFont="1" applyBorder="1" applyAlignment="1">
      <alignment horizontal="left" vertical="top" wrapText="1"/>
    </xf>
    <xf numFmtId="0" fontId="0" fillId="0" borderId="30" xfId="0" applyBorder="1" applyAlignment="1">
      <alignment horizontal="left" vertical="top"/>
    </xf>
    <xf numFmtId="0" fontId="0" fillId="0" borderId="31" xfId="0" applyBorder="1" applyAlignment="1">
      <alignment horizontal="left" vertical="top"/>
    </xf>
    <xf numFmtId="43" fontId="18" fillId="29" borderId="0" xfId="46" applyFont="1" applyFill="1" applyAlignment="1">
      <alignment horizontal="center" vertical="center"/>
    </xf>
    <xf numFmtId="0" fontId="57" fillId="0" borderId="0" xfId="0" applyFont="1" applyAlignment="1">
      <alignment horizontal="center"/>
    </xf>
    <xf numFmtId="0" fontId="58" fillId="25" borderId="29" xfId="0" applyFont="1" applyFill="1" applyBorder="1" applyAlignment="1">
      <alignment horizontal="center"/>
    </xf>
    <xf numFmtId="0" fontId="58" fillId="25" borderId="30" xfId="0" applyFont="1" applyFill="1" applyBorder="1" applyAlignment="1">
      <alignment horizontal="center"/>
    </xf>
    <xf numFmtId="0" fontId="58" fillId="25" borderId="31" xfId="0" applyFont="1" applyFill="1" applyBorder="1" applyAlignment="1">
      <alignment horizontal="center"/>
    </xf>
    <xf numFmtId="9" fontId="153" fillId="0" borderId="29" xfId="59" applyFont="1" applyBorder="1" applyAlignment="1">
      <alignment horizontal="left" vertical="top" wrapText="1"/>
    </xf>
    <xf numFmtId="9" fontId="60" fillId="0" borderId="30" xfId="59" applyFont="1" applyBorder="1" applyAlignment="1">
      <alignment horizontal="left" vertical="top" wrapText="1"/>
    </xf>
    <xf numFmtId="9" fontId="60" fillId="0" borderId="31" xfId="59" applyFont="1" applyBorder="1" applyAlignment="1">
      <alignment horizontal="left" vertical="top" wrapText="1"/>
    </xf>
    <xf numFmtId="0" fontId="59" fillId="0" borderId="30" xfId="0" applyFont="1" applyBorder="1" applyAlignment="1">
      <alignment horizontal="left" vertical="top"/>
    </xf>
    <xf numFmtId="0" fontId="59" fillId="0" borderId="31" xfId="0" applyFont="1" applyBorder="1" applyAlignment="1">
      <alignment horizontal="left" vertical="top"/>
    </xf>
    <xf numFmtId="43" fontId="59" fillId="0" borderId="29" xfId="0" applyNumberFormat="1" applyFont="1" applyBorder="1" applyAlignment="1">
      <alignment vertical="top" wrapText="1"/>
    </xf>
    <xf numFmtId="0" fontId="59" fillId="0" borderId="30" xfId="0" applyFont="1" applyBorder="1" applyAlignment="1">
      <alignment vertical="top"/>
    </xf>
    <xf numFmtId="0" fontId="59" fillId="0" borderId="31" xfId="0" applyFont="1" applyBorder="1" applyAlignment="1">
      <alignment vertical="top"/>
    </xf>
    <xf numFmtId="0" fontId="141" fillId="0" borderId="29" xfId="0" applyFont="1" applyBorder="1" applyAlignment="1">
      <alignment vertical="top" wrapText="1"/>
    </xf>
    <xf numFmtId="0" fontId="59" fillId="0" borderId="30" xfId="0" applyFont="1" applyBorder="1" applyAlignment="1">
      <alignment vertical="top" wrapText="1"/>
    </xf>
    <xf numFmtId="0" fontId="59" fillId="0" borderId="31" xfId="0" applyFont="1" applyBorder="1" applyAlignment="1">
      <alignment vertical="top" wrapText="1"/>
    </xf>
    <xf numFmtId="0" fontId="44" fillId="0" borderId="72" xfId="0" applyFont="1" applyBorder="1" applyAlignment="1">
      <alignment horizontal="justify" vertical="top" wrapText="1"/>
    </xf>
    <xf numFmtId="0" fontId="44" fillId="0" borderId="118" xfId="0" applyFont="1" applyBorder="1" applyAlignment="1">
      <alignment horizontal="justify" vertical="top" wrapText="1"/>
    </xf>
    <xf numFmtId="0" fontId="44" fillId="0" borderId="73" xfId="0" applyFont="1" applyBorder="1" applyAlignment="1">
      <alignment horizontal="justify" vertical="top" wrapText="1"/>
    </xf>
    <xf numFmtId="0" fontId="15" fillId="21" borderId="29" xfId="0" applyFont="1" applyFill="1" applyBorder="1" applyAlignment="1">
      <alignment horizontal="center" vertical="center" wrapText="1"/>
    </xf>
    <xf numFmtId="0" fontId="15" fillId="21" borderId="30" xfId="0" applyFont="1" applyFill="1" applyBorder="1" applyAlignment="1">
      <alignment horizontal="center" vertical="center"/>
    </xf>
    <xf numFmtId="0" fontId="15" fillId="21" borderId="31" xfId="0" applyFont="1" applyFill="1" applyBorder="1" applyAlignment="1">
      <alignment horizontal="center" vertical="center"/>
    </xf>
    <xf numFmtId="0" fontId="25" fillId="21" borderId="29" xfId="0" applyFont="1" applyFill="1" applyBorder="1" applyAlignment="1">
      <alignment horizontal="center" vertical="center"/>
    </xf>
    <xf numFmtId="0" fontId="25" fillId="21" borderId="30" xfId="0" applyFont="1" applyFill="1" applyBorder="1" applyAlignment="1">
      <alignment horizontal="center" vertical="center"/>
    </xf>
    <xf numFmtId="0" fontId="25" fillId="21" borderId="31" xfId="0" applyFont="1" applyFill="1" applyBorder="1" applyAlignment="1">
      <alignment horizontal="center" vertical="center"/>
    </xf>
    <xf numFmtId="0" fontId="57" fillId="0" borderId="0" xfId="0" applyFont="1" applyAlignment="1">
      <alignment horizontal="center" vertical="top"/>
    </xf>
    <xf numFmtId="0" fontId="0" fillId="0" borderId="118" xfId="0" applyBorder="1" applyAlignment="1">
      <alignment horizontal="center" vertical="top" wrapText="1"/>
    </xf>
    <xf numFmtId="0" fontId="77" fillId="0" borderId="30" xfId="0" applyFont="1" applyBorder="1" applyAlignment="1">
      <alignment horizontal="left" vertical="top" wrapText="1"/>
    </xf>
    <xf numFmtId="0" fontId="77" fillId="0" borderId="31" xfId="0" applyFont="1" applyBorder="1" applyAlignment="1">
      <alignment horizontal="left" vertical="top" wrapText="1"/>
    </xf>
    <xf numFmtId="0" fontId="154" fillId="0" borderId="67" xfId="0" applyFont="1" applyBorder="1" applyAlignment="1">
      <alignment horizontal="justify" vertical="top" wrapText="1"/>
    </xf>
    <xf numFmtId="0" fontId="60" fillId="0" borderId="74" xfId="0" applyFont="1" applyBorder="1" applyAlignment="1">
      <alignment horizontal="justify" vertical="top" wrapText="1"/>
    </xf>
    <xf numFmtId="0" fontId="60" fillId="0" borderId="75" xfId="0" applyFont="1" applyBorder="1" applyAlignment="1">
      <alignment horizontal="justify" vertical="top" wrapText="1"/>
    </xf>
    <xf numFmtId="43" fontId="59" fillId="0" borderId="72" xfId="0" applyNumberFormat="1" applyFont="1" applyBorder="1" applyAlignment="1">
      <alignment vertical="top" wrapText="1"/>
    </xf>
    <xf numFmtId="0" fontId="59" fillId="0" borderId="118" xfId="0" applyFont="1" applyBorder="1" applyAlignment="1">
      <alignment vertical="top" wrapText="1"/>
    </xf>
    <xf numFmtId="0" fontId="59" fillId="0" borderId="73" xfId="0" applyFont="1" applyBorder="1" applyAlignment="1">
      <alignment vertical="top" wrapText="1"/>
    </xf>
    <xf numFmtId="0" fontId="59" fillId="0" borderId="67" xfId="0" applyFont="1" applyBorder="1" applyAlignment="1">
      <alignment vertical="top" wrapText="1"/>
    </xf>
    <xf numFmtId="0" fontId="59" fillId="0" borderId="74" xfId="0" applyFont="1" applyBorder="1" applyAlignment="1">
      <alignment vertical="top" wrapText="1"/>
    </xf>
    <xf numFmtId="0" fontId="59" fillId="0" borderId="75" xfId="0" applyFont="1" applyBorder="1" applyAlignment="1">
      <alignment vertical="top" wrapText="1"/>
    </xf>
    <xf numFmtId="0" fontId="65" fillId="0" borderId="29" xfId="0" applyFont="1" applyBorder="1" applyAlignment="1" applyProtection="1">
      <alignment vertical="top" wrapText="1"/>
      <protection locked="0"/>
    </xf>
    <xf numFmtId="0" fontId="65" fillId="0" borderId="30" xfId="0" applyFont="1" applyBorder="1" applyAlignment="1" applyProtection="1">
      <alignment vertical="top" wrapText="1"/>
      <protection locked="0"/>
    </xf>
    <xf numFmtId="0" fontId="65" fillId="0" borderId="31" xfId="0" applyFont="1" applyBorder="1" applyAlignment="1" applyProtection="1">
      <alignment vertical="top" wrapText="1"/>
      <protection locked="0"/>
    </xf>
    <xf numFmtId="0" fontId="82" fillId="34" borderId="29" xfId="0" applyFont="1" applyFill="1" applyBorder="1" applyAlignment="1">
      <alignment horizontal="left" vertical="top" wrapText="1"/>
    </xf>
    <xf numFmtId="0" fontId="82" fillId="34" borderId="30" xfId="0" applyFont="1" applyFill="1" applyBorder="1" applyAlignment="1">
      <alignment horizontal="left" vertical="top" wrapText="1"/>
    </xf>
    <xf numFmtId="0" fontId="82" fillId="34" borderId="31" xfId="0" applyFont="1" applyFill="1" applyBorder="1" applyAlignment="1">
      <alignment horizontal="left" vertical="top" wrapText="1"/>
    </xf>
    <xf numFmtId="0" fontId="141" fillId="34" borderId="29" xfId="0" applyFont="1" applyFill="1" applyBorder="1" applyAlignment="1" applyProtection="1">
      <alignment horizontal="left" vertical="top" wrapText="1"/>
      <protection locked="0"/>
    </xf>
    <xf numFmtId="0" fontId="141" fillId="34" borderId="30" xfId="0" applyFont="1" applyFill="1" applyBorder="1" applyAlignment="1" applyProtection="1">
      <alignment horizontal="left" vertical="top" wrapText="1"/>
      <protection locked="0"/>
    </xf>
    <xf numFmtId="0" fontId="141" fillId="34" borderId="31" xfId="0" applyFont="1" applyFill="1" applyBorder="1" applyAlignment="1" applyProtection="1">
      <alignment horizontal="left" vertical="top" wrapText="1"/>
      <protection locked="0"/>
    </xf>
    <xf numFmtId="0" fontId="141" fillId="0" borderId="29" xfId="0" applyFont="1" applyBorder="1" applyAlignment="1" applyProtection="1">
      <alignment horizontal="left" vertical="top" wrapText="1"/>
      <protection locked="0"/>
    </xf>
    <xf numFmtId="0" fontId="141" fillId="0" borderId="30" xfId="0" applyFont="1" applyBorder="1" applyAlignment="1" applyProtection="1">
      <alignment horizontal="left" vertical="top" wrapText="1"/>
      <protection locked="0"/>
    </xf>
    <xf numFmtId="0" fontId="141" fillId="0" borderId="31" xfId="0" applyFont="1" applyBorder="1" applyAlignment="1" applyProtection="1">
      <alignment horizontal="left" vertical="top" wrapText="1"/>
      <protection locked="0"/>
    </xf>
    <xf numFmtId="0" fontId="0" fillId="0" borderId="30" xfId="0" applyBorder="1" applyAlignment="1">
      <alignment horizontal="justify" vertical="top" wrapText="1"/>
    </xf>
    <xf numFmtId="0" fontId="0" fillId="0" borderId="31" xfId="0" applyBorder="1" applyAlignment="1">
      <alignment horizontal="justify"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82" fillId="34" borderId="10" xfId="0" applyFont="1" applyFill="1" applyBorder="1" applyAlignment="1">
      <alignment vertical="top" wrapText="1"/>
    </xf>
    <xf numFmtId="0" fontId="143" fillId="0" borderId="29" xfId="0" applyFont="1" applyBorder="1" applyAlignment="1" applyProtection="1">
      <alignment horizontal="justify" vertical="top" wrapText="1"/>
      <protection locked="0"/>
    </xf>
    <xf numFmtId="0" fontId="144" fillId="0" borderId="30" xfId="0" applyFont="1" applyBorder="1" applyAlignment="1" applyProtection="1">
      <alignment horizontal="justify" vertical="top" wrapText="1"/>
      <protection locked="0"/>
    </xf>
    <xf numFmtId="0" fontId="144" fillId="0" borderId="31" xfId="0" applyFont="1" applyBorder="1" applyAlignment="1" applyProtection="1">
      <alignment horizontal="justify" vertical="top" wrapText="1"/>
      <protection locked="0"/>
    </xf>
    <xf numFmtId="0" fontId="0" fillId="0" borderId="29" xfId="0"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0" fillId="0" borderId="30" xfId="0" applyBorder="1" applyAlignment="1">
      <alignment vertical="top" wrapText="1"/>
    </xf>
    <xf numFmtId="0" fontId="0" fillId="0" borderId="31" xfId="0" applyBorder="1" applyAlignment="1">
      <alignment vertical="top" wrapText="1"/>
    </xf>
    <xf numFmtId="0" fontId="25" fillId="0" borderId="29" xfId="0" applyFont="1" applyBorder="1" applyAlignment="1">
      <alignment horizontal="center" vertical="top" wrapText="1"/>
    </xf>
    <xf numFmtId="0" fontId="25" fillId="0" borderId="30" xfId="0" applyFont="1" applyBorder="1" applyAlignment="1">
      <alignment horizontal="center" vertical="top" wrapText="1"/>
    </xf>
    <xf numFmtId="0" fontId="25" fillId="0" borderId="31" xfId="0" applyFont="1" applyBorder="1" applyAlignment="1">
      <alignment horizontal="center" vertical="top" wrapText="1"/>
    </xf>
    <xf numFmtId="43" fontId="25" fillId="24" borderId="27" xfId="55" applyFont="1" applyFill="1" applyBorder="1" applyAlignment="1" applyProtection="1">
      <alignment horizontal="center"/>
    </xf>
    <xf numFmtId="43" fontId="2" fillId="0" borderId="27" xfId="55" applyFont="1" applyFill="1" applyBorder="1" applyAlignment="1" applyProtection="1">
      <alignment horizontal="right" vertical="top" wrapText="1"/>
    </xf>
    <xf numFmtId="0" fontId="0" fillId="0" borderId="27" xfId="0" applyBorder="1"/>
    <xf numFmtId="43" fontId="74" fillId="32" borderId="27" xfId="55" applyFont="1" applyFill="1" applyBorder="1" applyAlignment="1" applyProtection="1">
      <alignment horizontal="center" wrapText="1"/>
    </xf>
    <xf numFmtId="43" fontId="2" fillId="0" borderId="27" xfId="55" applyFont="1" applyFill="1" applyBorder="1" applyAlignment="1" applyProtection="1">
      <alignment horizontal="right" wrapText="1"/>
    </xf>
    <xf numFmtId="15" fontId="25" fillId="24" borderId="27" xfId="55" applyNumberFormat="1" applyFont="1" applyFill="1" applyBorder="1" applyAlignment="1" applyProtection="1">
      <alignment horizontal="center"/>
    </xf>
    <xf numFmtId="43" fontId="18" fillId="29" borderId="0" xfId="38" applyFont="1" applyFill="1" applyAlignment="1">
      <alignment horizontal="center" vertical="center"/>
    </xf>
    <xf numFmtId="43" fontId="34" fillId="24" borderId="0" xfId="49" applyFont="1" applyFill="1" applyAlignment="1">
      <alignment horizontal="center" vertical="center" wrapText="1"/>
    </xf>
    <xf numFmtId="173" fontId="25" fillId="24" borderId="27" xfId="55" applyNumberFormat="1" applyFont="1" applyFill="1" applyBorder="1" applyAlignment="1" applyProtection="1">
      <alignment horizontal="center" vertical="center"/>
    </xf>
    <xf numFmtId="43" fontId="2" fillId="0" borderId="27" xfId="55" applyFont="1" applyBorder="1" applyAlignment="1" applyProtection="1">
      <alignment horizontal="right"/>
    </xf>
    <xf numFmtId="43" fontId="21" fillId="0" borderId="0" xfId="49" applyFont="1" applyAlignment="1">
      <alignment horizontal="right" vertical="center"/>
    </xf>
    <xf numFmtId="43" fontId="25" fillId="24" borderId="0" xfId="49" applyFont="1" applyFill="1" applyAlignment="1">
      <alignment horizontal="center" vertical="center" wrapText="1"/>
    </xf>
    <xf numFmtId="0" fontId="31" fillId="21" borderId="29" xfId="0" applyFont="1" applyFill="1"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35" fillId="21" borderId="29" xfId="0" applyFont="1" applyFill="1" applyBorder="1" applyAlignment="1" applyProtection="1">
      <alignment horizontal="left" vertical="center" wrapText="1"/>
      <protection locked="0"/>
    </xf>
    <xf numFmtId="0" fontId="35" fillId="21" borderId="30" xfId="0" applyFont="1" applyFill="1" applyBorder="1" applyAlignment="1" applyProtection="1">
      <alignment horizontal="left" vertical="center" wrapText="1"/>
      <protection locked="0"/>
    </xf>
    <xf numFmtId="0" fontId="35" fillId="21" borderId="31" xfId="0" applyFont="1" applyFill="1" applyBorder="1" applyAlignment="1" applyProtection="1">
      <alignment horizontal="left" vertical="center" wrapText="1"/>
      <protection locked="0"/>
    </xf>
    <xf numFmtId="0" fontId="35" fillId="21" borderId="29" xfId="0" applyFont="1" applyFill="1" applyBorder="1" applyAlignment="1" applyProtection="1">
      <alignment horizontal="left" wrapText="1"/>
      <protection locked="0"/>
    </xf>
    <xf numFmtId="0" fontId="0" fillId="0" borderId="30" xfId="0" applyBorder="1" applyAlignment="1" applyProtection="1">
      <alignment horizontal="left" wrapText="1"/>
      <protection locked="0"/>
    </xf>
    <xf numFmtId="0" fontId="0" fillId="0" borderId="31" xfId="0" applyBorder="1" applyAlignment="1" applyProtection="1">
      <alignment horizontal="left" wrapText="1"/>
      <protection locked="0"/>
    </xf>
    <xf numFmtId="0" fontId="75" fillId="0" borderId="93" xfId="0" applyFont="1" applyBorder="1" applyAlignment="1">
      <alignment horizontal="left" wrapText="1"/>
    </xf>
    <xf numFmtId="0" fontId="75" fillId="0" borderId="61" xfId="0" applyFont="1" applyBorder="1" applyAlignment="1">
      <alignment horizontal="left" wrapText="1"/>
    </xf>
    <xf numFmtId="0" fontId="75" fillId="0" borderId="94" xfId="0" applyFont="1" applyBorder="1" applyAlignment="1">
      <alignment horizontal="left" wrapText="1"/>
    </xf>
    <xf numFmtId="0" fontId="75" fillId="0" borderId="95" xfId="0" applyFont="1" applyBorder="1" applyAlignment="1">
      <alignment horizontal="left" wrapText="1"/>
    </xf>
    <xf numFmtId="43" fontId="43" fillId="29" borderId="0" xfId="47" applyFont="1" applyFill="1" applyAlignment="1">
      <alignment horizontal="center" vertical="top"/>
    </xf>
    <xf numFmtId="43" fontId="15" fillId="0" borderId="0" xfId="0" applyNumberFormat="1" applyFont="1" applyAlignment="1">
      <alignment horizontal="center" wrapText="1"/>
    </xf>
    <xf numFmtId="43" fontId="29" fillId="0" borderId="0" xfId="0" applyNumberFormat="1" applyFont="1" applyAlignment="1">
      <alignment horizontal="right"/>
    </xf>
    <xf numFmtId="15" fontId="29" fillId="0" borderId="0" xfId="0" applyNumberFormat="1" applyFont="1" applyAlignment="1">
      <alignment horizontal="right"/>
    </xf>
    <xf numFmtId="43" fontId="15" fillId="0" borderId="0" xfId="0" applyNumberFormat="1" applyFont="1" applyAlignment="1">
      <alignment horizontal="center"/>
    </xf>
    <xf numFmtId="43" fontId="29" fillId="0" borderId="0" xfId="0" applyNumberFormat="1" applyFont="1" applyAlignment="1">
      <alignment horizontal="left"/>
    </xf>
    <xf numFmtId="43" fontId="16" fillId="32" borderId="0" xfId="55" applyFont="1" applyFill="1" applyBorder="1" applyAlignment="1" applyProtection="1">
      <alignment horizontal="center" wrapText="1"/>
    </xf>
    <xf numFmtId="0" fontId="72" fillId="0" borderId="0" xfId="0" applyFont="1" applyAlignment="1">
      <alignment horizontal="center"/>
    </xf>
    <xf numFmtId="43" fontId="71" fillId="0" borderId="80" xfId="0" applyNumberFormat="1" applyFont="1" applyBorder="1" applyAlignment="1">
      <alignment horizontal="center" vertical="center" wrapText="1"/>
    </xf>
    <xf numFmtId="43" fontId="71" fillId="0" borderId="81" xfId="0" applyNumberFormat="1" applyFont="1" applyBorder="1" applyAlignment="1">
      <alignment horizontal="center" vertical="center" wrapText="1"/>
    </xf>
    <xf numFmtId="43" fontId="71" fillId="0" borderId="82" xfId="0" applyNumberFormat="1" applyFont="1" applyBorder="1" applyAlignment="1">
      <alignment horizontal="center" vertical="center" wrapText="1"/>
    </xf>
    <xf numFmtId="0" fontId="0" fillId="0" borderId="96" xfId="0" applyBorder="1" applyAlignment="1">
      <alignment horizontal="center"/>
    </xf>
    <xf numFmtId="0" fontId="0" fillId="0" borderId="44" xfId="0" applyBorder="1" applyAlignment="1">
      <alignment horizontal="center"/>
    </xf>
    <xf numFmtId="43" fontId="43" fillId="29" borderId="0" xfId="47" applyFont="1" applyFill="1" applyAlignment="1">
      <alignment horizontal="center" vertical="center"/>
    </xf>
    <xf numFmtId="0" fontId="29" fillId="0" borderId="132" xfId="0" applyFont="1" applyBorder="1" applyAlignment="1">
      <alignment horizontal="left" vertical="center" wrapText="1"/>
    </xf>
    <xf numFmtId="43" fontId="16" fillId="32" borderId="0" xfId="56" applyFont="1" applyFill="1" applyBorder="1" applyAlignment="1" applyProtection="1">
      <alignment horizontal="center"/>
    </xf>
    <xf numFmtId="43" fontId="72" fillId="0" borderId="0" xfId="0" applyNumberFormat="1" applyFont="1" applyAlignment="1">
      <alignment horizontal="center"/>
    </xf>
    <xf numFmtId="0" fontId="0" fillId="0" borderId="0" xfId="0" applyAlignment="1">
      <alignment horizontal="center"/>
    </xf>
    <xf numFmtId="2" fontId="89" fillId="0" borderId="132" xfId="0" applyNumberFormat="1" applyFont="1" applyBorder="1" applyAlignment="1">
      <alignment horizontal="left" vertical="center" wrapText="1"/>
    </xf>
    <xf numFmtId="0" fontId="152" fillId="21" borderId="67" xfId="0" applyFont="1" applyFill="1" applyBorder="1" applyAlignment="1" applyProtection="1">
      <alignment horizontal="left" vertical="top" wrapText="1"/>
      <protection locked="0"/>
    </xf>
    <xf numFmtId="0" fontId="152" fillId="0" borderId="74" xfId="0" applyFont="1" applyBorder="1" applyAlignment="1">
      <alignment horizontal="left" vertical="top" wrapText="1"/>
    </xf>
    <xf numFmtId="0" fontId="149" fillId="0" borderId="74" xfId="0" applyFont="1" applyBorder="1" applyAlignment="1">
      <alignment horizontal="left" vertical="top" wrapText="1"/>
    </xf>
    <xf numFmtId="0" fontId="149" fillId="0" borderId="75" xfId="0" applyFont="1" applyBorder="1" applyAlignment="1">
      <alignment horizontal="left" vertical="top" wrapText="1"/>
    </xf>
    <xf numFmtId="0" fontId="70" fillId="21" borderId="67" xfId="0" applyFont="1" applyFill="1" applyBorder="1" applyAlignment="1" applyProtection="1">
      <alignment horizontal="left" vertical="top" wrapText="1"/>
      <protection locked="0"/>
    </xf>
    <xf numFmtId="0" fontId="70" fillId="0" borderId="74" xfId="0" applyFont="1" applyBorder="1" applyAlignment="1">
      <alignment horizontal="left" vertical="top" wrapText="1"/>
    </xf>
    <xf numFmtId="0" fontId="70" fillId="0" borderId="75" xfId="0" applyFont="1" applyBorder="1" applyAlignment="1">
      <alignment horizontal="left" vertical="top" wrapText="1"/>
    </xf>
    <xf numFmtId="0" fontId="34" fillId="0" borderId="74" xfId="0" applyFont="1" applyBorder="1" applyAlignment="1">
      <alignment horizontal="center"/>
    </xf>
    <xf numFmtId="0" fontId="147" fillId="34" borderId="29" xfId="0" applyFont="1" applyFill="1" applyBorder="1" applyAlignment="1">
      <alignment vertical="center" wrapText="1"/>
    </xf>
    <xf numFmtId="0" fontId="147" fillId="34" borderId="30" xfId="0" applyFont="1" applyFill="1" applyBorder="1" applyAlignment="1">
      <alignment vertical="center" wrapText="1"/>
    </xf>
    <xf numFmtId="0" fontId="147" fillId="34" borderId="31" xfId="0" applyFont="1" applyFill="1" applyBorder="1" applyAlignment="1">
      <alignment vertical="center" wrapText="1"/>
    </xf>
    <xf numFmtId="0" fontId="35" fillId="0" borderId="10" xfId="0" applyFont="1" applyBorder="1" applyAlignment="1">
      <alignment horizontal="center" vertical="center" wrapText="1"/>
    </xf>
    <xf numFmtId="0" fontId="147" fillId="34" borderId="29" xfId="0" applyFont="1" applyFill="1" applyBorder="1" applyAlignment="1">
      <alignment horizontal="left" vertical="center" wrapText="1"/>
    </xf>
    <xf numFmtId="0" fontId="147" fillId="34" borderId="30" xfId="0" applyFont="1" applyFill="1" applyBorder="1" applyAlignment="1">
      <alignment horizontal="left" vertical="center" wrapText="1"/>
    </xf>
    <xf numFmtId="0" fontId="147" fillId="34" borderId="31" xfId="0" applyFont="1" applyFill="1" applyBorder="1" applyAlignment="1">
      <alignment horizontal="left" vertical="center" wrapText="1"/>
    </xf>
    <xf numFmtId="9" fontId="98" fillId="30" borderId="29" xfId="59" applyFont="1" applyFill="1" applyBorder="1" applyAlignment="1" applyProtection="1">
      <alignment horizontal="center" vertical="center" wrapText="1"/>
    </xf>
    <xf numFmtId="9" fontId="98" fillId="30" borderId="31" xfId="59" applyFont="1" applyFill="1" applyBorder="1" applyAlignment="1" applyProtection="1">
      <alignment horizontal="center" vertical="center" wrapText="1"/>
    </xf>
    <xf numFmtId="9" fontId="96" fillId="0" borderId="29" xfId="59" applyFont="1" applyBorder="1" applyAlignment="1" applyProtection="1">
      <alignment horizontal="center" vertical="center" wrapText="1"/>
    </xf>
    <xf numFmtId="9" fontId="96" fillId="0" borderId="30" xfId="59" applyFont="1" applyBorder="1" applyAlignment="1" applyProtection="1">
      <alignment horizontal="center" vertical="center" wrapText="1"/>
    </xf>
    <xf numFmtId="9" fontId="96" fillId="0" borderId="31" xfId="59" applyFont="1" applyBorder="1" applyAlignment="1" applyProtection="1">
      <alignment horizontal="center" vertical="center" wrapText="1"/>
    </xf>
    <xf numFmtId="9" fontId="96" fillId="34" borderId="10" xfId="59" applyFont="1" applyFill="1" applyBorder="1" applyAlignment="1" applyProtection="1">
      <alignment horizontal="left" vertical="top" wrapText="1"/>
      <protection locked="0"/>
    </xf>
    <xf numFmtId="9" fontId="2" fillId="0" borderId="29" xfId="59" applyFont="1" applyBorder="1" applyAlignment="1" applyProtection="1">
      <alignment horizontal="center" vertical="center" wrapText="1"/>
    </xf>
    <xf numFmtId="9" fontId="2" fillId="0" borderId="30" xfId="59" applyFont="1" applyBorder="1" applyAlignment="1" applyProtection="1">
      <alignment horizontal="center" vertical="center" wrapText="1"/>
    </xf>
    <xf numFmtId="9" fontId="2" fillId="0" borderId="31" xfId="59" applyFont="1" applyBorder="1" applyAlignment="1" applyProtection="1">
      <alignment horizontal="center" vertical="center" wrapText="1"/>
    </xf>
    <xf numFmtId="9" fontId="147" fillId="34" borderId="29" xfId="59" applyFont="1" applyFill="1" applyBorder="1" applyAlignment="1" applyProtection="1">
      <alignment horizontal="left" vertical="top" wrapText="1"/>
      <protection locked="0"/>
    </xf>
    <xf numFmtId="0" fontId="147" fillId="34" borderId="30" xfId="0" applyFont="1" applyFill="1" applyBorder="1" applyAlignment="1">
      <alignment horizontal="left" vertical="top" wrapText="1"/>
    </xf>
    <xf numFmtId="0" fontId="147" fillId="34" borderId="31" xfId="0" applyFont="1" applyFill="1" applyBorder="1" applyAlignment="1">
      <alignment horizontal="left" vertical="top" wrapText="1"/>
    </xf>
    <xf numFmtId="9" fontId="22" fillId="34" borderId="29" xfId="59" applyFont="1" applyFill="1" applyBorder="1" applyAlignment="1" applyProtection="1">
      <alignment horizontal="center" vertical="center" wrapText="1"/>
    </xf>
    <xf numFmtId="0" fontId="22" fillId="34" borderId="30" xfId="0" applyFont="1" applyFill="1" applyBorder="1" applyAlignment="1">
      <alignment horizontal="center" vertical="center" wrapText="1"/>
    </xf>
    <xf numFmtId="0" fontId="22" fillId="34" borderId="31" xfId="0" applyFont="1" applyFill="1" applyBorder="1" applyAlignment="1">
      <alignment horizontal="center" vertical="center" wrapText="1"/>
    </xf>
    <xf numFmtId="9" fontId="2" fillId="34" borderId="29" xfId="59" applyFont="1" applyFill="1" applyBorder="1" applyAlignment="1" applyProtection="1">
      <alignment horizontal="center" vertical="center" wrapText="1"/>
    </xf>
    <xf numFmtId="9" fontId="2" fillId="34" borderId="30" xfId="59" applyFont="1" applyFill="1" applyBorder="1" applyAlignment="1" applyProtection="1">
      <alignment horizontal="center" vertical="center" wrapText="1"/>
    </xf>
    <xf numFmtId="9" fontId="2" fillId="34" borderId="31" xfId="59" applyFont="1" applyFill="1" applyBorder="1" applyAlignment="1" applyProtection="1">
      <alignment horizontal="center" vertical="center" wrapText="1"/>
    </xf>
    <xf numFmtId="9" fontId="22" fillId="34" borderId="10" xfId="59" applyFont="1" applyFill="1" applyBorder="1" applyAlignment="1" applyProtection="1">
      <alignment horizontal="left" vertical="top" wrapText="1"/>
      <protection locked="0"/>
    </xf>
    <xf numFmtId="174" fontId="2" fillId="34" borderId="29" xfId="59" applyNumberFormat="1" applyFont="1" applyFill="1" applyBorder="1" applyAlignment="1" applyProtection="1">
      <alignment horizontal="center" vertical="center" wrapText="1"/>
    </xf>
    <xf numFmtId="174" fontId="0" fillId="34" borderId="30" xfId="0" applyNumberFormat="1" applyFill="1" applyBorder="1" applyAlignment="1">
      <alignment horizontal="center" vertical="center" wrapText="1"/>
    </xf>
    <xf numFmtId="174" fontId="0" fillId="34" borderId="31" xfId="0" applyNumberFormat="1" applyFill="1" applyBorder="1" applyAlignment="1">
      <alignment horizontal="center" vertical="center" wrapText="1"/>
    </xf>
    <xf numFmtId="9" fontId="22" fillId="34" borderId="29" xfId="59" applyFont="1" applyFill="1" applyBorder="1" applyAlignment="1" applyProtection="1">
      <alignment horizontal="left" vertical="top" wrapText="1"/>
      <protection locked="0"/>
    </xf>
    <xf numFmtId="0" fontId="22" fillId="34" borderId="30" xfId="0" applyFont="1" applyFill="1" applyBorder="1" applyAlignment="1">
      <alignment horizontal="left" vertical="top" wrapText="1"/>
    </xf>
    <xf numFmtId="0" fontId="22" fillId="34" borderId="31" xfId="0" applyFont="1" applyFill="1" applyBorder="1" applyAlignment="1">
      <alignment horizontal="left" vertical="top" wrapText="1"/>
    </xf>
    <xf numFmtId="0" fontId="35" fillId="20" borderId="0" xfId="0" applyFont="1" applyFill="1" applyAlignment="1">
      <alignment horizontal="center" vertical="center" wrapText="1"/>
    </xf>
    <xf numFmtId="0" fontId="90" fillId="20" borderId="29" xfId="0" applyFont="1" applyFill="1" applyBorder="1" applyAlignment="1">
      <alignment vertical="center" wrapText="1"/>
    </xf>
    <xf numFmtId="0" fontId="90" fillId="20" borderId="30" xfId="0" applyFont="1" applyFill="1" applyBorder="1" applyAlignment="1">
      <alignment vertical="center" wrapText="1"/>
    </xf>
    <xf numFmtId="0" fontId="90" fillId="20" borderId="31" xfId="0" applyFont="1" applyFill="1" applyBorder="1" applyAlignment="1">
      <alignment vertical="center" wrapText="1"/>
    </xf>
    <xf numFmtId="9" fontId="70" fillId="0" borderId="29" xfId="59" applyFont="1" applyBorder="1" applyAlignment="1">
      <alignment horizontal="center" vertical="center" wrapText="1"/>
    </xf>
    <xf numFmtId="9" fontId="70" fillId="0" borderId="30" xfId="59" applyFont="1" applyBorder="1" applyAlignment="1">
      <alignment horizontal="center" vertical="center" wrapText="1"/>
    </xf>
    <xf numFmtId="9" fontId="70" fillId="0" borderId="31" xfId="59" applyFont="1" applyBorder="1" applyAlignment="1">
      <alignment horizontal="center" vertical="center" wrapText="1"/>
    </xf>
    <xf numFmtId="0" fontId="35" fillId="20" borderId="0" xfId="0" applyFont="1" applyFill="1" applyAlignment="1" applyProtection="1">
      <alignment horizontal="left"/>
      <protection locked="0"/>
    </xf>
    <xf numFmtId="0" fontId="35" fillId="20" borderId="28" xfId="0" applyFont="1" applyFill="1" applyBorder="1" applyAlignment="1" applyProtection="1">
      <alignment horizontal="left"/>
      <protection locked="0"/>
    </xf>
    <xf numFmtId="0" fontId="35" fillId="20" borderId="97" xfId="0" applyFont="1" applyFill="1" applyBorder="1" applyAlignment="1" applyProtection="1">
      <alignment horizontal="left"/>
      <protection locked="0"/>
    </xf>
    <xf numFmtId="0" fontId="35" fillId="20" borderId="118" xfId="0" applyFont="1" applyFill="1" applyBorder="1" applyAlignment="1">
      <alignment horizontal="left"/>
    </xf>
    <xf numFmtId="0" fontId="35" fillId="20" borderId="118" xfId="0" applyFont="1" applyFill="1" applyBorder="1" applyAlignment="1">
      <alignment horizontal="left" vertical="center" wrapText="1"/>
    </xf>
    <xf numFmtId="49" fontId="90" fillId="20" borderId="29" xfId="0" applyNumberFormat="1" applyFont="1" applyFill="1" applyBorder="1" applyAlignment="1">
      <alignment vertical="center" wrapText="1"/>
    </xf>
    <xf numFmtId="9" fontId="0" fillId="21" borderId="10" xfId="59" applyFont="1" applyFill="1" applyBorder="1" applyAlignment="1" applyProtection="1">
      <alignment horizontal="left" vertical="top" wrapText="1"/>
      <protection locked="0"/>
    </xf>
    <xf numFmtId="9" fontId="2" fillId="21" borderId="10" xfId="59" applyFont="1" applyFill="1" applyBorder="1" applyAlignment="1" applyProtection="1">
      <alignment horizontal="left" vertical="top" wrapText="1"/>
      <protection locked="0"/>
    </xf>
    <xf numFmtId="0" fontId="35" fillId="20" borderId="0" xfId="0" applyFont="1" applyFill="1" applyAlignment="1">
      <alignment horizontal="left"/>
    </xf>
    <xf numFmtId="9" fontId="22" fillId="21" borderId="29" xfId="59" applyFont="1" applyFill="1" applyBorder="1" applyAlignment="1" applyProtection="1">
      <alignment horizontal="left" vertical="top" wrapText="1"/>
      <protection locked="0"/>
    </xf>
    <xf numFmtId="9" fontId="22" fillId="21" borderId="30" xfId="59" applyFont="1" applyFill="1" applyBorder="1" applyAlignment="1" applyProtection="1">
      <alignment horizontal="left" vertical="top" wrapText="1"/>
      <protection locked="0"/>
    </xf>
    <xf numFmtId="9" fontId="22" fillId="21" borderId="31" xfId="59" applyFont="1" applyFill="1" applyBorder="1" applyAlignment="1" applyProtection="1">
      <alignment horizontal="left" vertical="top" wrapText="1"/>
      <protection locked="0"/>
    </xf>
    <xf numFmtId="9" fontId="86" fillId="30" borderId="29" xfId="59" applyFont="1" applyFill="1" applyBorder="1" applyAlignment="1" applyProtection="1">
      <alignment horizontal="center" vertical="center" wrapText="1"/>
    </xf>
    <xf numFmtId="9" fontId="86" fillId="30" borderId="31" xfId="59" applyFont="1" applyFill="1" applyBorder="1" applyAlignment="1" applyProtection="1">
      <alignment horizontal="center" vertical="center" wrapText="1"/>
    </xf>
    <xf numFmtId="9" fontId="87" fillId="33" borderId="29" xfId="59" applyFont="1" applyFill="1" applyBorder="1" applyAlignment="1" applyProtection="1">
      <alignment horizontal="center" vertical="center" wrapText="1"/>
    </xf>
    <xf numFmtId="9" fontId="87" fillId="33" borderId="31" xfId="59" applyFont="1" applyFill="1" applyBorder="1" applyAlignment="1" applyProtection="1">
      <alignment horizontal="center" vertical="center" wrapText="1"/>
    </xf>
    <xf numFmtId="0" fontId="89" fillId="0" borderId="10" xfId="0" applyFont="1" applyBorder="1" applyAlignment="1">
      <alignment horizontal="center" vertical="center" wrapText="1"/>
    </xf>
    <xf numFmtId="49" fontId="89" fillId="0" borderId="29" xfId="0" applyNumberFormat="1" applyFont="1" applyBorder="1" applyAlignment="1">
      <alignment horizontal="left" vertical="center" wrapText="1"/>
    </xf>
    <xf numFmtId="49" fontId="89" fillId="0" borderId="30" xfId="0" applyNumberFormat="1" applyFont="1" applyBorder="1" applyAlignment="1">
      <alignment horizontal="left" vertical="center" wrapText="1"/>
    </xf>
    <xf numFmtId="49" fontId="89" fillId="0" borderId="31" xfId="0" applyNumberFormat="1" applyFont="1" applyBorder="1" applyAlignment="1">
      <alignment horizontal="left" vertical="center" wrapText="1"/>
    </xf>
    <xf numFmtId="9" fontId="70" fillId="0" borderId="29" xfId="59" applyFont="1" applyBorder="1" applyAlignment="1" applyProtection="1">
      <alignment horizontal="center" vertical="center" wrapText="1"/>
    </xf>
    <xf numFmtId="9" fontId="70" fillId="0" borderId="30" xfId="59" applyFont="1" applyBorder="1" applyAlignment="1" applyProtection="1">
      <alignment horizontal="center" vertical="center" wrapText="1"/>
    </xf>
    <xf numFmtId="9" fontId="70" fillId="0" borderId="31" xfId="59" applyFont="1" applyBorder="1" applyAlignment="1" applyProtection="1">
      <alignment horizontal="center" vertical="center" wrapText="1"/>
    </xf>
    <xf numFmtId="49" fontId="89" fillId="0" borderId="29" xfId="0" applyNumberFormat="1" applyFont="1" applyBorder="1" applyAlignment="1">
      <alignment horizontal="center" vertical="center" wrapText="1"/>
    </xf>
    <xf numFmtId="49" fontId="89" fillId="0" borderId="30" xfId="0" applyNumberFormat="1" applyFont="1" applyBorder="1" applyAlignment="1">
      <alignment horizontal="center" vertical="center" wrapText="1"/>
    </xf>
    <xf numFmtId="49" fontId="89" fillId="0" borderId="31" xfId="0" applyNumberFormat="1" applyFont="1" applyBorder="1" applyAlignment="1">
      <alignment horizontal="center" vertical="center" wrapText="1"/>
    </xf>
    <xf numFmtId="0" fontId="90" fillId="20" borderId="29" xfId="0" applyFont="1" applyFill="1" applyBorder="1" applyAlignment="1">
      <alignment horizontal="left" vertical="center" wrapText="1"/>
    </xf>
    <xf numFmtId="0" fontId="90" fillId="20" borderId="30" xfId="0" applyFont="1" applyFill="1" applyBorder="1" applyAlignment="1">
      <alignment horizontal="left" vertical="center" wrapText="1"/>
    </xf>
    <xf numFmtId="0" fontId="90" fillId="20" borderId="31" xfId="0" applyFont="1" applyFill="1" applyBorder="1" applyAlignment="1">
      <alignment horizontal="left" vertical="center" wrapText="1"/>
    </xf>
    <xf numFmtId="0" fontId="35" fillId="0" borderId="29"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9" fontId="22" fillId="21" borderId="10" xfId="59" applyFont="1" applyFill="1" applyBorder="1" applyAlignment="1" applyProtection="1">
      <alignment horizontal="left" vertical="top" wrapText="1"/>
      <protection locked="0"/>
    </xf>
    <xf numFmtId="49" fontId="29" fillId="0" borderId="132" xfId="0" applyNumberFormat="1" applyFont="1" applyBorder="1" applyAlignment="1">
      <alignment horizontal="left" vertical="center" wrapText="1"/>
    </xf>
    <xf numFmtId="9" fontId="37" fillId="33" borderId="29" xfId="59" applyFont="1" applyFill="1" applyBorder="1" applyAlignment="1" applyProtection="1">
      <alignment horizontal="center" vertical="center" wrapText="1"/>
    </xf>
    <xf numFmtId="9" fontId="37" fillId="33" borderId="31" xfId="59" applyFont="1" applyFill="1" applyBorder="1" applyAlignment="1" applyProtection="1">
      <alignment horizontal="center" vertical="center" wrapText="1"/>
    </xf>
    <xf numFmtId="9" fontId="147" fillId="34" borderId="10" xfId="59" applyFont="1" applyFill="1" applyBorder="1" applyAlignment="1" applyProtection="1">
      <alignment horizontal="left" vertical="top" wrapText="1"/>
      <protection locked="0"/>
    </xf>
    <xf numFmtId="0" fontId="147" fillId="34" borderId="10" xfId="0" applyFont="1" applyFill="1" applyBorder="1" applyAlignment="1">
      <alignment vertical="center" wrapText="1"/>
    </xf>
    <xf numFmtId="9" fontId="147" fillId="34" borderId="30" xfId="59" applyFont="1" applyFill="1" applyBorder="1" applyAlignment="1" applyProtection="1">
      <alignment horizontal="left" vertical="top" wrapText="1"/>
      <protection locked="0"/>
    </xf>
    <xf numFmtId="9" fontId="147" fillId="34" borderId="31" xfId="59" applyFont="1" applyFill="1" applyBorder="1" applyAlignment="1" applyProtection="1">
      <alignment horizontal="left" vertical="top" wrapText="1"/>
      <protection locked="0"/>
    </xf>
    <xf numFmtId="0" fontId="29" fillId="21" borderId="142" xfId="0" applyFont="1" applyFill="1" applyBorder="1" applyAlignment="1" applyProtection="1">
      <alignment horizontal="left" vertical="top" wrapText="1"/>
      <protection locked="0"/>
    </xf>
    <xf numFmtId="0" fontId="29" fillId="0" borderId="101" xfId="0" applyFont="1" applyBorder="1" applyAlignment="1">
      <alignment horizontal="left" vertical="top" wrapText="1"/>
    </xf>
    <xf numFmtId="0" fontId="29" fillId="0" borderId="143" xfId="0" applyFont="1" applyBorder="1" applyAlignment="1">
      <alignment horizontal="left" vertical="top" wrapText="1"/>
    </xf>
    <xf numFmtId="0" fontId="29" fillId="0" borderId="102" xfId="0" applyFont="1" applyBorder="1" applyAlignment="1">
      <alignment horizontal="left" vertical="top" wrapText="1"/>
    </xf>
    <xf numFmtId="0" fontId="89" fillId="52" borderId="124" xfId="0" applyFont="1" applyFill="1" applyBorder="1" applyAlignment="1">
      <alignment horizontal="center" vertical="center"/>
    </xf>
    <xf numFmtId="0" fontId="31" fillId="21" borderId="0" xfId="0" applyFont="1" applyFill="1" applyAlignment="1" applyProtection="1">
      <alignment horizontal="left" vertical="top" wrapText="1"/>
      <protection locked="0"/>
    </xf>
    <xf numFmtId="0" fontId="31" fillId="21" borderId="0" xfId="0" applyFont="1" applyFill="1" applyAlignment="1" applyProtection="1">
      <alignment horizontal="left" vertical="top"/>
      <protection locked="0"/>
    </xf>
    <xf numFmtId="0" fontId="35" fillId="21" borderId="81" xfId="0" applyFont="1" applyFill="1" applyBorder="1" applyAlignment="1" applyProtection="1">
      <alignment horizontal="left" vertical="top" wrapText="1"/>
      <protection locked="0"/>
    </xf>
    <xf numFmtId="43" fontId="36" fillId="0" borderId="0" xfId="0" applyNumberFormat="1" applyFont="1" applyAlignment="1">
      <alignment horizontal="center" vertical="center" wrapText="1"/>
    </xf>
    <xf numFmtId="43" fontId="36" fillId="0" borderId="0" xfId="0" applyNumberFormat="1" applyFont="1" applyAlignment="1">
      <alignment horizontal="center" vertical="center"/>
    </xf>
    <xf numFmtId="0" fontId="151" fillId="21" borderId="101" xfId="0" applyFont="1" applyFill="1" applyBorder="1" applyAlignment="1" applyProtection="1">
      <alignment horizontal="left" vertical="top" wrapText="1"/>
      <protection locked="0"/>
    </xf>
    <xf numFmtId="0" fontId="35" fillId="21" borderId="101" xfId="0" applyFont="1" applyFill="1" applyBorder="1" applyAlignment="1" applyProtection="1">
      <alignment horizontal="left" vertical="top" wrapText="1"/>
      <protection locked="0"/>
    </xf>
    <xf numFmtId="0" fontId="89" fillId="51" borderId="122" xfId="0" applyFont="1" applyFill="1" applyBorder="1" applyAlignment="1">
      <alignment horizontal="center" vertical="center" wrapText="1"/>
    </xf>
    <xf numFmtId="0" fontId="89" fillId="51" borderId="123" xfId="0" applyFont="1" applyFill="1" applyBorder="1" applyAlignment="1">
      <alignment horizontal="center" vertical="center" wrapText="1"/>
    </xf>
    <xf numFmtId="0" fontId="89" fillId="51" borderId="151" xfId="0" applyFont="1" applyFill="1" applyBorder="1" applyAlignment="1">
      <alignment horizontal="center" vertical="center" wrapText="1"/>
    </xf>
    <xf numFmtId="43" fontId="16" fillId="32" borderId="0" xfId="55" applyFont="1" applyFill="1" applyBorder="1" applyAlignment="1" applyProtection="1">
      <alignment horizontal="center" vertical="center" wrapText="1"/>
    </xf>
    <xf numFmtId="0" fontId="138" fillId="21" borderId="81" xfId="0" applyFont="1" applyFill="1" applyBorder="1" applyAlignment="1" applyProtection="1">
      <alignment horizontal="left" vertical="top" wrapText="1"/>
      <protection locked="0"/>
    </xf>
    <xf numFmtId="43" fontId="36" fillId="0" borderId="0" xfId="0" applyNumberFormat="1" applyFont="1" applyAlignment="1">
      <alignment horizontal="left" vertical="center" wrapText="1"/>
    </xf>
    <xf numFmtId="0" fontId="15" fillId="0" borderId="0" xfId="0" applyFont="1" applyAlignment="1">
      <alignment horizontal="center"/>
    </xf>
    <xf numFmtId="43" fontId="29" fillId="0" borderId="0" xfId="0" applyNumberFormat="1" applyFont="1" applyAlignment="1">
      <alignment horizontal="left" vertical="center" wrapText="1"/>
    </xf>
    <xf numFmtId="0" fontId="140" fillId="21" borderId="81" xfId="0" applyFont="1" applyFill="1" applyBorder="1" applyAlignment="1" applyProtection="1">
      <alignment horizontal="left" vertical="top" wrapText="1"/>
      <protection locked="0"/>
    </xf>
    <xf numFmtId="9" fontId="34" fillId="0" borderId="76" xfId="173" applyFont="1" applyFill="1" applyBorder="1" applyAlignment="1" applyProtection="1">
      <alignment horizontal="center" vertical="center"/>
    </xf>
    <xf numFmtId="9" fontId="34" fillId="0" borderId="77" xfId="173" applyFont="1" applyFill="1" applyBorder="1" applyAlignment="1" applyProtection="1">
      <alignment horizontal="center" vertical="center"/>
    </xf>
    <xf numFmtId="9" fontId="34" fillId="0" borderId="78" xfId="173" applyFont="1" applyFill="1" applyBorder="1" applyAlignment="1" applyProtection="1">
      <alignment horizontal="center" vertical="center"/>
    </xf>
    <xf numFmtId="0" fontId="0" fillId="30" borderId="80" xfId="0" applyFill="1" applyBorder="1" applyAlignment="1">
      <alignment horizontal="center"/>
    </xf>
    <xf numFmtId="0" fontId="0" fillId="30" borderId="81" xfId="0" applyFill="1" applyBorder="1" applyAlignment="1">
      <alignment horizontal="center"/>
    </xf>
    <xf numFmtId="0" fontId="0" fillId="30" borderId="82" xfId="0" applyFill="1" applyBorder="1" applyAlignment="1">
      <alignment horizontal="center"/>
    </xf>
    <xf numFmtId="43" fontId="43" fillId="29" borderId="0" xfId="172" applyFont="1" applyFill="1" applyAlignment="1">
      <alignment horizontal="center" vertical="center"/>
    </xf>
    <xf numFmtId="15" fontId="0" fillId="0" borderId="10" xfId="176" applyNumberFormat="1" applyFont="1" applyFill="1" applyBorder="1" applyAlignment="1" applyProtection="1">
      <alignment horizontal="center"/>
      <protection locked="0"/>
    </xf>
    <xf numFmtId="15" fontId="1" fillId="0" borderId="10" xfId="176" applyNumberFormat="1" applyFill="1" applyBorder="1" applyAlignment="1" applyProtection="1">
      <alignment horizontal="center"/>
      <protection locked="0"/>
    </xf>
    <xf numFmtId="43" fontId="16" fillId="31" borderId="10" xfId="176" applyFont="1" applyFill="1" applyBorder="1" applyAlignment="1" applyProtection="1">
      <alignment horizontal="center"/>
      <protection locked="0"/>
    </xf>
    <xf numFmtId="0" fontId="60" fillId="0" borderId="29" xfId="0" applyFont="1" applyBorder="1" applyAlignment="1">
      <alignment horizontal="left" vertical="top" wrapText="1"/>
    </xf>
    <xf numFmtId="9" fontId="60" fillId="0" borderId="29" xfId="173" applyFont="1" applyBorder="1" applyAlignment="1">
      <alignment horizontal="left" vertical="top" wrapText="1"/>
    </xf>
    <xf numFmtId="9" fontId="60" fillId="0" borderId="30" xfId="173" applyFont="1" applyBorder="1" applyAlignment="1">
      <alignment horizontal="left" vertical="top" wrapText="1"/>
    </xf>
    <xf numFmtId="9" fontId="60" fillId="0" borderId="31" xfId="173" applyFont="1" applyBorder="1" applyAlignment="1">
      <alignment horizontal="left" vertical="top" wrapText="1"/>
    </xf>
    <xf numFmtId="0" fontId="60" fillId="0" borderId="67" xfId="0" applyFont="1" applyBorder="1" applyAlignment="1">
      <alignment horizontal="justify" vertical="top" wrapText="1"/>
    </xf>
    <xf numFmtId="43" fontId="25" fillId="24" borderId="27" xfId="176" applyFont="1" applyFill="1" applyBorder="1" applyAlignment="1" applyProtection="1">
      <alignment horizontal="center"/>
    </xf>
    <xf numFmtId="43" fontId="2" fillId="0" borderId="27" xfId="176" applyFont="1" applyFill="1" applyBorder="1" applyAlignment="1" applyProtection="1">
      <alignment horizontal="right" vertical="top" wrapText="1"/>
    </xf>
    <xf numFmtId="43" fontId="74" fillId="32" borderId="27" xfId="176" applyFont="1" applyFill="1" applyBorder="1" applyAlignment="1" applyProtection="1">
      <alignment horizontal="center" wrapText="1"/>
    </xf>
    <xf numFmtId="43" fontId="2" fillId="0" borderId="27" xfId="176" applyFont="1" applyFill="1" applyBorder="1" applyAlignment="1" applyProtection="1">
      <alignment horizontal="right" wrapText="1"/>
    </xf>
    <xf numFmtId="15" fontId="25" fillId="24" borderId="27" xfId="176" applyNumberFormat="1" applyFont="1" applyFill="1" applyBorder="1" applyAlignment="1" applyProtection="1">
      <alignment horizontal="center"/>
    </xf>
    <xf numFmtId="43" fontId="18" fillId="29" borderId="0" xfId="172" applyFont="1" applyFill="1" applyAlignment="1">
      <alignment horizontal="center" vertical="center"/>
    </xf>
    <xf numFmtId="43" fontId="34" fillId="24" borderId="0" xfId="180" applyFont="1" applyFill="1" applyAlignment="1">
      <alignment horizontal="center" vertical="center" wrapText="1"/>
    </xf>
    <xf numFmtId="173" fontId="25" fillId="24" borderId="27" xfId="176" applyNumberFormat="1" applyFont="1" applyFill="1" applyBorder="1" applyAlignment="1" applyProtection="1">
      <alignment horizontal="center" vertical="center"/>
    </xf>
    <xf numFmtId="43" fontId="2" fillId="0" borderId="27" xfId="176" applyFont="1" applyBorder="1" applyAlignment="1" applyProtection="1">
      <alignment horizontal="right"/>
    </xf>
    <xf numFmtId="43" fontId="21" fillId="0" borderId="0" xfId="180" applyFont="1" applyAlignment="1">
      <alignment horizontal="right" vertical="center"/>
    </xf>
    <xf numFmtId="43" fontId="25" fillId="24" borderId="0" xfId="180" applyFont="1" applyFill="1" applyAlignment="1">
      <alignment horizontal="center" vertical="center" wrapText="1"/>
    </xf>
    <xf numFmtId="43" fontId="16" fillId="32" borderId="0" xfId="176" applyFont="1" applyFill="1" applyBorder="1" applyAlignment="1" applyProtection="1">
      <alignment horizontal="center" wrapText="1"/>
    </xf>
    <xf numFmtId="0" fontId="31" fillId="21" borderId="29" xfId="0" applyFont="1" applyFill="1" applyBorder="1" applyAlignment="1" applyProtection="1">
      <alignment horizontal="left" wrapText="1"/>
      <protection locked="0"/>
    </xf>
    <xf numFmtId="0" fontId="35" fillId="21" borderId="30" xfId="0" applyFont="1" applyFill="1" applyBorder="1" applyAlignment="1" applyProtection="1">
      <alignment horizontal="left" wrapText="1"/>
      <protection locked="0"/>
    </xf>
    <xf numFmtId="0" fontId="35" fillId="21" borderId="31" xfId="0" applyFont="1" applyFill="1" applyBorder="1" applyAlignment="1" applyProtection="1">
      <alignment horizontal="left" wrapText="1"/>
      <protection locked="0"/>
    </xf>
    <xf numFmtId="9" fontId="2" fillId="0" borderId="29" xfId="173" applyFont="1" applyBorder="1" applyAlignment="1" applyProtection="1">
      <alignment horizontal="center" vertical="center" wrapText="1"/>
    </xf>
    <xf numFmtId="9" fontId="2" fillId="0" borderId="30" xfId="173" applyFont="1" applyBorder="1" applyAlignment="1" applyProtection="1">
      <alignment horizontal="center" vertical="center" wrapText="1"/>
    </xf>
    <xf numFmtId="9" fontId="2" fillId="0" borderId="31" xfId="173" applyFont="1" applyBorder="1" applyAlignment="1" applyProtection="1">
      <alignment horizontal="center" vertical="center" wrapText="1"/>
    </xf>
    <xf numFmtId="9" fontId="22" fillId="34" borderId="10" xfId="173" applyFont="1" applyFill="1" applyBorder="1" applyAlignment="1" applyProtection="1">
      <alignment horizontal="left" vertical="top" wrapText="1"/>
      <protection locked="0"/>
    </xf>
    <xf numFmtId="9" fontId="98" fillId="30" borderId="29" xfId="173" applyFont="1" applyFill="1" applyBorder="1" applyAlignment="1" applyProtection="1">
      <alignment horizontal="center" vertical="center" wrapText="1"/>
    </xf>
    <xf numFmtId="9" fontId="98" fillId="30" borderId="31" xfId="173" applyFont="1" applyFill="1" applyBorder="1" applyAlignment="1" applyProtection="1">
      <alignment horizontal="center" vertical="center" wrapText="1"/>
    </xf>
    <xf numFmtId="9" fontId="96" fillId="0" borderId="29" xfId="173" applyFont="1" applyBorder="1" applyAlignment="1" applyProtection="1">
      <alignment horizontal="center" vertical="center" wrapText="1"/>
    </xf>
    <xf numFmtId="9" fontId="96" fillId="0" borderId="30" xfId="173" applyFont="1" applyBorder="1" applyAlignment="1" applyProtection="1">
      <alignment horizontal="center" vertical="center" wrapText="1"/>
    </xf>
    <xf numFmtId="9" fontId="96" fillId="0" borderId="31" xfId="173" applyFont="1" applyBorder="1" applyAlignment="1" applyProtection="1">
      <alignment horizontal="center" vertical="center" wrapText="1"/>
    </xf>
    <xf numFmtId="9" fontId="96" fillId="34" borderId="10" xfId="173" applyFont="1" applyFill="1" applyBorder="1" applyAlignment="1" applyProtection="1">
      <alignment horizontal="left" vertical="top" wrapText="1"/>
      <protection locked="0"/>
    </xf>
    <xf numFmtId="9" fontId="22" fillId="34" borderId="29" xfId="173" applyFont="1" applyFill="1" applyBorder="1" applyAlignment="1" applyProtection="1">
      <alignment horizontal="left" vertical="top" wrapText="1"/>
      <protection locked="0"/>
    </xf>
    <xf numFmtId="9" fontId="147" fillId="34" borderId="29" xfId="173" applyFont="1" applyFill="1" applyBorder="1" applyAlignment="1" applyProtection="1">
      <alignment horizontal="left" vertical="top" wrapText="1"/>
      <protection locked="0"/>
    </xf>
    <xf numFmtId="9" fontId="155" fillId="34" borderId="29" xfId="173" applyFont="1" applyFill="1" applyBorder="1" applyAlignment="1" applyProtection="1">
      <alignment horizontal="left" vertical="top" wrapText="1"/>
      <protection locked="0"/>
    </xf>
    <xf numFmtId="0" fontId="159" fillId="34" borderId="30" xfId="0" applyFont="1" applyFill="1" applyBorder="1" applyAlignment="1">
      <alignment horizontal="left" vertical="top" wrapText="1"/>
    </xf>
    <xf numFmtId="0" fontId="159" fillId="34" borderId="31" xfId="0" applyFont="1" applyFill="1" applyBorder="1" applyAlignment="1">
      <alignment horizontal="left" vertical="top" wrapText="1"/>
    </xf>
    <xf numFmtId="9" fontId="147" fillId="34" borderId="30" xfId="173" applyFont="1" applyFill="1" applyBorder="1" applyAlignment="1" applyProtection="1">
      <alignment horizontal="left" vertical="top" wrapText="1"/>
      <protection locked="0"/>
    </xf>
    <xf numFmtId="9" fontId="147" fillId="34" borderId="31" xfId="173" applyFont="1" applyFill="1" applyBorder="1" applyAlignment="1" applyProtection="1">
      <alignment horizontal="left" vertical="top" wrapText="1"/>
      <protection locked="0"/>
    </xf>
    <xf numFmtId="9" fontId="22" fillId="34" borderId="29" xfId="173" applyFont="1" applyFill="1" applyBorder="1" applyAlignment="1" applyProtection="1">
      <alignment horizontal="center" vertical="center" wrapText="1"/>
    </xf>
    <xf numFmtId="9" fontId="2" fillId="34" borderId="29" xfId="173" applyFont="1" applyFill="1" applyBorder="1" applyAlignment="1" applyProtection="1">
      <alignment horizontal="center" vertical="center" wrapText="1"/>
    </xf>
    <xf numFmtId="9" fontId="2" fillId="34" borderId="30" xfId="173" applyFont="1" applyFill="1" applyBorder="1" applyAlignment="1" applyProtection="1">
      <alignment horizontal="center" vertical="center" wrapText="1"/>
    </xf>
    <xf numFmtId="9" fontId="2" fillId="34" borderId="31" xfId="173" applyFont="1" applyFill="1" applyBorder="1" applyAlignment="1" applyProtection="1">
      <alignment horizontal="center" vertical="center" wrapText="1"/>
    </xf>
    <xf numFmtId="9" fontId="86" fillId="30" borderId="29" xfId="173" applyFont="1" applyFill="1" applyBorder="1" applyAlignment="1" applyProtection="1">
      <alignment horizontal="center" vertical="center" wrapText="1"/>
    </xf>
    <xf numFmtId="9" fontId="86" fillId="30" borderId="31" xfId="173" applyFont="1" applyFill="1" applyBorder="1" applyAlignment="1" applyProtection="1">
      <alignment horizontal="center" vertical="center" wrapText="1"/>
    </xf>
    <xf numFmtId="9" fontId="87" fillId="33" borderId="29" xfId="173" applyFont="1" applyFill="1" applyBorder="1" applyAlignment="1" applyProtection="1">
      <alignment horizontal="center" vertical="center" wrapText="1"/>
    </xf>
    <xf numFmtId="9" fontId="87" fillId="33" borderId="31" xfId="173" applyFont="1" applyFill="1" applyBorder="1" applyAlignment="1" applyProtection="1">
      <alignment horizontal="center" vertical="center" wrapText="1"/>
    </xf>
    <xf numFmtId="174" fontId="2" fillId="34" borderId="29" xfId="173" applyNumberFormat="1" applyFont="1" applyFill="1" applyBorder="1" applyAlignment="1" applyProtection="1">
      <alignment horizontal="center" vertical="center" wrapText="1"/>
    </xf>
    <xf numFmtId="9" fontId="22" fillId="21" borderId="29" xfId="173" applyFont="1" applyFill="1" applyBorder="1" applyAlignment="1" applyProtection="1">
      <alignment horizontal="left" vertical="top" wrapText="1"/>
      <protection locked="0"/>
    </xf>
    <xf numFmtId="9" fontId="22" fillId="21" borderId="30" xfId="173" applyFont="1" applyFill="1" applyBorder="1" applyAlignment="1" applyProtection="1">
      <alignment horizontal="left" vertical="top" wrapText="1"/>
      <protection locked="0"/>
    </xf>
    <xf numFmtId="9" fontId="22" fillId="21" borderId="31" xfId="173" applyFont="1" applyFill="1" applyBorder="1" applyAlignment="1" applyProtection="1">
      <alignment horizontal="left" vertical="top" wrapText="1"/>
      <protection locked="0"/>
    </xf>
    <xf numFmtId="9" fontId="70" fillId="0" borderId="29" xfId="173" applyFont="1" applyBorder="1" applyAlignment="1">
      <alignment horizontal="center" vertical="center" wrapText="1"/>
    </xf>
    <xf numFmtId="9" fontId="70" fillId="0" borderId="30" xfId="173" applyFont="1" applyBorder="1" applyAlignment="1">
      <alignment horizontal="center" vertical="center" wrapText="1"/>
    </xf>
    <xf numFmtId="9" fontId="70" fillId="0" borderId="31" xfId="173" applyFont="1" applyBorder="1" applyAlignment="1">
      <alignment horizontal="center" vertical="center" wrapText="1"/>
    </xf>
    <xf numFmtId="0" fontId="90" fillId="20" borderId="29" xfId="0" applyFont="1" applyFill="1" applyBorder="1" applyAlignment="1">
      <alignment horizontal="center" vertical="center" wrapText="1"/>
    </xf>
    <xf numFmtId="0" fontId="90" fillId="20" borderId="30" xfId="0" applyFont="1" applyFill="1" applyBorder="1" applyAlignment="1">
      <alignment horizontal="center" vertical="center" wrapText="1"/>
    </xf>
    <xf numFmtId="0" fontId="90" fillId="20" borderId="31" xfId="0" applyFont="1" applyFill="1" applyBorder="1" applyAlignment="1">
      <alignment horizontal="center" vertical="center" wrapText="1"/>
    </xf>
    <xf numFmtId="9" fontId="22" fillId="21" borderId="10" xfId="173" applyFont="1" applyFill="1" applyBorder="1" applyAlignment="1" applyProtection="1">
      <alignment horizontal="left" vertical="top" wrapText="1"/>
      <protection locked="0"/>
    </xf>
    <xf numFmtId="9" fontId="70" fillId="0" borderId="29" xfId="173" applyFont="1" applyBorder="1" applyAlignment="1" applyProtection="1">
      <alignment horizontal="center" vertical="center" wrapText="1"/>
    </xf>
    <xf numFmtId="9" fontId="70" fillId="0" borderId="30" xfId="173" applyFont="1" applyBorder="1" applyAlignment="1" applyProtection="1">
      <alignment horizontal="center" vertical="center" wrapText="1"/>
    </xf>
    <xf numFmtId="9" fontId="70" fillId="0" borderId="31" xfId="173" applyFont="1" applyBorder="1" applyAlignment="1" applyProtection="1">
      <alignment horizontal="center" vertical="center" wrapText="1"/>
    </xf>
    <xf numFmtId="9" fontId="0" fillId="21" borderId="10" xfId="173" applyFont="1" applyFill="1" applyBorder="1" applyAlignment="1" applyProtection="1">
      <alignment horizontal="left" vertical="top" wrapText="1"/>
      <protection locked="0"/>
    </xf>
    <xf numFmtId="9" fontId="2" fillId="21" borderId="10" xfId="173" applyFont="1" applyFill="1" applyBorder="1" applyAlignment="1" applyProtection="1">
      <alignment horizontal="left" vertical="top" wrapText="1"/>
      <protection locked="0"/>
    </xf>
    <xf numFmtId="9" fontId="37" fillId="33" borderId="29" xfId="173" applyFont="1" applyFill="1" applyBorder="1" applyAlignment="1" applyProtection="1">
      <alignment horizontal="center" vertical="center" wrapText="1"/>
    </xf>
    <xf numFmtId="9" fontId="37" fillId="33" borderId="31" xfId="173" applyFont="1" applyFill="1" applyBorder="1" applyAlignment="1" applyProtection="1">
      <alignment horizontal="center" vertical="center" wrapText="1"/>
    </xf>
    <xf numFmtId="9" fontId="147" fillId="34" borderId="10" xfId="173" applyFont="1" applyFill="1" applyBorder="1" applyAlignment="1" applyProtection="1">
      <alignment horizontal="left" vertical="top" wrapText="1"/>
      <protection locked="0"/>
    </xf>
    <xf numFmtId="0" fontId="138" fillId="21" borderId="0" xfId="0" applyFont="1" applyFill="1" applyAlignment="1" applyProtection="1">
      <alignment horizontal="left" vertical="top" wrapText="1"/>
      <protection locked="0"/>
    </xf>
    <xf numFmtId="43" fontId="16" fillId="32" borderId="0" xfId="176" applyFont="1" applyFill="1" applyBorder="1" applyAlignment="1" applyProtection="1">
      <alignment horizontal="center" vertical="center" wrapText="1"/>
    </xf>
    <xf numFmtId="0" fontId="34" fillId="0" borderId="0" xfId="0" applyFont="1" applyAlignment="1">
      <alignment horizontal="center"/>
    </xf>
  </cellXfs>
  <cellStyles count="181">
    <cellStyle name="???????????" xfId="90" xr:uid="{00000000-0005-0000-0000-000000000000}"/>
    <cellStyle name="????????????? ???????????" xfId="91" xr:uid="{00000000-0005-0000-0000-000001000000}"/>
    <cellStyle name="_TB_Calc_number" xfId="67" xr:uid="{00000000-0005-0000-0000-000002000000}"/>
    <cellStyle name="_TB_Calc_percent" xfId="68" xr:uid="{00000000-0005-0000-0000-000003000000}"/>
    <cellStyle name="_TB_def_number" xfId="69" xr:uid="{00000000-0005-0000-0000-000004000000}"/>
    <cellStyle name="_TB_def_percent" xfId="70" xr:uid="{00000000-0005-0000-0000-000005000000}"/>
    <cellStyle name="_TB_results1" xfId="87" xr:uid="{00000000-0005-0000-0000-000006000000}"/>
    <cellStyle name="_TB_subtitle2" xfId="71" xr:uid="{00000000-0005-0000-0000-000007000000}"/>
    <cellStyle name="_TB_textunprotect" xfId="88" xr:uid="{00000000-0005-0000-0000-000008000000}"/>
    <cellStyle name="_TB_years" xfId="89" xr:uid="{00000000-0005-0000-0000-000009000000}"/>
    <cellStyle name="20% - Accent1" xfId="1" xr:uid="{00000000-0005-0000-0000-00000A000000}"/>
    <cellStyle name="20% - Accent2" xfId="2" xr:uid="{00000000-0005-0000-0000-00000B000000}"/>
    <cellStyle name="20% - Accent3" xfId="3" xr:uid="{00000000-0005-0000-0000-00000C000000}"/>
    <cellStyle name="20% - Accent4" xfId="4" xr:uid="{00000000-0005-0000-0000-00000D000000}"/>
    <cellStyle name="20% - Accent5" xfId="5" xr:uid="{00000000-0005-0000-0000-00000E000000}"/>
    <cellStyle name="20% - Accent6" xfId="6" xr:uid="{00000000-0005-0000-0000-00000F000000}"/>
    <cellStyle name="20% - Акцент1 2" xfId="92" xr:uid="{00000000-0005-0000-0000-000010000000}"/>
    <cellStyle name="20% - Акцент2 2" xfId="93" xr:uid="{00000000-0005-0000-0000-000011000000}"/>
    <cellStyle name="20% - Акцент3 2" xfId="94" xr:uid="{00000000-0005-0000-0000-000012000000}"/>
    <cellStyle name="20% - Акцент4 2" xfId="95" xr:uid="{00000000-0005-0000-0000-000013000000}"/>
    <cellStyle name="20% - Акцент5 2" xfId="96" xr:uid="{00000000-0005-0000-0000-000014000000}"/>
    <cellStyle name="20% - Акцент6 2" xfId="97" xr:uid="{00000000-0005-0000-0000-000015000000}"/>
    <cellStyle name="40% - Accent1" xfId="7" xr:uid="{00000000-0005-0000-0000-000016000000}"/>
    <cellStyle name="40% - Accent2" xfId="8" xr:uid="{00000000-0005-0000-0000-000017000000}"/>
    <cellStyle name="40% - Accent3" xfId="9" xr:uid="{00000000-0005-0000-0000-000018000000}"/>
    <cellStyle name="40% - Accent4" xfId="10" xr:uid="{00000000-0005-0000-0000-000019000000}"/>
    <cellStyle name="40% - Accent5" xfId="11" xr:uid="{00000000-0005-0000-0000-00001A000000}"/>
    <cellStyle name="40% - Accent6" xfId="12" xr:uid="{00000000-0005-0000-0000-00001B000000}"/>
    <cellStyle name="40% - Акцент1 2" xfId="98" xr:uid="{00000000-0005-0000-0000-00001C000000}"/>
    <cellStyle name="40% - Акцент2 2" xfId="99" xr:uid="{00000000-0005-0000-0000-00001D000000}"/>
    <cellStyle name="40% - Акцент3 2" xfId="100" xr:uid="{00000000-0005-0000-0000-00001E000000}"/>
    <cellStyle name="40% - Акцент4 2" xfId="101" xr:uid="{00000000-0005-0000-0000-00001F000000}"/>
    <cellStyle name="40% - Акцент5 2" xfId="102" xr:uid="{00000000-0005-0000-0000-000020000000}"/>
    <cellStyle name="40% - Акцент6 2" xfId="103" xr:uid="{00000000-0005-0000-0000-000021000000}"/>
    <cellStyle name="60% - Accent1" xfId="13" xr:uid="{00000000-0005-0000-0000-000022000000}"/>
    <cellStyle name="60% - Accent2" xfId="14" xr:uid="{00000000-0005-0000-0000-000023000000}"/>
    <cellStyle name="60% - Accent3" xfId="15" xr:uid="{00000000-0005-0000-0000-000024000000}"/>
    <cellStyle name="60% - Accent4" xfId="16" xr:uid="{00000000-0005-0000-0000-000025000000}"/>
    <cellStyle name="60% - Accent5" xfId="17" xr:uid="{00000000-0005-0000-0000-000026000000}"/>
    <cellStyle name="60% - Accent6" xfId="18" xr:uid="{00000000-0005-0000-0000-000027000000}"/>
    <cellStyle name="60% - Акцент1 2" xfId="104" xr:uid="{00000000-0005-0000-0000-000028000000}"/>
    <cellStyle name="60% - Акцент2 2" xfId="105" xr:uid="{00000000-0005-0000-0000-000029000000}"/>
    <cellStyle name="60% - Акцент3 2" xfId="106" xr:uid="{00000000-0005-0000-0000-00002A000000}"/>
    <cellStyle name="60% - Акцент4 2" xfId="107" xr:uid="{00000000-0005-0000-0000-00002B000000}"/>
    <cellStyle name="60% - Акцент5 2" xfId="108" xr:uid="{00000000-0005-0000-0000-00002C000000}"/>
    <cellStyle name="60% - Акцент6 2" xfId="109" xr:uid="{00000000-0005-0000-0000-00002D000000}"/>
    <cellStyle name="Accent1" xfId="19" xr:uid="{00000000-0005-0000-0000-00002E000000}"/>
    <cellStyle name="Accent2" xfId="20" xr:uid="{00000000-0005-0000-0000-00002F000000}"/>
    <cellStyle name="Accent3" xfId="21" xr:uid="{00000000-0005-0000-0000-000030000000}"/>
    <cellStyle name="Accent4" xfId="22" xr:uid="{00000000-0005-0000-0000-000031000000}"/>
    <cellStyle name="Accent5" xfId="23" xr:uid="{00000000-0005-0000-0000-000032000000}"/>
    <cellStyle name="Accent6" xfId="24" xr:uid="{00000000-0005-0000-0000-000033000000}"/>
    <cellStyle name="Activity" xfId="171" xr:uid="{00000000-0005-0000-0000-000034000000}"/>
    <cellStyle name="Ãèïåðññûëêà" xfId="110" xr:uid="{00000000-0005-0000-0000-000035000000}"/>
    <cellStyle name="Bad" xfId="25" xr:uid="{00000000-0005-0000-0000-000036000000}"/>
    <cellStyle name="Calculation" xfId="26" xr:uid="{00000000-0005-0000-0000-000037000000}"/>
    <cellStyle name="Check Cell" xfId="27" xr:uid="{00000000-0005-0000-0000-000038000000}"/>
    <cellStyle name="Comma" xfId="60" builtinId="3"/>
    <cellStyle name="Comma 2" xfId="80" xr:uid="{00000000-0005-0000-0000-000039000000}"/>
    <cellStyle name="Comma 2 2" xfId="66" xr:uid="{00000000-0005-0000-0000-00003A000000}"/>
    <cellStyle name="Comma 2 3" xfId="83" xr:uid="{00000000-0005-0000-0000-00003B000000}"/>
    <cellStyle name="Comma 3" xfId="85" xr:uid="{00000000-0005-0000-0000-00003C000000}"/>
    <cellStyle name="Comma 4" xfId="111" xr:uid="{00000000-0005-0000-0000-00003D000000}"/>
    <cellStyle name="Comma 5" xfId="112" xr:uid="{00000000-0005-0000-0000-00003E000000}"/>
    <cellStyle name="Comma 6" xfId="175" xr:uid="{107D70B8-9F5C-4DFC-95ED-C3BA86A9D5E4}"/>
    <cellStyle name="Euro" xfId="28" xr:uid="{00000000-0005-0000-0000-00003F000000}"/>
    <cellStyle name="Euro 2" xfId="113" xr:uid="{00000000-0005-0000-0000-000040000000}"/>
    <cellStyle name="Explanatory Text" xfId="29" xr:uid="{00000000-0005-0000-0000-000041000000}"/>
    <cellStyle name="Good" xfId="30" xr:uid="{00000000-0005-0000-0000-000042000000}"/>
    <cellStyle name="Heading 1" xfId="31" xr:uid="{00000000-0005-0000-0000-000043000000}"/>
    <cellStyle name="Heading 2" xfId="32" xr:uid="{00000000-0005-0000-0000-000044000000}"/>
    <cellStyle name="Heading 3" xfId="33" xr:uid="{00000000-0005-0000-0000-000045000000}"/>
    <cellStyle name="Heading 4" xfId="34" xr:uid="{00000000-0005-0000-0000-000046000000}"/>
    <cellStyle name="Hyperlink 2" xfId="72" xr:uid="{00000000-0005-0000-0000-000047000000}"/>
    <cellStyle name="Hyperlink 3" xfId="114" xr:uid="{00000000-0005-0000-0000-000048000000}"/>
    <cellStyle name="info" xfId="115" xr:uid="{00000000-0005-0000-0000-000049000000}"/>
    <cellStyle name="Input" xfId="35" xr:uid="{00000000-0005-0000-0000-00004A000000}"/>
    <cellStyle name="Îòêðûâàâøàÿñÿ ãèïåðññûëêà" xfId="116" xr:uid="{00000000-0005-0000-0000-00004B000000}"/>
    <cellStyle name="Linked Cell" xfId="36" xr:uid="{00000000-0005-0000-0000-00004C000000}"/>
    <cellStyle name="ListData" xfId="117" xr:uid="{00000000-0005-0000-0000-00004D000000}"/>
    <cellStyle name="Millares 2" xfId="37" xr:uid="{00000000-0005-0000-0000-00004E000000}"/>
    <cellStyle name="Normal" xfId="0" builtinId="0"/>
    <cellStyle name="Normal 10" xfId="118" xr:uid="{00000000-0005-0000-0000-00004F000000}"/>
    <cellStyle name="Normal 11" xfId="119" xr:uid="{00000000-0005-0000-0000-000050000000}"/>
    <cellStyle name="Normal 12" xfId="170" xr:uid="{00000000-0005-0000-0000-000051000000}"/>
    <cellStyle name="Normal 2" xfId="38" xr:uid="{00000000-0005-0000-0000-000052000000}"/>
    <cellStyle name="Normal 2 10" xfId="172" xr:uid="{C8867BCA-5F74-47A7-943E-8AB76908CFF8}"/>
    <cellStyle name="Normal 2 2" xfId="39" xr:uid="{00000000-0005-0000-0000-000053000000}"/>
    <cellStyle name="Normal 2 2 2" xfId="82" xr:uid="{00000000-0005-0000-0000-000054000000}"/>
    <cellStyle name="Normal 2 3" xfId="40" xr:uid="{00000000-0005-0000-0000-000055000000}"/>
    <cellStyle name="Normal 2 4" xfId="41" xr:uid="{00000000-0005-0000-0000-000056000000}"/>
    <cellStyle name="Normal 2 5" xfId="42" xr:uid="{00000000-0005-0000-0000-000057000000}"/>
    <cellStyle name="Normal 2 6" xfId="43" xr:uid="{00000000-0005-0000-0000-000058000000}"/>
    <cellStyle name="Normal 2 7" xfId="44" xr:uid="{00000000-0005-0000-0000-000059000000}"/>
    <cellStyle name="Normal 2 8" xfId="45" xr:uid="{00000000-0005-0000-0000-00005A000000}"/>
    <cellStyle name="Normal 2 9" xfId="63" xr:uid="{00000000-0005-0000-0000-00005B000000}"/>
    <cellStyle name="Normal 2_Dashboard ver 2.2 ES" xfId="46" xr:uid="{00000000-0005-0000-0000-00005C000000}"/>
    <cellStyle name="Normal 2_Prototipo" xfId="47" xr:uid="{00000000-0005-0000-0000-00005D000000}"/>
    <cellStyle name="Normal 3" xfId="48" xr:uid="{00000000-0005-0000-0000-00005E000000}"/>
    <cellStyle name="Normal 3 2" xfId="73" xr:uid="{00000000-0005-0000-0000-00005F000000}"/>
    <cellStyle name="Normal 3 3" xfId="179" xr:uid="{2DF226B8-51CE-4FD6-A53E-CFD64CE325C2}"/>
    <cellStyle name="Normal 4" xfId="49" xr:uid="{00000000-0005-0000-0000-000060000000}"/>
    <cellStyle name="Normal 4 2" xfId="74" xr:uid="{00000000-0005-0000-0000-000061000000}"/>
    <cellStyle name="Normal 4 3" xfId="180" xr:uid="{0F51486F-91BF-4A27-A4D1-D9643F1975F9}"/>
    <cellStyle name="Normal 5" xfId="50" xr:uid="{00000000-0005-0000-0000-000062000000}"/>
    <cellStyle name="Normal 5 2" xfId="76" xr:uid="{00000000-0005-0000-0000-000063000000}"/>
    <cellStyle name="Normal 5 3" xfId="75" xr:uid="{00000000-0005-0000-0000-000064000000}"/>
    <cellStyle name="Normal 5 4" xfId="177" xr:uid="{0370DD6E-FD30-4A2B-A2DB-CDDD337C3F86}"/>
    <cellStyle name="Normal 6" xfId="51" xr:uid="{00000000-0005-0000-0000-000065000000}"/>
    <cellStyle name="Normal 6 2" xfId="77" xr:uid="{00000000-0005-0000-0000-000066000000}"/>
    <cellStyle name="Normal 6 3" xfId="178" xr:uid="{715A93B3-87FC-4E0A-98DC-3C842A381504}"/>
    <cellStyle name="Normal 7" xfId="62" xr:uid="{00000000-0005-0000-0000-000067000000}"/>
    <cellStyle name="Normal 7 2" xfId="120" xr:uid="{00000000-0005-0000-0000-000068000000}"/>
    <cellStyle name="Normal 8" xfId="121" xr:uid="{00000000-0005-0000-0000-000069000000}"/>
    <cellStyle name="Normal 8 2" xfId="122" xr:uid="{00000000-0005-0000-0000-00006A000000}"/>
    <cellStyle name="Normal 9" xfId="123" xr:uid="{00000000-0005-0000-0000-00006B000000}"/>
    <cellStyle name="Note" xfId="52" xr:uid="{00000000-0005-0000-0000-00006D000000}"/>
    <cellStyle name="Output" xfId="53" xr:uid="{00000000-0005-0000-0000-00006E000000}"/>
    <cellStyle name="Per cent" xfId="59" builtinId="5"/>
    <cellStyle name="Percent 2" xfId="64" xr:uid="{00000000-0005-0000-0000-00006F000000}"/>
    <cellStyle name="Percent 3" xfId="65" xr:uid="{00000000-0005-0000-0000-000070000000}"/>
    <cellStyle name="Percent 4" xfId="86" xr:uid="{00000000-0005-0000-0000-000071000000}"/>
    <cellStyle name="Percent 5" xfId="124" xr:uid="{00000000-0005-0000-0000-000072000000}"/>
    <cellStyle name="Percent 6" xfId="125" xr:uid="{00000000-0005-0000-0000-000073000000}"/>
    <cellStyle name="Percent 7" xfId="126" xr:uid="{00000000-0005-0000-0000-000074000000}"/>
    <cellStyle name="Percent 8" xfId="127" xr:uid="{00000000-0005-0000-0000-000075000000}"/>
    <cellStyle name="Percent 9" xfId="173" xr:uid="{D492BCB1-831D-4660-8590-0591570BC9C8}"/>
    <cellStyle name="SheetHeader" xfId="128" xr:uid="{00000000-0005-0000-0000-000076000000}"/>
    <cellStyle name="TableHeader" xfId="129" xr:uid="{00000000-0005-0000-0000-000077000000}"/>
    <cellStyle name="Title" xfId="54" xr:uid="{00000000-0005-0000-0000-000078000000}"/>
    <cellStyle name="Título 3 3" xfId="55" xr:uid="{00000000-0005-0000-0000-000079000000}"/>
    <cellStyle name="Título 3 3 2" xfId="176" xr:uid="{7806846E-6FC1-42BF-8883-B8FD23144D5D}"/>
    <cellStyle name="Título 3 3_Prototipo" xfId="56" xr:uid="{00000000-0005-0000-0000-00007A000000}"/>
    <cellStyle name="Título 3 7" xfId="57" xr:uid="{00000000-0005-0000-0000-00007C000000}"/>
    <cellStyle name="Título 3 7 2" xfId="174" xr:uid="{5E1358DF-4205-4BA8-8420-A6FE3C861E57}"/>
    <cellStyle name="Warning Text" xfId="58" xr:uid="{00000000-0005-0000-0000-00007D000000}"/>
    <cellStyle name="Акцент1 2" xfId="130" xr:uid="{00000000-0005-0000-0000-00007E000000}"/>
    <cellStyle name="Акцент2 2" xfId="131" xr:uid="{00000000-0005-0000-0000-00007F000000}"/>
    <cellStyle name="Акцент3 2" xfId="132" xr:uid="{00000000-0005-0000-0000-000080000000}"/>
    <cellStyle name="Акцент4 2" xfId="133" xr:uid="{00000000-0005-0000-0000-000081000000}"/>
    <cellStyle name="Акцент5 2" xfId="134" xr:uid="{00000000-0005-0000-0000-000082000000}"/>
    <cellStyle name="Акцент6 2" xfId="135" xr:uid="{00000000-0005-0000-0000-000083000000}"/>
    <cellStyle name="Ввод  2" xfId="136" xr:uid="{00000000-0005-0000-0000-000084000000}"/>
    <cellStyle name="Вывод 2" xfId="137" xr:uid="{00000000-0005-0000-0000-000085000000}"/>
    <cellStyle name="Вычисление 2" xfId="138" xr:uid="{00000000-0005-0000-0000-000086000000}"/>
    <cellStyle name="Гиперссылка 2" xfId="139" xr:uid="{00000000-0005-0000-0000-000087000000}"/>
    <cellStyle name="Гиперссылка 3" xfId="140" xr:uid="{00000000-0005-0000-0000-000088000000}"/>
    <cellStyle name="Заголовок 1 2" xfId="141" xr:uid="{00000000-0005-0000-0000-000089000000}"/>
    <cellStyle name="Заголовок 2 2" xfId="142" xr:uid="{00000000-0005-0000-0000-00008A000000}"/>
    <cellStyle name="Заголовок 3 2" xfId="143" xr:uid="{00000000-0005-0000-0000-00008B000000}"/>
    <cellStyle name="Заголовок 4 2" xfId="144" xr:uid="{00000000-0005-0000-0000-00008C000000}"/>
    <cellStyle name="Итог 2" xfId="145" xr:uid="{00000000-0005-0000-0000-00008D000000}"/>
    <cellStyle name="Контрольная ячейка 2" xfId="146" xr:uid="{00000000-0005-0000-0000-00008E000000}"/>
    <cellStyle name="Название 2" xfId="147" xr:uid="{00000000-0005-0000-0000-00008F000000}"/>
    <cellStyle name="Нейтральный 2" xfId="148" xr:uid="{00000000-0005-0000-0000-000090000000}"/>
    <cellStyle name="Обычный 2" xfId="78" xr:uid="{00000000-0005-0000-0000-000092000000}"/>
    <cellStyle name="Обычный 2 2" xfId="149" xr:uid="{00000000-0005-0000-0000-000093000000}"/>
    <cellStyle name="Обычный 2 3" xfId="150" xr:uid="{00000000-0005-0000-0000-000094000000}"/>
    <cellStyle name="Обычный 3" xfId="79" xr:uid="{00000000-0005-0000-0000-000095000000}"/>
    <cellStyle name="Обычный 4" xfId="151" xr:uid="{00000000-0005-0000-0000-000096000000}"/>
    <cellStyle name="Обычный 4 2" xfId="152" xr:uid="{00000000-0005-0000-0000-000097000000}"/>
    <cellStyle name="Обычный 4_KGZ Rnd 7 budget HIV" xfId="153" xr:uid="{00000000-0005-0000-0000-000098000000}"/>
    <cellStyle name="Обычный 5" xfId="154" xr:uid="{00000000-0005-0000-0000-000099000000}"/>
    <cellStyle name="Обычный 6" xfId="155" xr:uid="{00000000-0005-0000-0000-00009A000000}"/>
    <cellStyle name="Обычный 7" xfId="61" xr:uid="{00000000-0005-0000-0000-00009B000000}"/>
    <cellStyle name="Плохой 2" xfId="156" xr:uid="{00000000-0005-0000-0000-00009C000000}"/>
    <cellStyle name="Пояснение 2" xfId="157" xr:uid="{00000000-0005-0000-0000-00009D000000}"/>
    <cellStyle name="Примечание 2" xfId="158" xr:uid="{00000000-0005-0000-0000-00009E000000}"/>
    <cellStyle name="Процентный 2" xfId="159" xr:uid="{00000000-0005-0000-0000-0000A0000000}"/>
    <cellStyle name="Процентный 3" xfId="81" xr:uid="{00000000-0005-0000-0000-0000A1000000}"/>
    <cellStyle name="Связанная ячейка 2" xfId="160" xr:uid="{00000000-0005-0000-0000-0000A2000000}"/>
    <cellStyle name="Текст предупреждения 2" xfId="161" xr:uid="{00000000-0005-0000-0000-0000A3000000}"/>
    <cellStyle name="Финансовый 2" xfId="162" xr:uid="{00000000-0005-0000-0000-0000A5000000}"/>
    <cellStyle name="Финансовый 2 2" xfId="163" xr:uid="{00000000-0005-0000-0000-0000A6000000}"/>
    <cellStyle name="Финансовый 3" xfId="164" xr:uid="{00000000-0005-0000-0000-0000A7000000}"/>
    <cellStyle name="Финансовый 4" xfId="165" xr:uid="{00000000-0005-0000-0000-0000A8000000}"/>
    <cellStyle name="Финансовый 5" xfId="166" xr:uid="{00000000-0005-0000-0000-0000A9000000}"/>
    <cellStyle name="Финансовый 6" xfId="167" xr:uid="{00000000-0005-0000-0000-0000AA000000}"/>
    <cellStyle name="Финансовый 7" xfId="84" xr:uid="{00000000-0005-0000-0000-0000AB000000}"/>
    <cellStyle name="Хороший 2" xfId="169" xr:uid="{00000000-0005-0000-0000-0000AC000000}"/>
    <cellStyle name="Хороший 3" xfId="168" xr:uid="{00000000-0005-0000-0000-0000AD000000}"/>
  </cellStyles>
  <dxfs count="80">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rgb="FFFF0000"/>
        </patternFill>
      </fill>
    </dxf>
    <dxf>
      <fill>
        <patternFill>
          <bgColor rgb="FFFFFF00"/>
        </patternFill>
      </fill>
    </dxf>
    <dxf>
      <fill>
        <patternFill>
          <bgColor rgb="FF00FF0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rgb="FF99FF33"/>
        </patternFill>
      </fill>
    </dxf>
    <dxf>
      <fill>
        <patternFill>
          <bgColor rgb="FFFF505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8"/>
        </patternFill>
      </fill>
    </dxf>
    <dxf>
      <font>
        <condense val="0"/>
        <extend val="0"/>
        <color indexed="9"/>
      </font>
      <fill>
        <patternFill>
          <bgColor indexed="8"/>
        </patternFill>
      </fill>
    </dxf>
    <dxf>
      <fill>
        <patternFill>
          <bgColor rgb="FF66FF33"/>
        </patternFill>
      </fill>
    </dxf>
    <dxf>
      <fill>
        <patternFill>
          <bgColor indexed="42"/>
        </patternFill>
      </fill>
    </dxf>
    <dxf>
      <fill>
        <patternFill>
          <bgColor indexed="42"/>
        </patternFill>
      </fill>
    </dxf>
    <dxf>
      <font>
        <condense val="0"/>
        <extend val="0"/>
        <color indexed="9"/>
      </font>
      <fill>
        <patternFill>
          <bgColor indexed="63"/>
        </patternFill>
      </fill>
    </dxf>
    <dxf>
      <fill>
        <patternFill>
          <bgColor indexed="42"/>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ill>
        <patternFill>
          <bgColor indexed="42"/>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rgb="FFFF0000"/>
        </patternFill>
      </fill>
    </dxf>
    <dxf>
      <fill>
        <patternFill>
          <bgColor rgb="FFFFFF00"/>
        </patternFill>
      </fill>
    </dxf>
    <dxf>
      <fill>
        <patternFill>
          <bgColor rgb="FF00FF0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color indexed="9"/>
      </font>
      <fill>
        <patternFill>
          <bgColor indexed="10"/>
        </patternFill>
      </fill>
    </dxf>
    <dxf>
      <font>
        <condense val="0"/>
        <extend val="0"/>
        <color auto="1"/>
      </font>
      <fill>
        <patternFill>
          <bgColor indexed="51"/>
        </patternFill>
      </fill>
    </dxf>
    <dxf>
      <font>
        <condense val="0"/>
        <extend val="0"/>
        <color indexed="8"/>
      </font>
      <fill>
        <patternFill>
          <bgColor indexed="43"/>
        </patternFill>
      </fill>
    </dxf>
    <dxf>
      <fill>
        <patternFill>
          <bgColor rgb="FF99FF33"/>
        </patternFill>
      </fill>
    </dxf>
    <dxf>
      <fill>
        <patternFill>
          <bgColor rgb="FFFF505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8"/>
        </patternFill>
      </fill>
    </dxf>
    <dxf>
      <font>
        <condense val="0"/>
        <extend val="0"/>
        <color indexed="9"/>
      </font>
      <fill>
        <patternFill>
          <bgColor indexed="8"/>
        </patternFill>
      </fill>
    </dxf>
    <dxf>
      <fill>
        <patternFill>
          <bgColor rgb="FF66FF33"/>
        </patternFill>
      </fill>
    </dxf>
    <dxf>
      <fill>
        <patternFill>
          <bgColor indexed="42"/>
        </patternFill>
      </fill>
    </dxf>
    <dxf>
      <fill>
        <patternFill>
          <bgColor indexed="42"/>
        </patternFill>
      </fill>
    </dxf>
    <dxf>
      <font>
        <condense val="0"/>
        <extend val="0"/>
        <color indexed="9"/>
      </font>
      <fill>
        <patternFill>
          <bgColor indexed="63"/>
        </patternFill>
      </fill>
    </dxf>
    <dxf>
      <fill>
        <patternFill>
          <bgColor indexed="42"/>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5.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6.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7.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8.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4"/>
          <c:y val="5.2401746724890827E-2"/>
          <c:w val="0.80996068152031453"/>
          <c:h val="0.64192139737991305"/>
        </c:manualLayout>
      </c:layout>
      <c:barChart>
        <c:barDir val="col"/>
        <c:grouping val="clustered"/>
        <c:varyColors val="0"/>
        <c:ser>
          <c:idx val="0"/>
          <c:order val="0"/>
          <c:tx>
            <c:strRef>
              <c:f>'Data Input'!$A$33</c:f>
              <c:strCache>
                <c:ptCount val="1"/>
                <c:pt idx="0">
                  <c:v>Total budget</c:v>
                </c:pt>
              </c:strCache>
            </c:strRef>
          </c:tx>
          <c:spPr>
            <a:solidFill>
              <a:srgbClr val="993366"/>
            </a:solidFill>
            <a:ln w="3175">
              <a:solidFill>
                <a:srgbClr val="000000"/>
              </a:solidFill>
              <a:prstDash val="solid"/>
            </a:ln>
            <a:effectLst>
              <a:outerShdw blurRad="63500" dist="38100" dir="2700000" algn="br">
                <a:srgbClr val="000000"/>
              </a:outerShdw>
            </a:effectLst>
          </c:spPr>
          <c:invertIfNegative val="0"/>
          <c:val>
            <c:numRef>
              <c:f>'Data Input'!$B$33:$M$33</c:f>
              <c:numCache>
                <c:formatCode>#,##0</c:formatCode>
                <c:ptCount val="12"/>
                <c:pt idx="0">
                  <c:v>5708999.7549785394</c:v>
                </c:pt>
                <c:pt idx="1">
                  <c:v>16073556.164202979</c:v>
                </c:pt>
                <c:pt idx="2">
                  <c:v>32756947.425098851</c:v>
                </c:pt>
              </c:numCache>
            </c:numRef>
          </c:val>
          <c:extLst>
            <c:ext xmlns:c16="http://schemas.microsoft.com/office/drawing/2014/chart" uri="{C3380CC4-5D6E-409C-BE32-E72D297353CC}">
              <c16:uniqueId val="{00000000-0A43-47EE-8EF9-5704D8A78677}"/>
            </c:ext>
          </c:extLst>
        </c:ser>
        <c:ser>
          <c:idx val="1"/>
          <c:order val="1"/>
          <c:tx>
            <c:strRef>
              <c:f>'Data Input'!$A$34</c:f>
              <c:strCache>
                <c:ptCount val="1"/>
                <c:pt idx="0">
                  <c:v>Total payment amount</c:v>
                </c:pt>
              </c:strCache>
            </c:strRef>
          </c:tx>
          <c:spPr>
            <a:solidFill>
              <a:srgbClr val="0070C0"/>
            </a:solidFill>
            <a:ln w="3175">
              <a:solidFill>
                <a:srgbClr val="000000"/>
              </a:solidFill>
              <a:prstDash val="solid"/>
            </a:ln>
            <a:effectLst>
              <a:outerShdw blurRad="50800" dist="50800" dir="5400000" algn="ctr" rotWithShape="0">
                <a:schemeClr val="tx1"/>
              </a:outerShdw>
            </a:effectLst>
          </c:spPr>
          <c:invertIfNegative val="0"/>
          <c:val>
            <c:numRef>
              <c:f>'Data Input'!$B$34:$M$34</c:f>
              <c:numCache>
                <c:formatCode>#,##0</c:formatCode>
                <c:ptCount val="12"/>
                <c:pt idx="0">
                  <c:v>18761018</c:v>
                </c:pt>
                <c:pt idx="1">
                  <c:v>21957907.009999998</c:v>
                </c:pt>
                <c:pt idx="2">
                  <c:v>33330456.960000001</c:v>
                </c:pt>
              </c:numCache>
            </c:numRef>
          </c:val>
          <c:extLst>
            <c:ext xmlns:c16="http://schemas.microsoft.com/office/drawing/2014/chart" uri="{C3380CC4-5D6E-409C-BE32-E72D297353CC}">
              <c16:uniqueId val="{00000001-0A43-47EE-8EF9-5704D8A78677}"/>
            </c:ext>
          </c:extLst>
        </c:ser>
        <c:dLbls>
          <c:showLegendKey val="0"/>
          <c:showVal val="0"/>
          <c:showCatName val="0"/>
          <c:showSerName val="0"/>
          <c:showPercent val="0"/>
          <c:showBubbleSize val="0"/>
        </c:dLbls>
        <c:gapWidth val="70"/>
        <c:axId val="1388296480"/>
        <c:axId val="1388287232"/>
      </c:barChart>
      <c:catAx>
        <c:axId val="1388296480"/>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endParaRPr lang="ru-RU"/>
              </a:p>
            </c:rich>
          </c:tx>
          <c:layout>
            <c:manualLayout>
              <c:xMode val="edge"/>
              <c:yMode val="edge"/>
              <c:x val="0.48066291713535836"/>
              <c:y val="0.78695641210787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1388287232"/>
        <c:crosses val="autoZero"/>
        <c:auto val="1"/>
        <c:lblAlgn val="ctr"/>
        <c:lblOffset val="100"/>
        <c:tickLblSkip val="1"/>
        <c:tickMarkSkip val="1"/>
        <c:noMultiLvlLbl val="0"/>
      </c:catAx>
      <c:valAx>
        <c:axId val="13882872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1388296480"/>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735" b="0" i="0" u="none" strike="noStrike" baseline="0">
                <a:solidFill>
                  <a:srgbClr val="000000"/>
                </a:solidFill>
                <a:latin typeface="Arial"/>
                <a:ea typeface="Arial"/>
                <a:cs typeface="Arial"/>
              </a:defRPr>
            </a:pPr>
            <a:endParaRPr lang="en-US"/>
          </a:p>
        </c:txPr>
      </c:legendEntry>
      <c:legendEntry>
        <c:idx val="1"/>
        <c:txPr>
          <a:bodyPr/>
          <a:lstStyle/>
          <a:p>
            <a:pPr>
              <a:defRPr sz="735" b="0" i="0" u="none" strike="noStrike" baseline="0">
                <a:solidFill>
                  <a:srgbClr val="000000"/>
                </a:solidFill>
                <a:latin typeface="Arial"/>
                <a:ea typeface="Arial"/>
                <a:cs typeface="Arial"/>
              </a:defRPr>
            </a:pPr>
            <a:endParaRPr lang="en-US"/>
          </a:p>
        </c:txPr>
      </c:legendEntry>
      <c:layout>
        <c:manualLayout>
          <c:xMode val="edge"/>
          <c:yMode val="edge"/>
          <c:x val="9.0909090909091023E-2"/>
          <c:y val="0.88209606986899558"/>
          <c:w val="0.84415584415584444"/>
          <c:h val="0.10480349344978168"/>
        </c:manualLayout>
      </c:layout>
      <c:overlay val="0"/>
      <c:spPr>
        <a:solidFill>
          <a:srgbClr val="FFFF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785501950377748"/>
          <c:y val="8.7064591064048028E-2"/>
          <c:w val="0.60327318841303279"/>
          <c:h val="0.55248767828383549"/>
        </c:manualLayout>
      </c:layout>
      <c:barChart>
        <c:barDir val="bar"/>
        <c:grouping val="percentStacked"/>
        <c:varyColors val="0"/>
        <c:ser>
          <c:idx val="1"/>
          <c:order val="0"/>
          <c:tx>
            <c:v>Received</c:v>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10EC-4E35-BA7D-5D43EEA8A9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Input'!$A$110:$A$114</c:f>
              <c:strCache>
                <c:ptCount val="5"/>
                <c:pt idx="1">
                  <c:v>SSR Reports to SR HIV/AIDS</c:v>
                </c:pt>
                <c:pt idx="2">
                  <c:v>SR Reports to PR HIV/AIDS</c:v>
                </c:pt>
                <c:pt idx="3">
                  <c:v>SSR Reports to SR TB</c:v>
                </c:pt>
                <c:pt idx="4">
                  <c:v>SR Reports to PR TB</c:v>
                </c:pt>
              </c:strCache>
            </c:strRef>
          </c:cat>
          <c:val>
            <c:numRef>
              <c:f>'Data Input'!$C$110:$C$114</c:f>
              <c:numCache>
                <c:formatCode>0</c:formatCode>
                <c:ptCount val="5"/>
                <c:pt idx="0" formatCode="General">
                  <c:v>0</c:v>
                </c:pt>
                <c:pt idx="1">
                  <c:v>0</c:v>
                </c:pt>
                <c:pt idx="2">
                  <c:v>35</c:v>
                </c:pt>
                <c:pt idx="4">
                  <c:v>7</c:v>
                </c:pt>
              </c:numCache>
            </c:numRef>
          </c:val>
          <c:extLst>
            <c:ext xmlns:c16="http://schemas.microsoft.com/office/drawing/2014/chart" uri="{C3380CC4-5D6E-409C-BE32-E72D297353CC}">
              <c16:uniqueId val="{00000001-10EC-4E35-BA7D-5D43EEA8A97D}"/>
            </c:ext>
          </c:extLst>
        </c:ser>
        <c:ser>
          <c:idx val="2"/>
          <c:order val="1"/>
          <c:tx>
            <c:v>Expected to be received</c:v>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10EC-4E35-BA7D-5D43EEA8A9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Input'!$A$110:$A$114</c:f>
              <c:strCache>
                <c:ptCount val="5"/>
                <c:pt idx="1">
                  <c:v>SSR Reports to SR HIV/AIDS</c:v>
                </c:pt>
                <c:pt idx="2">
                  <c:v>SR Reports to PR HIV/AIDS</c:v>
                </c:pt>
                <c:pt idx="3">
                  <c:v>SSR Reports to SR TB</c:v>
                </c:pt>
                <c:pt idx="4">
                  <c:v>SR Reports to PR TB</c:v>
                </c:pt>
              </c:strCache>
            </c:strRef>
          </c:cat>
          <c:val>
            <c:numRef>
              <c:f>'Data Input'!$D$110:$D$114</c:f>
              <c:numCache>
                <c:formatCode>0</c:formatCode>
                <c:ptCount val="5"/>
                <c:pt idx="0" formatCode="General">
                  <c:v>0</c:v>
                </c:pt>
                <c:pt idx="1">
                  <c:v>0</c:v>
                </c:pt>
                <c:pt idx="2">
                  <c:v>0</c:v>
                </c:pt>
                <c:pt idx="3">
                  <c:v>0</c:v>
                </c:pt>
                <c:pt idx="4">
                  <c:v>0</c:v>
                </c:pt>
              </c:numCache>
            </c:numRef>
          </c:val>
          <c:extLst>
            <c:ext xmlns:c16="http://schemas.microsoft.com/office/drawing/2014/chart" uri="{C3380CC4-5D6E-409C-BE32-E72D297353CC}">
              <c16:uniqueId val="{00000003-10EC-4E35-BA7D-5D43EEA8A97D}"/>
            </c:ext>
          </c:extLst>
        </c:ser>
        <c:dLbls>
          <c:showLegendKey val="0"/>
          <c:showVal val="0"/>
          <c:showCatName val="0"/>
          <c:showSerName val="0"/>
          <c:showPercent val="0"/>
          <c:showBubbleSize val="0"/>
        </c:dLbls>
        <c:gapWidth val="150"/>
        <c:overlap val="100"/>
        <c:axId val="1388293216"/>
        <c:axId val="1388288320"/>
      </c:barChart>
      <c:catAx>
        <c:axId val="1388293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8288320"/>
        <c:crosses val="autoZero"/>
        <c:auto val="1"/>
        <c:lblAlgn val="ctr"/>
        <c:lblOffset val="100"/>
        <c:noMultiLvlLbl val="0"/>
      </c:catAx>
      <c:valAx>
        <c:axId val="138828832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8293216"/>
        <c:crosses val="max"/>
        <c:crossBetween val="between"/>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29364558711928962"/>
          <c:y val="0.80823145428488985"/>
          <c:w val="0.45690772078904501"/>
          <c:h val="0.104651844154626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1" l="0.75000000000000033" r="0.75000000000000033"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chemeClr val="accent1"/>
            </a:solidFill>
            <a:ln>
              <a:noFill/>
            </a:ln>
            <a:effectLst/>
          </c:spPr>
          <c:invertIfNegative val="0"/>
          <c:cat>
            <c:strRef>
              <c:f>'Data Input'!$A$89:$A$92</c:f>
              <c:strCache>
                <c:ptCount val="4"/>
                <c:pt idx="0">
                  <c:v>Preliminary conditions (PCs) HIV/AIDS</c:v>
                </c:pt>
                <c:pt idx="1">
                  <c:v>Time-bound actions (TBA) HIV/AIDS</c:v>
                </c:pt>
                <c:pt idx="2">
                  <c:v>Preliminary Conditions (PCs) TB</c:v>
                </c:pt>
                <c:pt idx="3">
                  <c:v>Time-bound actions (TBA)  TB</c:v>
                </c:pt>
              </c:strCache>
            </c:strRef>
          </c:cat>
          <c:val>
            <c:numLit>
              <c:formatCode>General</c:formatCode>
              <c:ptCount val="4"/>
              <c:pt idx="0">
                <c:v>0</c:v>
              </c:pt>
              <c:pt idx="1">
                <c:v>0</c:v>
              </c:pt>
              <c:pt idx="2">
                <c:v>0</c:v>
              </c:pt>
              <c:pt idx="3">
                <c:v>0</c:v>
              </c:pt>
            </c:numLit>
          </c:val>
          <c:extLst>
            <c:ext xmlns:c16="http://schemas.microsoft.com/office/drawing/2014/chart" uri="{C3380CC4-5D6E-409C-BE32-E72D297353CC}">
              <c16:uniqueId val="{00000000-9E67-4D7D-BE0E-C99C3E701244}"/>
            </c:ext>
          </c:extLst>
        </c:ser>
        <c:ser>
          <c:idx val="1"/>
          <c:order val="1"/>
          <c:tx>
            <c:strRef>
              <c:f>'Data Input'!$C$88</c:f>
              <c:strCache>
                <c:ptCount val="1"/>
                <c:pt idx="0">
                  <c:v>Completed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Input'!$A$89:$A$92</c:f>
              <c:strCache>
                <c:ptCount val="4"/>
                <c:pt idx="0">
                  <c:v>Preliminary conditions (PCs) HIV/AIDS</c:v>
                </c:pt>
                <c:pt idx="1">
                  <c:v>Time-bound actions (TBA) HIV/AIDS</c:v>
                </c:pt>
                <c:pt idx="2">
                  <c:v>Preliminary Conditions (PCs) TB</c:v>
                </c:pt>
                <c:pt idx="3">
                  <c:v>Time-bound actions (TBA)  TB</c:v>
                </c:pt>
              </c:strCache>
            </c:strRef>
          </c:cat>
          <c:val>
            <c:numRef>
              <c:f>'Data Input'!$C$89:$C$92</c:f>
              <c:numCache>
                <c:formatCode>0</c:formatCode>
                <c:ptCount val="4"/>
                <c:pt idx="0">
                  <c:v>0</c:v>
                </c:pt>
                <c:pt idx="1">
                  <c:v>0</c:v>
                </c:pt>
                <c:pt idx="2">
                  <c:v>0</c:v>
                </c:pt>
                <c:pt idx="3">
                  <c:v>0</c:v>
                </c:pt>
              </c:numCache>
            </c:numRef>
          </c:val>
          <c:extLst>
            <c:ext xmlns:c16="http://schemas.microsoft.com/office/drawing/2014/chart" uri="{C3380CC4-5D6E-409C-BE32-E72D297353CC}">
              <c16:uniqueId val="{00000001-9E67-4D7D-BE0E-C99C3E701244}"/>
            </c:ext>
          </c:extLst>
        </c:ser>
        <c:ser>
          <c:idx val="2"/>
          <c:order val="2"/>
          <c:tx>
            <c:strRef>
              <c:f>'Data Input'!$D$88</c:f>
              <c:strCache>
                <c:ptCount val="1"/>
                <c:pt idx="0">
                  <c:v>Unfulfilled but not overdue</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Input'!$A$89:$A$92</c:f>
              <c:strCache>
                <c:ptCount val="4"/>
                <c:pt idx="0">
                  <c:v>Preliminary conditions (PCs) HIV/AIDS</c:v>
                </c:pt>
                <c:pt idx="1">
                  <c:v>Time-bound actions (TBA) HIV/AIDS</c:v>
                </c:pt>
                <c:pt idx="2">
                  <c:v>Preliminary Conditions (PCs) TB</c:v>
                </c:pt>
                <c:pt idx="3">
                  <c:v>Time-bound actions (TBA)  TB</c:v>
                </c:pt>
              </c:strCache>
            </c:strRef>
          </c:cat>
          <c:val>
            <c:numRef>
              <c:f>'Data Input'!$D$89:$D$92</c:f>
              <c:numCache>
                <c:formatCode>0</c:formatCode>
                <c:ptCount val="4"/>
                <c:pt idx="0">
                  <c:v>0</c:v>
                </c:pt>
                <c:pt idx="1">
                  <c:v>0</c:v>
                </c:pt>
                <c:pt idx="2">
                  <c:v>0</c:v>
                </c:pt>
                <c:pt idx="3">
                  <c:v>0</c:v>
                </c:pt>
              </c:numCache>
            </c:numRef>
          </c:val>
          <c:extLst>
            <c:ext xmlns:c16="http://schemas.microsoft.com/office/drawing/2014/chart" uri="{C3380CC4-5D6E-409C-BE32-E72D297353CC}">
              <c16:uniqueId val="{00000002-9E67-4D7D-BE0E-C99C3E701244}"/>
            </c:ext>
          </c:extLst>
        </c:ser>
        <c:ser>
          <c:idx val="3"/>
          <c:order val="3"/>
          <c:tx>
            <c:v>Unfulfilled and overdue</c:v>
          </c:tx>
          <c:spPr>
            <a:solidFill>
              <a:schemeClr val="accent1">
                <a:lumMod val="60000"/>
              </a:schemeClr>
            </a:solidFill>
            <a:ln>
              <a:noFill/>
            </a:ln>
            <a:effectLst/>
          </c:spPr>
          <c:invertIfNegative val="0"/>
          <c:cat>
            <c:strRef>
              <c:f>'Data Input'!$A$89:$A$92</c:f>
              <c:strCache>
                <c:ptCount val="4"/>
                <c:pt idx="0">
                  <c:v>Preliminary conditions (PCs) HIV/AIDS</c:v>
                </c:pt>
                <c:pt idx="1">
                  <c:v>Time-bound actions (TBA) HIV/AIDS</c:v>
                </c:pt>
                <c:pt idx="2">
                  <c:v>Preliminary Conditions (PCs) TB</c:v>
                </c:pt>
                <c:pt idx="3">
                  <c:v>Time-bound actions (TBA)  TB</c:v>
                </c:pt>
              </c:strCache>
            </c:strRef>
          </c:cat>
          <c:val>
            <c:numLit>
              <c:formatCode>General</c:formatCode>
              <c:ptCount val="4"/>
              <c:pt idx="0">
                <c:v>0</c:v>
              </c:pt>
              <c:pt idx="1">
                <c:v>0</c:v>
              </c:pt>
              <c:pt idx="2">
                <c:v>0</c:v>
              </c:pt>
              <c:pt idx="3">
                <c:v>0</c:v>
              </c:pt>
            </c:numLit>
          </c:val>
          <c:extLst>
            <c:ext xmlns:c16="http://schemas.microsoft.com/office/drawing/2014/chart" uri="{C3380CC4-5D6E-409C-BE32-E72D297353CC}">
              <c16:uniqueId val="{00000003-9E67-4D7D-BE0E-C99C3E701244}"/>
            </c:ext>
          </c:extLst>
        </c:ser>
        <c:dLbls>
          <c:showLegendKey val="0"/>
          <c:showVal val="0"/>
          <c:showCatName val="0"/>
          <c:showSerName val="0"/>
          <c:showPercent val="0"/>
          <c:showBubbleSize val="0"/>
        </c:dLbls>
        <c:gapWidth val="55"/>
        <c:overlap val="100"/>
        <c:axId val="1511067088"/>
        <c:axId val="1511068720"/>
      </c:barChart>
      <c:catAx>
        <c:axId val="1511067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8720"/>
        <c:crosses val="autoZero"/>
        <c:auto val="1"/>
        <c:lblAlgn val="ctr"/>
        <c:lblOffset val="100"/>
        <c:tickLblSkip val="1"/>
        <c:tickMarkSkip val="1"/>
        <c:noMultiLvlLbl val="0"/>
      </c:catAx>
      <c:valAx>
        <c:axId val="151106872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511067088"/>
        <c:crosses val="autoZero"/>
        <c:crossBetween val="between"/>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alignWithMargins="0"/>
    <c:pageMargins b="1" l="0.75000000000000033" r="0.750000000000000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 Input'!$A$98</c:f>
              <c:strCache>
                <c:ptCount val="1"/>
                <c:pt idx="0">
                  <c:v>HIV AIDS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Input'!$B$104:$F$104</c:f>
              <c:strCache>
                <c:ptCount val="5"/>
                <c:pt idx="0">
                  <c:v>Defined</c:v>
                </c:pt>
                <c:pt idx="1">
                  <c:v>Assessed</c:v>
                </c:pt>
                <c:pt idx="2">
                  <c:v>Approved</c:v>
                </c:pt>
                <c:pt idx="3">
                  <c:v>Signatories of the agreement</c:v>
                </c:pt>
                <c:pt idx="4">
                  <c:v>Receiving funding</c:v>
                </c:pt>
              </c:strCache>
            </c:strRef>
          </c:cat>
          <c:val>
            <c:numRef>
              <c:f>'Data Input'!$B$105:$F$105</c:f>
              <c:numCache>
                <c:formatCode>General</c:formatCode>
                <c:ptCount val="5"/>
                <c:pt idx="0">
                  <c:v>22</c:v>
                </c:pt>
                <c:pt idx="1">
                  <c:v>22</c:v>
                </c:pt>
                <c:pt idx="2">
                  <c:v>22</c:v>
                </c:pt>
                <c:pt idx="3">
                  <c:v>22</c:v>
                </c:pt>
                <c:pt idx="4">
                  <c:v>22</c:v>
                </c:pt>
              </c:numCache>
            </c:numRef>
          </c:val>
          <c:extLst>
            <c:ext xmlns:c16="http://schemas.microsoft.com/office/drawing/2014/chart" uri="{C3380CC4-5D6E-409C-BE32-E72D297353CC}">
              <c16:uniqueId val="{00000000-3C2F-4B91-B11C-0BA014ED291D}"/>
            </c:ext>
          </c:extLst>
        </c:ser>
        <c:ser>
          <c:idx val="1"/>
          <c:order val="1"/>
          <c:tx>
            <c:strRef>
              <c:f>'Data Input'!$A$100</c:f>
              <c:strCache>
                <c:ptCount val="1"/>
                <c:pt idx="0">
                  <c:v>General (both components)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Input'!$B$104:$F$104</c:f>
              <c:strCache>
                <c:ptCount val="5"/>
                <c:pt idx="0">
                  <c:v>Defined</c:v>
                </c:pt>
                <c:pt idx="1">
                  <c:v>Assessed</c:v>
                </c:pt>
                <c:pt idx="2">
                  <c:v>Approved</c:v>
                </c:pt>
                <c:pt idx="3">
                  <c:v>Signatories of the agreement</c:v>
                </c:pt>
                <c:pt idx="4">
                  <c:v>Receiving funding</c:v>
                </c:pt>
              </c:strCache>
            </c:strRef>
          </c:cat>
          <c:val>
            <c:numRef>
              <c:f>'Data Input'!$B$106:$F$106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3C2F-4B91-B11C-0BA014ED291D}"/>
            </c:ext>
          </c:extLst>
        </c:ser>
        <c:dLbls>
          <c:showLegendKey val="0"/>
          <c:showVal val="1"/>
          <c:showCatName val="0"/>
          <c:showSerName val="0"/>
          <c:showPercent val="0"/>
          <c:showBubbleSize val="0"/>
        </c:dLbls>
        <c:gapWidth val="150"/>
        <c:overlap val="-25"/>
        <c:axId val="1511067632"/>
        <c:axId val="1511058928"/>
      </c:barChart>
      <c:catAx>
        <c:axId val="151106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58928"/>
        <c:crosses val="autoZero"/>
        <c:auto val="1"/>
        <c:lblAlgn val="ctr"/>
        <c:lblOffset val="100"/>
        <c:noMultiLvlLbl val="0"/>
      </c:catAx>
      <c:valAx>
        <c:axId val="1511058928"/>
        <c:scaling>
          <c:orientation val="minMax"/>
        </c:scaling>
        <c:delete val="1"/>
        <c:axPos val="l"/>
        <c:numFmt formatCode="General" sourceLinked="1"/>
        <c:majorTickMark val="none"/>
        <c:minorTickMark val="none"/>
        <c:tickLblPos val="nextTo"/>
        <c:crossAx val="1511067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'Data Input'!$A$98</c:f>
              <c:strCache>
                <c:ptCount val="1"/>
                <c:pt idx="0">
                  <c:v>HIV AIDS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Input'!$B$97:$D$97</c:f>
              <c:strCache>
                <c:ptCount val="3"/>
                <c:pt idx="0">
                  <c:v>Planned</c:v>
                </c:pt>
                <c:pt idx="1">
                  <c:v>Filled</c:v>
                </c:pt>
                <c:pt idx="2">
                  <c:v>Vacant</c:v>
                </c:pt>
              </c:strCache>
            </c:strRef>
          </c:cat>
          <c:val>
            <c:numRef>
              <c:f>'Data Input'!$B$98:$D$98</c:f>
              <c:numCache>
                <c:formatCode>0</c:formatCode>
                <c:ptCount val="3"/>
                <c:pt idx="0">
                  <c:v>5</c:v>
                </c:pt>
                <c:pt idx="1">
                  <c:v>5</c:v>
                </c:pt>
                <c:pt idx="2">
                  <c:v>0</c:v>
                </c:pt>
              </c:numCache>
            </c:numRef>
          </c:val>
          <c:extLst>
            <c:ext xmlns:c16="http://schemas.microsoft.com/office/drawing/2014/chart" uri="{C3380CC4-5D6E-409C-BE32-E72D297353CC}">
              <c16:uniqueId val="{00000000-A73B-4FB5-940A-8CCE9EAD75A2}"/>
            </c:ext>
          </c:extLst>
        </c:ser>
        <c:ser>
          <c:idx val="0"/>
          <c:order val="1"/>
          <c:tx>
            <c:strRef>
              <c:f>'Data Input'!$A$99</c:f>
              <c:strCache>
                <c:ptCount val="1"/>
                <c:pt idx="0">
                  <c:v>TB</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Input'!$B$97:$D$97</c:f>
              <c:strCache>
                <c:ptCount val="3"/>
                <c:pt idx="0">
                  <c:v>Planned</c:v>
                </c:pt>
                <c:pt idx="1">
                  <c:v>Filled</c:v>
                </c:pt>
                <c:pt idx="2">
                  <c:v>Vacant</c:v>
                </c:pt>
              </c:strCache>
            </c:strRef>
          </c:cat>
          <c:val>
            <c:numRef>
              <c:f>'Data Input'!$B$99:$D$99</c:f>
              <c:numCache>
                <c:formatCode>0</c:formatCode>
                <c:ptCount val="3"/>
                <c:pt idx="0" formatCode="General">
                  <c:v>2</c:v>
                </c:pt>
                <c:pt idx="1">
                  <c:v>2</c:v>
                </c:pt>
                <c:pt idx="2">
                  <c:v>0</c:v>
                </c:pt>
              </c:numCache>
            </c:numRef>
          </c:val>
          <c:extLst>
            <c:ext xmlns:c16="http://schemas.microsoft.com/office/drawing/2014/chart" uri="{C3380CC4-5D6E-409C-BE32-E72D297353CC}">
              <c16:uniqueId val="{00000001-A73B-4FB5-940A-8CCE9EAD75A2}"/>
            </c:ext>
          </c:extLst>
        </c:ser>
        <c:ser>
          <c:idx val="2"/>
          <c:order val="2"/>
          <c:tx>
            <c:strRef>
              <c:f>'Data Input'!$A$100</c:f>
              <c:strCache>
                <c:ptCount val="1"/>
                <c:pt idx="0">
                  <c:v>General (both components)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Input'!$B$97:$D$97</c:f>
              <c:strCache>
                <c:ptCount val="3"/>
                <c:pt idx="0">
                  <c:v>Planned</c:v>
                </c:pt>
                <c:pt idx="1">
                  <c:v>Filled</c:v>
                </c:pt>
                <c:pt idx="2">
                  <c:v>Vacant</c:v>
                </c:pt>
              </c:strCache>
            </c:strRef>
          </c:cat>
          <c:val>
            <c:numRef>
              <c:f>'Data Input'!$B$100:$D$100</c:f>
              <c:numCache>
                <c:formatCode>0</c:formatCode>
                <c:ptCount val="3"/>
                <c:pt idx="0" formatCode="General">
                  <c:v>17</c:v>
                </c:pt>
                <c:pt idx="1">
                  <c:v>17</c:v>
                </c:pt>
                <c:pt idx="2">
                  <c:v>0</c:v>
                </c:pt>
              </c:numCache>
            </c:numRef>
          </c:val>
          <c:extLst>
            <c:ext xmlns:c16="http://schemas.microsoft.com/office/drawing/2014/chart" uri="{C3380CC4-5D6E-409C-BE32-E72D297353CC}">
              <c16:uniqueId val="{00000002-A73B-4FB5-940A-8CCE9EAD75A2}"/>
            </c:ext>
          </c:extLst>
        </c:ser>
        <c:dLbls>
          <c:showLegendKey val="0"/>
          <c:showVal val="1"/>
          <c:showCatName val="0"/>
          <c:showSerName val="0"/>
          <c:showPercent val="0"/>
          <c:showBubbleSize val="0"/>
        </c:dLbls>
        <c:gapWidth val="150"/>
        <c:overlap val="-25"/>
        <c:axId val="1511063280"/>
        <c:axId val="1511061648"/>
      </c:barChart>
      <c:catAx>
        <c:axId val="151106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1648"/>
        <c:crosses val="autoZero"/>
        <c:auto val="1"/>
        <c:lblAlgn val="ctr"/>
        <c:lblOffset val="100"/>
        <c:noMultiLvlLbl val="0"/>
      </c:catAx>
      <c:valAx>
        <c:axId val="1511061648"/>
        <c:scaling>
          <c:orientation val="minMax"/>
        </c:scaling>
        <c:delete val="1"/>
        <c:axPos val="l"/>
        <c:numFmt formatCode="0" sourceLinked="1"/>
        <c:majorTickMark val="none"/>
        <c:minorTickMark val="none"/>
        <c:tickLblPos val="nextTo"/>
        <c:crossAx val="15110632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 Input'!$A$122</c:f>
              <c:strCache>
                <c:ptCount val="1"/>
                <c:pt idx="0">
                  <c:v>Total approved budget*</c:v>
                </c:pt>
              </c:strCache>
            </c:strRef>
          </c:tx>
          <c:spPr>
            <a:solidFill>
              <a:schemeClr val="accent1"/>
            </a:solidFill>
            <a:ln>
              <a:noFill/>
            </a:ln>
            <a:effectLst/>
          </c:spPr>
          <c:invertIfNegative val="0"/>
          <c:cat>
            <c:strRef>
              <c:f>'Data Input'!$B$118:$F$118</c:f>
              <c:strCache>
                <c:ptCount val="5"/>
                <c:pt idx="0">
                  <c:v>P1</c:v>
                </c:pt>
                <c:pt idx="1">
                  <c:v>P2</c:v>
                </c:pt>
                <c:pt idx="2">
                  <c:v>P3</c:v>
                </c:pt>
                <c:pt idx="3">
                  <c:v>P4</c:v>
                </c:pt>
                <c:pt idx="4">
                  <c:v>P5</c:v>
                </c:pt>
              </c:strCache>
            </c:strRef>
          </c:cat>
          <c:val>
            <c:numRef>
              <c:f>'Data Input'!$B$122:$F$122</c:f>
              <c:numCache>
                <c:formatCode>#,##0</c:formatCode>
                <c:ptCount val="5"/>
                <c:pt idx="0">
                  <c:v>1718389.82</c:v>
                </c:pt>
                <c:pt idx="1">
                  <c:v>6653148.3300000001</c:v>
                </c:pt>
                <c:pt idx="2">
                  <c:v>14211371.180461455</c:v>
                </c:pt>
              </c:numCache>
            </c:numRef>
          </c:val>
          <c:extLst>
            <c:ext xmlns:c16="http://schemas.microsoft.com/office/drawing/2014/chart" uri="{C3380CC4-5D6E-409C-BE32-E72D297353CC}">
              <c16:uniqueId val="{00000000-41CE-42E4-ACD5-8F9381A88497}"/>
            </c:ext>
          </c:extLst>
        </c:ser>
        <c:ser>
          <c:idx val="1"/>
          <c:order val="1"/>
          <c:tx>
            <c:strRef>
              <c:f>'Data Input'!$A$123</c:f>
              <c:strCache>
                <c:ptCount val="1"/>
                <c:pt idx="0">
                  <c:v>Total financial liabilities</c:v>
                </c:pt>
              </c:strCache>
            </c:strRef>
          </c:tx>
          <c:spPr>
            <a:solidFill>
              <a:schemeClr val="accent2"/>
            </a:solidFill>
            <a:ln>
              <a:noFill/>
            </a:ln>
            <a:effectLst/>
          </c:spPr>
          <c:invertIfNegative val="0"/>
          <c:cat>
            <c:strRef>
              <c:f>'Data Input'!$B$118:$F$118</c:f>
              <c:strCache>
                <c:ptCount val="5"/>
                <c:pt idx="0">
                  <c:v>P1</c:v>
                </c:pt>
                <c:pt idx="1">
                  <c:v>P2</c:v>
                </c:pt>
                <c:pt idx="2">
                  <c:v>P3</c:v>
                </c:pt>
                <c:pt idx="3">
                  <c:v>P4</c:v>
                </c:pt>
                <c:pt idx="4">
                  <c:v>P5</c:v>
                </c:pt>
              </c:strCache>
            </c:strRef>
          </c:cat>
          <c:val>
            <c:numRef>
              <c:f>'Data Input'!$B$123:$F$123</c:f>
              <c:numCache>
                <c:formatCode>#,##0</c:formatCode>
                <c:ptCount val="5"/>
                <c:pt idx="0">
                  <c:v>2445797</c:v>
                </c:pt>
                <c:pt idx="1">
                  <c:v>4134253.8999999994</c:v>
                </c:pt>
                <c:pt idx="2">
                  <c:v>313996.26</c:v>
                </c:pt>
              </c:numCache>
            </c:numRef>
          </c:val>
          <c:extLst>
            <c:ext xmlns:c16="http://schemas.microsoft.com/office/drawing/2014/chart" uri="{C3380CC4-5D6E-409C-BE32-E72D297353CC}">
              <c16:uniqueId val="{00000003-41CE-42E4-ACD5-8F9381A88497}"/>
            </c:ext>
          </c:extLst>
        </c:ser>
        <c:ser>
          <c:idx val="2"/>
          <c:order val="2"/>
          <c:tx>
            <c:strRef>
              <c:f>'Data Input'!$A$124</c:f>
              <c:strCache>
                <c:ptCount val="1"/>
                <c:pt idx="0">
                  <c:v>Total expenses</c:v>
                </c:pt>
              </c:strCache>
            </c:strRef>
          </c:tx>
          <c:spPr>
            <a:solidFill>
              <a:schemeClr val="accent3"/>
            </a:solidFill>
            <a:ln>
              <a:noFill/>
            </a:ln>
            <a:effectLst/>
          </c:spPr>
          <c:invertIfNegative val="0"/>
          <c:cat>
            <c:strRef>
              <c:f>'Data Input'!$B$118:$F$118</c:f>
              <c:strCache>
                <c:ptCount val="5"/>
                <c:pt idx="0">
                  <c:v>P1</c:v>
                </c:pt>
                <c:pt idx="1">
                  <c:v>P2</c:v>
                </c:pt>
                <c:pt idx="2">
                  <c:v>P3</c:v>
                </c:pt>
                <c:pt idx="3">
                  <c:v>P4</c:v>
                </c:pt>
                <c:pt idx="4">
                  <c:v>P5</c:v>
                </c:pt>
              </c:strCache>
            </c:strRef>
          </c:cat>
          <c:val>
            <c:numRef>
              <c:f>'Data Input'!$B$124:$F$124</c:f>
              <c:numCache>
                <c:formatCode>#,##0</c:formatCode>
                <c:ptCount val="5"/>
                <c:pt idx="0">
                  <c:v>1718390</c:v>
                </c:pt>
                <c:pt idx="1">
                  <c:v>6653148.5100000007</c:v>
                </c:pt>
                <c:pt idx="2">
                  <c:v>13686833.25</c:v>
                </c:pt>
              </c:numCache>
            </c:numRef>
          </c:val>
          <c:extLst>
            <c:ext xmlns:c16="http://schemas.microsoft.com/office/drawing/2014/chart" uri="{C3380CC4-5D6E-409C-BE32-E72D297353CC}">
              <c16:uniqueId val="{00000004-41CE-42E4-ACD5-8F9381A88497}"/>
            </c:ext>
          </c:extLst>
        </c:ser>
        <c:dLbls>
          <c:showLegendKey val="0"/>
          <c:showVal val="0"/>
          <c:showCatName val="0"/>
          <c:showSerName val="0"/>
          <c:showPercent val="0"/>
          <c:showBubbleSize val="0"/>
        </c:dLbls>
        <c:gapWidth val="219"/>
        <c:overlap val="-27"/>
        <c:axId val="390931016"/>
        <c:axId val="390927408"/>
      </c:barChart>
      <c:catAx>
        <c:axId val="390931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927408"/>
        <c:crosses val="autoZero"/>
        <c:auto val="1"/>
        <c:lblAlgn val="ctr"/>
        <c:lblOffset val="100"/>
        <c:noMultiLvlLbl val="0"/>
      </c:catAx>
      <c:valAx>
        <c:axId val="390927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931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4"/>
          <c:y val="5.2401746724890827E-2"/>
          <c:w val="0.80996068152031453"/>
          <c:h val="0.64192139737991305"/>
        </c:manualLayout>
      </c:layout>
      <c:barChart>
        <c:barDir val="col"/>
        <c:grouping val="clustered"/>
        <c:varyColors val="0"/>
        <c:ser>
          <c:idx val="0"/>
          <c:order val="0"/>
          <c:tx>
            <c:strRef>
              <c:f>'Ввод данных'!$A$33</c:f>
              <c:strCache>
                <c:ptCount val="1"/>
                <c:pt idx="0">
                  <c:v>Общий бюджет</c:v>
                </c:pt>
              </c:strCache>
            </c:strRef>
          </c:tx>
          <c:spPr>
            <a:solidFill>
              <a:srgbClr val="993366"/>
            </a:solidFill>
            <a:ln w="3175">
              <a:solidFill>
                <a:srgbClr val="000000"/>
              </a:solidFill>
              <a:prstDash val="solid"/>
            </a:ln>
            <a:effectLst>
              <a:outerShdw blurRad="63500" dist="38100" dir="2700000" algn="br">
                <a:srgbClr val="000000"/>
              </a:outerShdw>
            </a:effectLst>
          </c:spPr>
          <c:invertIfNegative val="0"/>
          <c:val>
            <c:numRef>
              <c:f>'Ввод данных'!$B$33:$M$33</c:f>
              <c:numCache>
                <c:formatCode>#,##0</c:formatCode>
                <c:ptCount val="12"/>
                <c:pt idx="0">
                  <c:v>5708999.7549785394</c:v>
                </c:pt>
                <c:pt idx="1">
                  <c:v>16073556.164202979</c:v>
                </c:pt>
                <c:pt idx="2">
                  <c:v>32756947.425098851</c:v>
                </c:pt>
              </c:numCache>
            </c:numRef>
          </c:val>
          <c:extLst>
            <c:ext xmlns:c16="http://schemas.microsoft.com/office/drawing/2014/chart" uri="{C3380CC4-5D6E-409C-BE32-E72D297353CC}">
              <c16:uniqueId val="{00000000-81DE-4DF4-B8AE-5C0EA17153B9}"/>
            </c:ext>
          </c:extLst>
        </c:ser>
        <c:ser>
          <c:idx val="1"/>
          <c:order val="1"/>
          <c:tx>
            <c:strRef>
              <c:f>'Ввод данных'!$A$34</c:f>
              <c:strCache>
                <c:ptCount val="1"/>
                <c:pt idx="0">
                  <c:v>Общая сумма выплат</c:v>
                </c:pt>
              </c:strCache>
            </c:strRef>
          </c:tx>
          <c:spPr>
            <a:solidFill>
              <a:srgbClr val="0070C0"/>
            </a:solidFill>
            <a:ln w="3175">
              <a:solidFill>
                <a:srgbClr val="000000"/>
              </a:solidFill>
              <a:prstDash val="solid"/>
            </a:ln>
            <a:effectLst>
              <a:outerShdw blurRad="50800" dist="50800" dir="5400000" algn="ctr" rotWithShape="0">
                <a:schemeClr val="tx1"/>
              </a:outerShdw>
            </a:effectLst>
          </c:spPr>
          <c:invertIfNegative val="0"/>
          <c:val>
            <c:numRef>
              <c:f>'Ввод данных'!$B$34:$M$34</c:f>
              <c:numCache>
                <c:formatCode>#,##0</c:formatCode>
                <c:ptCount val="12"/>
                <c:pt idx="0">
                  <c:v>18761018</c:v>
                </c:pt>
                <c:pt idx="1">
                  <c:v>21957907.009999998</c:v>
                </c:pt>
                <c:pt idx="2">
                  <c:v>33330456.960000001</c:v>
                </c:pt>
              </c:numCache>
            </c:numRef>
          </c:val>
          <c:extLst>
            <c:ext xmlns:c16="http://schemas.microsoft.com/office/drawing/2014/chart" uri="{C3380CC4-5D6E-409C-BE32-E72D297353CC}">
              <c16:uniqueId val="{00000001-81DE-4DF4-B8AE-5C0EA17153B9}"/>
            </c:ext>
          </c:extLst>
        </c:ser>
        <c:dLbls>
          <c:showLegendKey val="0"/>
          <c:showVal val="0"/>
          <c:showCatName val="0"/>
          <c:showSerName val="0"/>
          <c:showPercent val="0"/>
          <c:showBubbleSize val="0"/>
        </c:dLbls>
        <c:gapWidth val="70"/>
        <c:axId val="1388296480"/>
        <c:axId val="1388287232"/>
      </c:barChart>
      <c:catAx>
        <c:axId val="1388296480"/>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ru-RU"/>
                  <a:t>Отчетный период</a:t>
                </a:r>
              </a:p>
            </c:rich>
          </c:tx>
          <c:layout>
            <c:manualLayout>
              <c:xMode val="edge"/>
              <c:yMode val="edge"/>
              <c:x val="0.48066291713535836"/>
              <c:y val="0.78695641210787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1388287232"/>
        <c:crosses val="autoZero"/>
        <c:auto val="1"/>
        <c:lblAlgn val="ctr"/>
        <c:lblOffset val="100"/>
        <c:tickLblSkip val="1"/>
        <c:tickMarkSkip val="1"/>
        <c:noMultiLvlLbl val="0"/>
      </c:catAx>
      <c:valAx>
        <c:axId val="13882872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1388296480"/>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735" b="0" i="0" u="none" strike="noStrike" baseline="0">
                <a:solidFill>
                  <a:srgbClr val="000000"/>
                </a:solidFill>
                <a:latin typeface="Arial"/>
                <a:ea typeface="Arial"/>
                <a:cs typeface="Arial"/>
              </a:defRPr>
            </a:pPr>
            <a:endParaRPr lang="en-US"/>
          </a:p>
        </c:txPr>
      </c:legendEntry>
      <c:legendEntry>
        <c:idx val="1"/>
        <c:txPr>
          <a:bodyPr/>
          <a:lstStyle/>
          <a:p>
            <a:pPr>
              <a:defRPr sz="735" b="0" i="0" u="none" strike="noStrike" baseline="0">
                <a:solidFill>
                  <a:srgbClr val="000000"/>
                </a:solidFill>
                <a:latin typeface="Arial"/>
                <a:ea typeface="Arial"/>
                <a:cs typeface="Arial"/>
              </a:defRPr>
            </a:pPr>
            <a:endParaRPr lang="en-US"/>
          </a:p>
        </c:txPr>
      </c:legendEntry>
      <c:layout>
        <c:manualLayout>
          <c:xMode val="edge"/>
          <c:yMode val="edge"/>
          <c:x val="9.0909090909091023E-2"/>
          <c:y val="0.88209606986899558"/>
          <c:w val="0.84415584415584444"/>
          <c:h val="0.10480349344978168"/>
        </c:manualLayout>
      </c:layout>
      <c:overlay val="0"/>
      <c:spPr>
        <a:solidFill>
          <a:srgbClr val="FFFFFF"/>
        </a:solidFill>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326686947608713E-2"/>
          <c:y val="0.23113881949596191"/>
          <c:w val="0.84029484029484081"/>
          <c:h val="0.53469387755102082"/>
        </c:manualLayout>
      </c:layout>
      <c:barChart>
        <c:barDir val="col"/>
        <c:grouping val="clustered"/>
        <c:varyColors val="0"/>
        <c:ser>
          <c:idx val="0"/>
          <c:order val="0"/>
          <c:tx>
            <c:strRef>
              <c:f>Финансирование!$B$34</c:f>
              <c:strCache>
                <c:ptCount val="1"/>
                <c:pt idx="0">
                  <c:v>Совокупный бюджет</c:v>
                </c:pt>
              </c:strCache>
            </c:strRef>
          </c:tx>
          <c:spPr>
            <a:solidFill>
              <a:srgbClr val="993366"/>
            </a:solidFill>
            <a:ln w="6350">
              <a:solidFill>
                <a:schemeClr val="tx1">
                  <a:lumMod val="95000"/>
                  <a:lumOff val="5000"/>
                </a:schemeClr>
              </a:solidFill>
            </a:ln>
            <a:effectLst>
              <a:outerShdw blurRad="25400" dist="38100" dir="2700000" algn="ctr" rotWithShape="0">
                <a:sysClr val="windowText" lastClr="000000"/>
              </a:outerShdw>
            </a:effectLst>
          </c:spPr>
          <c:invertIfNegative val="0"/>
          <c:cat>
            <c:strRef>
              <c:f>'Ввод данных'!$A$39:$A$63</c:f>
              <c:strCache>
                <c:ptCount val="25"/>
                <c:pt idx="0">
                  <c:v>Диагностика и тестирование COVID</c:v>
                </c:pt>
                <c:pt idx="1">
                  <c:v>Смягчение негативных воздействий для программ по ВИЧ</c:v>
                </c:pt>
                <c:pt idx="2">
                  <c:v>Устранение препятствий к услугам, связанных с правами человека и гендерными факторами</c:v>
                </c:pt>
                <c:pt idx="3">
                  <c:v>Кейс-менеджмент, клинические операции и лечение</c:v>
                </c:pt>
                <c:pt idx="4">
                  <c:v>Профилактика инфекций, контроль и защита медицинских работников</c:v>
                </c:pt>
                <c:pt idx="5">
                  <c:v>Лабораторные системы</c:v>
                </c:pt>
                <c:pt idx="6">
                  <c:v>Смягчение негативных воздействий для программ по ТБ</c:v>
                </c:pt>
                <c:pt idx="7">
                  <c:v>Надзор: эпидемиологическое расследование и отслеживание контактов</c:v>
                </c:pt>
                <c:pt idx="8">
                  <c:v>Мероприятия по изменению поведения</c:v>
                </c:pt>
                <c:pt idx="9">
                  <c:v>Программы обмена игл и шприцев</c:v>
                </c:pt>
                <c:pt idx="10">
                  <c:v>Опиоидная заместительная терапия и другое лечение наркозависимости с медицинской помощью</c:v>
                </c:pt>
                <c:pt idx="11">
                  <c:v>Лечение (МЛУ ТБ)</c:v>
                </c:pt>
                <c:pt idx="12">
                  <c:v>Выявление и диагностика случаев (МЛУ-ТБ)</c:v>
                </c:pt>
                <c:pt idx="13">
                  <c:v>Оказание помощи при МЛУ-ТБ по месту жительства</c:v>
                </c:pt>
                <c:pt idx="14">
                  <c:v>Дифференцированное предоставление услуг АРВТ и помощь при ВИЧ</c:v>
                </c:pt>
                <c:pt idx="15">
                  <c:v>Консультации и психосоциальная поддержка</c:v>
                </c:pt>
                <c:pt idx="16">
                  <c:v>Тестирование в учреждениях</c:v>
                </c:pt>
                <c:pt idx="17">
                  <c:v>Тестирование в сообществах</c:v>
                </c:pt>
                <c:pt idx="18">
                  <c:v>Мобилизация сообщества и адвокация (ВИЧ / ТБ)</c:v>
                </c:pt>
                <c:pt idx="19">
                  <c:v>Снижение стигмы и дискриминации (ВИЧ / ТБ)</c:v>
                </c:pt>
                <c:pt idx="20">
                  <c:v>Юридические услуги по ВИЧ и ВИЧ/ТБ</c:v>
                </c:pt>
                <c:pt idx="21">
                  <c:v>Системы менеджмента качества и аккредитация</c:v>
                </c:pt>
                <c:pt idx="22">
                  <c:v>Системы управления инфраструктурой и оборудованием</c:v>
                </c:pt>
                <c:pt idx="23">
                  <c:v>Регулярная отчетность</c:v>
                </c:pt>
                <c:pt idx="24">
                  <c:v>Управление грантом</c:v>
                </c:pt>
              </c:strCache>
            </c:strRef>
          </c:cat>
          <c:val>
            <c:numRef>
              <c:f>'Ввод данных'!$B$39:$B$63</c:f>
              <c:numCache>
                <c:formatCode>_(* #,##0.00_);_(* \(#,##0.00\);_(* "-"??_);_(@_)</c:formatCode>
                <c:ptCount val="25"/>
                <c:pt idx="0">
                  <c:v>163926.47654375</c:v>
                </c:pt>
                <c:pt idx="1">
                  <c:v>171209.729791786</c:v>
                </c:pt>
                <c:pt idx="2">
                  <c:v>35491.420828175302</c:v>
                </c:pt>
                <c:pt idx="3">
                  <c:v>682686.40496734099</c:v>
                </c:pt>
                <c:pt idx="4">
                  <c:v>3786.12</c:v>
                </c:pt>
                <c:pt idx="5">
                  <c:v>245616.80968087001</c:v>
                </c:pt>
                <c:pt idx="6">
                  <c:v>6115.83</c:v>
                </c:pt>
                <c:pt idx="7">
                  <c:v>13479.328406041201</c:v>
                </c:pt>
                <c:pt idx="8">
                  <c:v>622376.47550645506</c:v>
                </c:pt>
                <c:pt idx="9">
                  <c:v>474007.19648429699</c:v>
                </c:pt>
                <c:pt idx="10">
                  <c:v>639118.93305226695</c:v>
                </c:pt>
                <c:pt idx="11">
                  <c:v>4404661.1840626597</c:v>
                </c:pt>
                <c:pt idx="12">
                  <c:v>1998542.4898747499</c:v>
                </c:pt>
                <c:pt idx="13">
                  <c:v>301710.16954890598</c:v>
                </c:pt>
                <c:pt idx="14">
                  <c:v>806403.61089733196</c:v>
                </c:pt>
                <c:pt idx="15">
                  <c:v>256031.911378035</c:v>
                </c:pt>
                <c:pt idx="16">
                  <c:v>43440.876561402998</c:v>
                </c:pt>
                <c:pt idx="17">
                  <c:v>382805.48576712399</c:v>
                </c:pt>
                <c:pt idx="18">
                  <c:v>201468.92299868801</c:v>
                </c:pt>
                <c:pt idx="19">
                  <c:v>346009.23123738897</c:v>
                </c:pt>
                <c:pt idx="20">
                  <c:v>154884.99120251799</c:v>
                </c:pt>
                <c:pt idx="21">
                  <c:v>80758.025659360297</c:v>
                </c:pt>
                <c:pt idx="22">
                  <c:v>327867.71000000002</c:v>
                </c:pt>
                <c:pt idx="23">
                  <c:v>37508.501581438897</c:v>
                </c:pt>
                <c:pt idx="24" formatCode="#,##0.00">
                  <c:v>4283483.4248652896</c:v>
                </c:pt>
              </c:numCache>
            </c:numRef>
          </c:val>
          <c:extLst>
            <c:ext xmlns:c16="http://schemas.microsoft.com/office/drawing/2014/chart" uri="{C3380CC4-5D6E-409C-BE32-E72D297353CC}">
              <c16:uniqueId val="{00000000-95D5-4C48-8226-3CE83C627C85}"/>
            </c:ext>
          </c:extLst>
        </c:ser>
        <c:ser>
          <c:idx val="1"/>
          <c:order val="1"/>
          <c:tx>
            <c:strRef>
              <c:f>Финансирование!$B$36</c:f>
              <c:strCache>
                <c:ptCount val="1"/>
                <c:pt idx="0">
                  <c:v>Совокупные расходы</c:v>
                </c:pt>
              </c:strCache>
            </c:strRef>
          </c:tx>
          <c:spPr>
            <a:solidFill>
              <a:schemeClr val="accent4">
                <a:lumMod val="40000"/>
                <a:lumOff val="60000"/>
              </a:schemeClr>
            </a:solidFill>
            <a:ln w="3175">
              <a:solidFill>
                <a:schemeClr val="accent2">
                  <a:lumMod val="50000"/>
                </a:schemeClr>
              </a:solidFill>
            </a:ln>
            <a:effectLst>
              <a:outerShdw blurRad="50800" dist="38100" dir="2100000" algn="ctr" rotWithShape="0">
                <a:schemeClr val="tx1">
                  <a:lumMod val="85000"/>
                  <a:lumOff val="15000"/>
                  <a:alpha val="87000"/>
                </a:schemeClr>
              </a:outerShdw>
            </a:effectLst>
          </c:spPr>
          <c:invertIfNegative val="0"/>
          <c:cat>
            <c:strRef>
              <c:f>'Ввод данных'!$A$39:$A$63</c:f>
              <c:strCache>
                <c:ptCount val="25"/>
                <c:pt idx="0">
                  <c:v>Диагностика и тестирование COVID</c:v>
                </c:pt>
                <c:pt idx="1">
                  <c:v>Смягчение негативных воздействий для программ по ВИЧ</c:v>
                </c:pt>
                <c:pt idx="2">
                  <c:v>Устранение препятствий к услугам, связанных с правами человека и гендерными факторами</c:v>
                </c:pt>
                <c:pt idx="3">
                  <c:v>Кейс-менеджмент, клинические операции и лечение</c:v>
                </c:pt>
                <c:pt idx="4">
                  <c:v>Профилактика инфекций, контроль и защита медицинских работников</c:v>
                </c:pt>
                <c:pt idx="5">
                  <c:v>Лабораторные системы</c:v>
                </c:pt>
                <c:pt idx="6">
                  <c:v>Смягчение негативных воздействий для программ по ТБ</c:v>
                </c:pt>
                <c:pt idx="7">
                  <c:v>Надзор: эпидемиологическое расследование и отслеживание контактов</c:v>
                </c:pt>
                <c:pt idx="8">
                  <c:v>Мероприятия по изменению поведения</c:v>
                </c:pt>
                <c:pt idx="9">
                  <c:v>Программы обмена игл и шприцев</c:v>
                </c:pt>
                <c:pt idx="10">
                  <c:v>Опиоидная заместительная терапия и другое лечение наркозависимости с медицинской помощью</c:v>
                </c:pt>
                <c:pt idx="11">
                  <c:v>Лечение (МЛУ ТБ)</c:v>
                </c:pt>
                <c:pt idx="12">
                  <c:v>Выявление и диагностика случаев (МЛУ-ТБ)</c:v>
                </c:pt>
                <c:pt idx="13">
                  <c:v>Оказание помощи при МЛУ-ТБ по месту жительства</c:v>
                </c:pt>
                <c:pt idx="14">
                  <c:v>Дифференцированное предоставление услуг АРВТ и помощь при ВИЧ</c:v>
                </c:pt>
                <c:pt idx="15">
                  <c:v>Консультации и психосоциальная поддержка</c:v>
                </c:pt>
                <c:pt idx="16">
                  <c:v>Тестирование в учреждениях</c:v>
                </c:pt>
                <c:pt idx="17">
                  <c:v>Тестирование в сообществах</c:v>
                </c:pt>
                <c:pt idx="18">
                  <c:v>Мобилизация сообщества и адвокация (ВИЧ / ТБ)</c:v>
                </c:pt>
                <c:pt idx="19">
                  <c:v>Снижение стигмы и дискриминации (ВИЧ / ТБ)</c:v>
                </c:pt>
                <c:pt idx="20">
                  <c:v>Юридические услуги по ВИЧ и ВИЧ/ТБ</c:v>
                </c:pt>
                <c:pt idx="21">
                  <c:v>Системы менеджмента качества и аккредитация</c:v>
                </c:pt>
                <c:pt idx="22">
                  <c:v>Системы управления инфраструктурой и оборудованием</c:v>
                </c:pt>
                <c:pt idx="23">
                  <c:v>Регулярная отчетность</c:v>
                </c:pt>
                <c:pt idx="24">
                  <c:v>Управление грантом</c:v>
                </c:pt>
              </c:strCache>
            </c:strRef>
          </c:cat>
          <c:val>
            <c:numRef>
              <c:f>'Ввод данных'!$C$39:$C$63</c:f>
              <c:numCache>
                <c:formatCode>_(* #,##0.00_);_(* \(#,##0.00\);_(* "-"??_);_(@_)</c:formatCode>
                <c:ptCount val="25"/>
                <c:pt idx="0">
                  <c:v>147866.40999999997</c:v>
                </c:pt>
                <c:pt idx="1">
                  <c:v>171816.64148626212</c:v>
                </c:pt>
                <c:pt idx="2">
                  <c:v>35214.704746335963</c:v>
                </c:pt>
                <c:pt idx="3">
                  <c:v>589208.44000000006</c:v>
                </c:pt>
                <c:pt idx="4">
                  <c:v>4262.0400000000045</c:v>
                </c:pt>
                <c:pt idx="5">
                  <c:v>108149.88</c:v>
                </c:pt>
                <c:pt idx="6">
                  <c:v>6115.8338373415199</c:v>
                </c:pt>
                <c:pt idx="7">
                  <c:v>405.75</c:v>
                </c:pt>
                <c:pt idx="8">
                  <c:v>516180.186478936</c:v>
                </c:pt>
                <c:pt idx="9">
                  <c:v>464674.15776443062</c:v>
                </c:pt>
                <c:pt idx="10">
                  <c:v>274431.96121758735</c:v>
                </c:pt>
                <c:pt idx="11">
                  <c:v>3638433.9274053522</c:v>
                </c:pt>
                <c:pt idx="12">
                  <c:v>1666218.23</c:v>
                </c:pt>
                <c:pt idx="13">
                  <c:v>247387.24424886791</c:v>
                </c:pt>
                <c:pt idx="14">
                  <c:v>1404028.4630516658</c:v>
                </c:pt>
                <c:pt idx="15">
                  <c:v>160625.49261041783</c:v>
                </c:pt>
                <c:pt idx="16">
                  <c:v>57980.12</c:v>
                </c:pt>
                <c:pt idx="17">
                  <c:v>267166.52999999997</c:v>
                </c:pt>
                <c:pt idx="18">
                  <c:v>260593.68994123259</c:v>
                </c:pt>
                <c:pt idx="19">
                  <c:v>325630.09924792207</c:v>
                </c:pt>
                <c:pt idx="20">
                  <c:v>162578.77078917698</c:v>
                </c:pt>
                <c:pt idx="21">
                  <c:v>95468.270992981066</c:v>
                </c:pt>
                <c:pt idx="22">
                  <c:v>93871.61</c:v>
                </c:pt>
                <c:pt idx="23">
                  <c:v>46972.964552252335</c:v>
                </c:pt>
                <c:pt idx="24" formatCode="#,##0">
                  <c:v>2643542.6360858721</c:v>
                </c:pt>
              </c:numCache>
            </c:numRef>
          </c:val>
          <c:extLst>
            <c:ext xmlns:c16="http://schemas.microsoft.com/office/drawing/2014/chart" uri="{C3380CC4-5D6E-409C-BE32-E72D297353CC}">
              <c16:uniqueId val="{00000001-95D5-4C48-8226-3CE83C627C85}"/>
            </c:ext>
          </c:extLst>
        </c:ser>
        <c:dLbls>
          <c:showLegendKey val="0"/>
          <c:showVal val="0"/>
          <c:showCatName val="0"/>
          <c:showSerName val="0"/>
          <c:showPercent val="0"/>
          <c:showBubbleSize val="0"/>
        </c:dLbls>
        <c:gapWidth val="150"/>
        <c:axId val="1388297024"/>
        <c:axId val="1388292128"/>
      </c:barChart>
      <c:catAx>
        <c:axId val="138829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388292128"/>
        <c:crosses val="autoZero"/>
        <c:auto val="1"/>
        <c:lblAlgn val="ctr"/>
        <c:lblOffset val="100"/>
        <c:tickMarkSkip val="1"/>
        <c:noMultiLvlLbl val="0"/>
      </c:catAx>
      <c:valAx>
        <c:axId val="138829212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1388297024"/>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1323416452564"/>
          <c:y val="8.1447963800904979E-2"/>
          <c:w val="0.73584990401346972"/>
          <c:h val="0.61085972850678782"/>
        </c:manualLayout>
      </c:layout>
      <c:barChart>
        <c:barDir val="col"/>
        <c:grouping val="stacked"/>
        <c:varyColors val="0"/>
        <c:ser>
          <c:idx val="0"/>
          <c:order val="0"/>
          <c:spPr>
            <a:solidFill>
              <a:srgbClr val="4F81BD"/>
            </a:solidFill>
            <a:ln w="12700">
              <a:solidFill>
                <a:srgbClr val="000000"/>
              </a:solidFill>
              <a:prstDash val="solid"/>
            </a:ln>
          </c:spPr>
          <c:invertIfNegative val="0"/>
          <c:cat>
            <c:strRef>
              <c:f>'Ввод данных'!$A$69:$A$72</c:f>
              <c:strCache>
                <c:ptCount val="4"/>
                <c:pt idx="0">
                  <c:v>Выплачено Глобальным фондом</c:v>
                </c:pt>
                <c:pt idx="1">
                  <c:v>Расходы и платежи ОР</c:v>
                </c:pt>
                <c:pt idx="2">
                  <c:v>Выплачено субреципиентам</c:v>
                </c:pt>
                <c:pt idx="3">
                  <c:v>Расходы субреципиентов</c:v>
                </c:pt>
              </c:strCache>
            </c:strRef>
          </c:cat>
          <c:val>
            <c:numRef>
              <c:f>'Ввод данных'!$B$69:$B$72</c:f>
              <c:numCache>
                <c:formatCode>#,##0</c:formatCode>
                <c:ptCount val="4"/>
                <c:pt idx="0">
                  <c:v>21957907.009999998</c:v>
                </c:pt>
                <c:pt idx="1">
                  <c:v>12158982.398843355</c:v>
                </c:pt>
                <c:pt idx="2">
                  <c:v>4155763.69</c:v>
                </c:pt>
                <c:pt idx="3">
                  <c:v>3933382.8720644177</c:v>
                </c:pt>
              </c:numCache>
            </c:numRef>
          </c:val>
          <c:extLst>
            <c:ext xmlns:c16="http://schemas.microsoft.com/office/drawing/2014/chart" uri="{C3380CC4-5D6E-409C-BE32-E72D297353CC}">
              <c16:uniqueId val="{00000000-A4B5-4F53-8293-E71E8DB1FE17}"/>
            </c:ext>
          </c:extLst>
        </c:ser>
        <c:ser>
          <c:idx val="1"/>
          <c:order val="1"/>
          <c:spPr>
            <a:solidFill>
              <a:srgbClr val="C6D9F1"/>
            </a:solidFill>
            <a:ln w="12700">
              <a:solidFill>
                <a:srgbClr val="000000"/>
              </a:solidFill>
              <a:prstDash val="solid"/>
            </a:ln>
          </c:spPr>
          <c:invertIfNegative val="0"/>
          <c:cat>
            <c:strRef>
              <c:f>'Ввод данных'!$A$69:$A$72</c:f>
              <c:strCache>
                <c:ptCount val="4"/>
                <c:pt idx="0">
                  <c:v>Выплачено Глобальным фондом</c:v>
                </c:pt>
                <c:pt idx="1">
                  <c:v>Расходы и платежи ОР</c:v>
                </c:pt>
                <c:pt idx="2">
                  <c:v>Выплачено субреципиентам</c:v>
                </c:pt>
                <c:pt idx="3">
                  <c:v>Расходы субреципиентов</c:v>
                </c:pt>
              </c:strCache>
            </c:strRef>
          </c:cat>
          <c:val>
            <c:numRef>
              <c:f>'Ввод данных'!$C$69:$C$72</c:f>
              <c:numCache>
                <c:formatCode>#,##0</c:formatCode>
                <c:ptCount val="4"/>
                <c:pt idx="0">
                  <c:v>11372549.949999999</c:v>
                </c:pt>
                <c:pt idx="1">
                  <c:v>11052794.31142755</c:v>
                </c:pt>
                <c:pt idx="2">
                  <c:v>2242134.7400000002</c:v>
                </c:pt>
                <c:pt idx="3">
                  <c:v>2336029.7430290864</c:v>
                </c:pt>
              </c:numCache>
            </c:numRef>
          </c:val>
          <c:extLst>
            <c:ext xmlns:c16="http://schemas.microsoft.com/office/drawing/2014/chart" uri="{C3380CC4-5D6E-409C-BE32-E72D297353CC}">
              <c16:uniqueId val="{00000001-A4B5-4F53-8293-E71E8DB1FE17}"/>
            </c:ext>
          </c:extLst>
        </c:ser>
        <c:dLbls>
          <c:showLegendKey val="0"/>
          <c:showVal val="0"/>
          <c:showCatName val="0"/>
          <c:showSerName val="0"/>
          <c:showPercent val="0"/>
          <c:showBubbleSize val="0"/>
        </c:dLbls>
        <c:gapWidth val="150"/>
        <c:overlap val="100"/>
        <c:axId val="1388286688"/>
        <c:axId val="1388282880"/>
      </c:barChart>
      <c:catAx>
        <c:axId val="1388286688"/>
        <c:scaling>
          <c:orientation val="minMax"/>
        </c:scaling>
        <c:delete val="0"/>
        <c:axPos val="b"/>
        <c:numFmt formatCode="General" sourceLinked="1"/>
        <c:majorTickMark val="none"/>
        <c:minorTickMark val="none"/>
        <c:tickLblPos val="nextTo"/>
        <c:crossAx val="1388282880"/>
        <c:crosses val="autoZero"/>
        <c:auto val="1"/>
        <c:lblAlgn val="ctr"/>
        <c:lblOffset val="100"/>
        <c:noMultiLvlLbl val="0"/>
      </c:catAx>
      <c:valAx>
        <c:axId val="1388282880"/>
        <c:scaling>
          <c:orientation val="minMax"/>
        </c:scaling>
        <c:delete val="0"/>
        <c:axPos val="l"/>
        <c:majorGridlines/>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388286688"/>
        <c:crosses val="autoZero"/>
        <c:crossBetween val="between"/>
      </c:valAx>
      <c:dTable>
        <c:showHorzBorder val="1"/>
        <c:showVertBorder val="1"/>
        <c:showOutline val="1"/>
        <c:showKeys val="1"/>
        <c:txPr>
          <a:bodyPr/>
          <a:lstStyle/>
          <a:p>
            <a:pPr rtl="0">
              <a:defRPr sz="500" baseline="0"/>
            </a:pPr>
            <a:endParaRPr lang="en-US"/>
          </a:p>
        </c:txPr>
      </c:dTable>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t>KP-1d⁽ᴹ⁾ </a:t>
            </a:r>
            <a:r>
              <a:rPr lang="az-Cyrl-AZ" sz="1000"/>
              <a:t>Процент ЛУИН, охваченных программами по профилактике ВИЧ - минимальный пакет услуг			</a:t>
            </a:r>
          </a:p>
        </c:rich>
      </c:tx>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4162028917065474E-2"/>
          <c:y val="0.16940269620510073"/>
          <c:w val="0.94093726264717326"/>
          <c:h val="0.69667922775463409"/>
        </c:manualLayout>
      </c:layout>
      <c:barChart>
        <c:barDir val="col"/>
        <c:grouping val="clustered"/>
        <c:varyColors val="0"/>
        <c:ser>
          <c:idx val="0"/>
          <c:order val="0"/>
          <c:tx>
            <c:strRef>
              <c:f>'Ввод данных'!$D$197</c:f>
              <c:strCache>
                <c:ptCount val="1"/>
                <c:pt idx="0">
                  <c:v>Целевой показатель</c:v>
                </c:pt>
              </c:strCache>
            </c:strRef>
          </c:tx>
          <c:spPr>
            <a:solidFill>
              <a:schemeClr val="accent1"/>
            </a:solidFill>
            <a:ln>
              <a:noFill/>
            </a:ln>
            <a:effectLst/>
          </c:spPr>
          <c:invertIfNegative val="0"/>
          <c:dLbls>
            <c:dLbl>
              <c:idx val="0"/>
              <c:tx>
                <c:rich>
                  <a:bodyPr/>
                  <a:lstStyle/>
                  <a:p>
                    <a:r>
                      <a:rPr lang="en-US"/>
                      <a:t>70%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F54-41E9-A6D3-B15B39792F6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данных'!$E$196:$G$196</c:f>
              <c:strCache>
                <c:ptCount val="3"/>
                <c:pt idx="0">
                  <c:v>P1</c:v>
                </c:pt>
                <c:pt idx="1">
                  <c:v>P2</c:v>
                </c:pt>
                <c:pt idx="2">
                  <c:v>P3</c:v>
                </c:pt>
              </c:strCache>
            </c:strRef>
          </c:cat>
          <c:val>
            <c:numRef>
              <c:f>'Ввод данных'!$E$197:$G$197</c:f>
              <c:numCache>
                <c:formatCode>0.00%</c:formatCode>
                <c:ptCount val="3"/>
                <c:pt idx="0" formatCode="0%">
                  <c:v>0.7</c:v>
                </c:pt>
                <c:pt idx="1">
                  <c:v>0.72</c:v>
                </c:pt>
                <c:pt idx="2">
                  <c:v>0.8</c:v>
                </c:pt>
              </c:numCache>
            </c:numRef>
          </c:val>
          <c:extLst>
            <c:ext xmlns:c16="http://schemas.microsoft.com/office/drawing/2014/chart" uri="{C3380CC4-5D6E-409C-BE32-E72D297353CC}">
              <c16:uniqueId val="{00000001-4F54-41E9-A6D3-B15B39792F67}"/>
            </c:ext>
          </c:extLst>
        </c:ser>
        <c:ser>
          <c:idx val="1"/>
          <c:order val="1"/>
          <c:tx>
            <c:strRef>
              <c:f>'Ввод данных'!$D$198</c:f>
              <c:strCache>
                <c:ptCount val="1"/>
                <c:pt idx="0">
                  <c:v>Достигнуто </c:v>
                </c:pt>
              </c:strCache>
            </c:strRef>
          </c:tx>
          <c:spPr>
            <a:solidFill>
              <a:schemeClr val="accent2"/>
            </a:solidFill>
            <a:ln>
              <a:noFill/>
            </a:ln>
            <a:effectLst/>
          </c:spPr>
          <c:invertIfNegative val="0"/>
          <c:dLbls>
            <c:dLbl>
              <c:idx val="0"/>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F54-41E9-A6D3-B15B39792F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данных'!$E$196:$G$196</c:f>
              <c:strCache>
                <c:ptCount val="3"/>
                <c:pt idx="0">
                  <c:v>P1</c:v>
                </c:pt>
                <c:pt idx="1">
                  <c:v>P2</c:v>
                </c:pt>
                <c:pt idx="2">
                  <c:v>P3</c:v>
                </c:pt>
              </c:strCache>
            </c:strRef>
          </c:cat>
          <c:val>
            <c:numRef>
              <c:f>'Ввод данных'!$E$198:$G$198</c:f>
              <c:numCache>
                <c:formatCode>0.00%</c:formatCode>
                <c:ptCount val="3"/>
                <c:pt idx="0" formatCode="0%">
                  <c:v>0.68</c:v>
                </c:pt>
                <c:pt idx="1">
                  <c:v>0.69520000000000004</c:v>
                </c:pt>
                <c:pt idx="2">
                  <c:v>0.79320000000000002</c:v>
                </c:pt>
              </c:numCache>
            </c:numRef>
          </c:val>
          <c:extLst>
            <c:ext xmlns:c16="http://schemas.microsoft.com/office/drawing/2014/chart" uri="{C3380CC4-5D6E-409C-BE32-E72D297353CC}">
              <c16:uniqueId val="{00000003-4F54-41E9-A6D3-B15B39792F67}"/>
            </c:ext>
          </c:extLst>
        </c:ser>
        <c:dLbls>
          <c:showLegendKey val="0"/>
          <c:showVal val="1"/>
          <c:showCatName val="0"/>
          <c:showSerName val="0"/>
          <c:showPercent val="0"/>
          <c:showBubbleSize val="0"/>
        </c:dLbls>
        <c:gapWidth val="150"/>
        <c:overlap val="-25"/>
        <c:axId val="1511059472"/>
        <c:axId val="1511063824"/>
      </c:barChart>
      <c:catAx>
        <c:axId val="151105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3824"/>
        <c:crosses val="autoZero"/>
        <c:auto val="1"/>
        <c:lblAlgn val="ctr"/>
        <c:lblOffset val="100"/>
        <c:noMultiLvlLbl val="0"/>
      </c:catAx>
      <c:valAx>
        <c:axId val="1511063824"/>
        <c:scaling>
          <c:orientation val="minMax"/>
        </c:scaling>
        <c:delete val="1"/>
        <c:axPos val="l"/>
        <c:numFmt formatCode="0%" sourceLinked="1"/>
        <c:majorTickMark val="none"/>
        <c:minorTickMark val="none"/>
        <c:tickLblPos val="nextTo"/>
        <c:crossAx val="1511059472"/>
        <c:crosses val="autoZero"/>
        <c:crossBetween val="between"/>
      </c:valAx>
      <c:spPr>
        <a:noFill/>
        <a:ln>
          <a:noFill/>
        </a:ln>
        <a:effectLst/>
      </c:spPr>
    </c:plotArea>
    <c:legend>
      <c:legendPos val="t"/>
      <c:layout>
        <c:manualLayout>
          <c:xMode val="edge"/>
          <c:yMode val="edge"/>
          <c:x val="0.16948667135520623"/>
          <c:y val="0.14742951907131011"/>
          <c:w val="0.51638426283155525"/>
          <c:h val="8.88531969928702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a:t>HTS-5 </a:t>
            </a:r>
            <a:r>
              <a:rPr lang="az-Cyrl-AZ"/>
              <a:t>Процент людей с впервые выявленным ВИЧ, начавших АРТ					</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'Ввод данных'!$D$199</c:f>
              <c:strCache>
                <c:ptCount val="1"/>
                <c:pt idx="0">
                  <c:v>Целевой показатель</c:v>
                </c:pt>
              </c:strCache>
            </c:strRef>
          </c:tx>
          <c:spPr>
            <a:solidFill>
              <a:schemeClr val="accent1"/>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'Ввод данных'!$E$199:$G$199</c:f>
              <c:numCache>
                <c:formatCode>0.00%</c:formatCode>
                <c:ptCount val="3"/>
                <c:pt idx="0" formatCode="0%">
                  <c:v>0.9</c:v>
                </c:pt>
                <c:pt idx="1">
                  <c:v>0.9</c:v>
                </c:pt>
                <c:pt idx="2">
                  <c:v>0.9</c:v>
                </c:pt>
              </c:numCache>
            </c:numRef>
          </c:val>
          <c:extLst>
            <c:ext xmlns:c16="http://schemas.microsoft.com/office/drawing/2014/chart" uri="{C3380CC4-5D6E-409C-BE32-E72D297353CC}">
              <c16:uniqueId val="{00000000-8069-409E-86CE-63C3A3F2FDEF}"/>
            </c:ext>
          </c:extLst>
        </c:ser>
        <c:ser>
          <c:idx val="0"/>
          <c:order val="1"/>
          <c:tx>
            <c:strRef>
              <c:f>'Ввод данных'!$D$200</c:f>
              <c:strCache>
                <c:ptCount val="1"/>
                <c:pt idx="0">
                  <c:v>Достигнуто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'Ввод данных'!$E$200:$G$200</c:f>
              <c:numCache>
                <c:formatCode>0.00%</c:formatCode>
                <c:ptCount val="3"/>
                <c:pt idx="0" formatCode="0%">
                  <c:v>0.88</c:v>
                </c:pt>
                <c:pt idx="1">
                  <c:v>0.92</c:v>
                </c:pt>
                <c:pt idx="2">
                  <c:v>0.89</c:v>
                </c:pt>
              </c:numCache>
            </c:numRef>
          </c:val>
          <c:extLst>
            <c:ext xmlns:c16="http://schemas.microsoft.com/office/drawing/2014/chart" uri="{C3380CC4-5D6E-409C-BE32-E72D297353CC}">
              <c16:uniqueId val="{00000001-8069-409E-86CE-63C3A3F2FDEF}"/>
            </c:ext>
          </c:extLst>
        </c:ser>
        <c:dLbls>
          <c:showLegendKey val="0"/>
          <c:showVal val="1"/>
          <c:showCatName val="0"/>
          <c:showSerName val="0"/>
          <c:showPercent val="0"/>
          <c:showBubbleSize val="0"/>
        </c:dLbls>
        <c:gapWidth val="150"/>
        <c:overlap val="-25"/>
        <c:axId val="1511070352"/>
        <c:axId val="1511060560"/>
      </c:barChart>
      <c:catAx>
        <c:axId val="151107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0560"/>
        <c:crosses val="autoZero"/>
        <c:auto val="1"/>
        <c:lblAlgn val="ctr"/>
        <c:lblOffset val="100"/>
        <c:noMultiLvlLbl val="0"/>
      </c:catAx>
      <c:valAx>
        <c:axId val="1511060560"/>
        <c:scaling>
          <c:orientation val="minMax"/>
        </c:scaling>
        <c:delete val="1"/>
        <c:axPos val="l"/>
        <c:numFmt formatCode="0%" sourceLinked="1"/>
        <c:majorTickMark val="none"/>
        <c:minorTickMark val="none"/>
        <c:tickLblPos val="nextTo"/>
        <c:crossAx val="1511070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326686947608713E-2"/>
          <c:y val="0.23113881949596191"/>
          <c:w val="0.84029484029484081"/>
          <c:h val="0.53469387755102082"/>
        </c:manualLayout>
      </c:layout>
      <c:barChart>
        <c:barDir val="col"/>
        <c:grouping val="clustered"/>
        <c:varyColors val="0"/>
        <c:ser>
          <c:idx val="0"/>
          <c:order val="0"/>
          <c:tx>
            <c:strRef>
              <c:f>Financing!$B$34</c:f>
              <c:strCache>
                <c:ptCount val="1"/>
                <c:pt idx="0">
                  <c:v>Совокупный бюджет</c:v>
                </c:pt>
              </c:strCache>
            </c:strRef>
          </c:tx>
          <c:spPr>
            <a:solidFill>
              <a:srgbClr val="993366"/>
            </a:solidFill>
            <a:ln w="6350">
              <a:solidFill>
                <a:schemeClr val="tx1">
                  <a:lumMod val="95000"/>
                  <a:lumOff val="5000"/>
                </a:schemeClr>
              </a:solidFill>
            </a:ln>
            <a:effectLst>
              <a:outerShdw blurRad="25400" dist="38100" dir="2700000" algn="ctr" rotWithShape="0">
                <a:sysClr val="windowText" lastClr="000000"/>
              </a:outerShdw>
            </a:effectLst>
          </c:spPr>
          <c:invertIfNegative val="0"/>
          <c:cat>
            <c:strRef>
              <c:f>'Data Input'!$A$39:$A$63</c:f>
              <c:strCache>
                <c:ptCount val="25"/>
                <c:pt idx="0">
                  <c:v>COVID diagnosis and testing</c:v>
                </c:pt>
                <c:pt idx="1">
                  <c:v>Mitigating negative impacts on HIV programs</c:v>
                </c:pt>
                <c:pt idx="2">
                  <c:v>Removing human rights and gender-related barriers to services</c:v>
                </c:pt>
                <c:pt idx="3">
                  <c:v>Case management, clinical operations and treatment</c:v>
                </c:pt>
                <c:pt idx="4">
                  <c:v>Infection prevention, control and protection of healthcare workers</c:v>
                </c:pt>
                <c:pt idx="5">
                  <c:v>Laboratory systems</c:v>
                </c:pt>
                <c:pt idx="6">
                  <c:v>Mitigating negative impacts for TB programs</c:v>
                </c:pt>
                <c:pt idx="7">
                  <c:v>Surveillance: Epidemiological Survey and Contact Tracking</c:v>
                </c:pt>
                <c:pt idx="8">
                  <c:v>Behavior change interventions</c:v>
                </c:pt>
                <c:pt idx="9">
                  <c:v>Needle and syringe exchange programs</c:v>
                </c:pt>
                <c:pt idx="10">
                  <c:v>Opioid substitution therapy and other medically assisted drug dependence treatment</c:v>
                </c:pt>
                <c:pt idx="11">
                  <c:v>Treatment (MDR-TB)</c:v>
                </c:pt>
                <c:pt idx="12">
                  <c:v>Case detection and diagnosis (MDR-TB)</c:v>
                </c:pt>
                <c:pt idx="13">
                  <c:v>Community-based MDR-TB care</c:v>
                </c:pt>
                <c:pt idx="14">
                  <c:v>Differentiated provision of ART and HIV care services</c:v>
                </c:pt>
                <c:pt idx="15">
                  <c:v>Counseling and psychosocial support</c:v>
                </c:pt>
                <c:pt idx="16">
                  <c:v>Institutional testing</c:v>
                </c:pt>
                <c:pt idx="17">
                  <c:v>Community testing</c:v>
                </c:pt>
                <c:pt idx="18">
                  <c:v>Community mobilization and advocacy (HIV/TB)</c:v>
                </c:pt>
                <c:pt idx="19">
                  <c:v>Reducing stigma and discrimination (HIV/TB)</c:v>
                </c:pt>
                <c:pt idx="20">
                  <c:v>Legal services on HIV and HIV/TB</c:v>
                </c:pt>
                <c:pt idx="21">
                  <c:v>Quality management systems and accreditation</c:v>
                </c:pt>
                <c:pt idx="22">
                  <c:v>Infrastructure and equipment management systems</c:v>
                </c:pt>
                <c:pt idx="23">
                  <c:v>Regular reporting</c:v>
                </c:pt>
                <c:pt idx="24">
                  <c:v>Grant Management</c:v>
                </c:pt>
              </c:strCache>
            </c:strRef>
          </c:cat>
          <c:val>
            <c:numRef>
              <c:f>'Data Input'!$B$39:$B$63</c:f>
              <c:numCache>
                <c:formatCode>_(* #,##0.00_);_(* \(#,##0.00\);_(* "-"??_);_(@_)</c:formatCode>
                <c:ptCount val="25"/>
                <c:pt idx="0">
                  <c:v>163926.47654375</c:v>
                </c:pt>
                <c:pt idx="1">
                  <c:v>171209.729791786</c:v>
                </c:pt>
                <c:pt idx="2">
                  <c:v>35491.420828175302</c:v>
                </c:pt>
                <c:pt idx="3">
                  <c:v>682686.40496734099</c:v>
                </c:pt>
                <c:pt idx="4">
                  <c:v>3786.12</c:v>
                </c:pt>
                <c:pt idx="5">
                  <c:v>245616.80968087001</c:v>
                </c:pt>
                <c:pt idx="6">
                  <c:v>6115.83</c:v>
                </c:pt>
                <c:pt idx="7">
                  <c:v>13479.328406041201</c:v>
                </c:pt>
                <c:pt idx="8">
                  <c:v>622376.47550645506</c:v>
                </c:pt>
                <c:pt idx="9">
                  <c:v>474007.19648429699</c:v>
                </c:pt>
                <c:pt idx="10">
                  <c:v>639118.93305226695</c:v>
                </c:pt>
                <c:pt idx="11">
                  <c:v>4404661.1840626597</c:v>
                </c:pt>
                <c:pt idx="12">
                  <c:v>1998542.4898747499</c:v>
                </c:pt>
                <c:pt idx="13">
                  <c:v>301710.16954890598</c:v>
                </c:pt>
                <c:pt idx="14">
                  <c:v>806403.61089733196</c:v>
                </c:pt>
                <c:pt idx="15">
                  <c:v>256031.911378035</c:v>
                </c:pt>
                <c:pt idx="16">
                  <c:v>43440.876561402998</c:v>
                </c:pt>
                <c:pt idx="17">
                  <c:v>382805.48576712399</c:v>
                </c:pt>
                <c:pt idx="18">
                  <c:v>201468.92299868801</c:v>
                </c:pt>
                <c:pt idx="19">
                  <c:v>346009.23123738897</c:v>
                </c:pt>
                <c:pt idx="20">
                  <c:v>154884.99120251799</c:v>
                </c:pt>
                <c:pt idx="21">
                  <c:v>80758.025659360297</c:v>
                </c:pt>
                <c:pt idx="22">
                  <c:v>327867.71000000002</c:v>
                </c:pt>
                <c:pt idx="23">
                  <c:v>37508.501581438897</c:v>
                </c:pt>
                <c:pt idx="24" formatCode="#,##0.00">
                  <c:v>4283483.4248652896</c:v>
                </c:pt>
              </c:numCache>
            </c:numRef>
          </c:val>
          <c:extLst>
            <c:ext xmlns:c16="http://schemas.microsoft.com/office/drawing/2014/chart" uri="{C3380CC4-5D6E-409C-BE32-E72D297353CC}">
              <c16:uniqueId val="{00000000-9781-4CCF-A4C6-D7FD3E46F947}"/>
            </c:ext>
          </c:extLst>
        </c:ser>
        <c:ser>
          <c:idx val="1"/>
          <c:order val="1"/>
          <c:tx>
            <c:strRef>
              <c:f>Financing!$B$36</c:f>
              <c:strCache>
                <c:ptCount val="1"/>
                <c:pt idx="0">
                  <c:v>Совокупные расходы</c:v>
                </c:pt>
              </c:strCache>
            </c:strRef>
          </c:tx>
          <c:spPr>
            <a:solidFill>
              <a:schemeClr val="accent4">
                <a:lumMod val="40000"/>
                <a:lumOff val="60000"/>
              </a:schemeClr>
            </a:solidFill>
            <a:ln w="3175">
              <a:solidFill>
                <a:schemeClr val="accent2">
                  <a:lumMod val="50000"/>
                </a:schemeClr>
              </a:solidFill>
            </a:ln>
            <a:effectLst>
              <a:outerShdw blurRad="50800" dist="38100" dir="2100000" algn="ctr" rotWithShape="0">
                <a:schemeClr val="tx1">
                  <a:lumMod val="85000"/>
                  <a:lumOff val="15000"/>
                  <a:alpha val="87000"/>
                </a:schemeClr>
              </a:outerShdw>
            </a:effectLst>
          </c:spPr>
          <c:invertIfNegative val="0"/>
          <c:cat>
            <c:strRef>
              <c:f>'Data Input'!$A$39:$A$63</c:f>
              <c:strCache>
                <c:ptCount val="25"/>
                <c:pt idx="0">
                  <c:v>COVID diagnosis and testing</c:v>
                </c:pt>
                <c:pt idx="1">
                  <c:v>Mitigating negative impacts on HIV programs</c:v>
                </c:pt>
                <c:pt idx="2">
                  <c:v>Removing human rights and gender-related barriers to services</c:v>
                </c:pt>
                <c:pt idx="3">
                  <c:v>Case management, clinical operations and treatment</c:v>
                </c:pt>
                <c:pt idx="4">
                  <c:v>Infection prevention, control and protection of healthcare workers</c:v>
                </c:pt>
                <c:pt idx="5">
                  <c:v>Laboratory systems</c:v>
                </c:pt>
                <c:pt idx="6">
                  <c:v>Mitigating negative impacts for TB programs</c:v>
                </c:pt>
                <c:pt idx="7">
                  <c:v>Surveillance: Epidemiological Survey and Contact Tracking</c:v>
                </c:pt>
                <c:pt idx="8">
                  <c:v>Behavior change interventions</c:v>
                </c:pt>
                <c:pt idx="9">
                  <c:v>Needle and syringe exchange programs</c:v>
                </c:pt>
                <c:pt idx="10">
                  <c:v>Opioid substitution therapy and other medically assisted drug dependence treatment</c:v>
                </c:pt>
                <c:pt idx="11">
                  <c:v>Treatment (MDR-TB)</c:v>
                </c:pt>
                <c:pt idx="12">
                  <c:v>Case detection and diagnosis (MDR-TB)</c:v>
                </c:pt>
                <c:pt idx="13">
                  <c:v>Community-based MDR-TB care</c:v>
                </c:pt>
                <c:pt idx="14">
                  <c:v>Differentiated provision of ART and HIV care services</c:v>
                </c:pt>
                <c:pt idx="15">
                  <c:v>Counseling and psychosocial support</c:v>
                </c:pt>
                <c:pt idx="16">
                  <c:v>Institutional testing</c:v>
                </c:pt>
                <c:pt idx="17">
                  <c:v>Community testing</c:v>
                </c:pt>
                <c:pt idx="18">
                  <c:v>Community mobilization and advocacy (HIV/TB)</c:v>
                </c:pt>
                <c:pt idx="19">
                  <c:v>Reducing stigma and discrimination (HIV/TB)</c:v>
                </c:pt>
                <c:pt idx="20">
                  <c:v>Legal services on HIV and HIV/TB</c:v>
                </c:pt>
                <c:pt idx="21">
                  <c:v>Quality management systems and accreditation</c:v>
                </c:pt>
                <c:pt idx="22">
                  <c:v>Infrastructure and equipment management systems</c:v>
                </c:pt>
                <c:pt idx="23">
                  <c:v>Regular reporting</c:v>
                </c:pt>
                <c:pt idx="24">
                  <c:v>Grant Management</c:v>
                </c:pt>
              </c:strCache>
            </c:strRef>
          </c:cat>
          <c:val>
            <c:numRef>
              <c:f>'Data Input'!$C$39:$C$63</c:f>
              <c:numCache>
                <c:formatCode>_(* #,##0.00_);_(* \(#,##0.00\);_(* "-"??_);_(@_)</c:formatCode>
                <c:ptCount val="25"/>
                <c:pt idx="0">
                  <c:v>147866.40999999997</c:v>
                </c:pt>
                <c:pt idx="1">
                  <c:v>171816.64148626212</c:v>
                </c:pt>
                <c:pt idx="2">
                  <c:v>35214.704746335963</c:v>
                </c:pt>
                <c:pt idx="3">
                  <c:v>589208.44000000006</c:v>
                </c:pt>
                <c:pt idx="4">
                  <c:v>4262.0400000000045</c:v>
                </c:pt>
                <c:pt idx="5">
                  <c:v>108149.88</c:v>
                </c:pt>
                <c:pt idx="6">
                  <c:v>6115.8338373415199</c:v>
                </c:pt>
                <c:pt idx="7">
                  <c:v>405.75</c:v>
                </c:pt>
                <c:pt idx="8">
                  <c:v>516180.186478936</c:v>
                </c:pt>
                <c:pt idx="9">
                  <c:v>464674.15776443062</c:v>
                </c:pt>
                <c:pt idx="10">
                  <c:v>274431.96121758735</c:v>
                </c:pt>
                <c:pt idx="11">
                  <c:v>3638433.9274053522</c:v>
                </c:pt>
                <c:pt idx="12">
                  <c:v>1666218.23</c:v>
                </c:pt>
                <c:pt idx="13">
                  <c:v>247387.24424886791</c:v>
                </c:pt>
                <c:pt idx="14">
                  <c:v>1404028.4630516658</c:v>
                </c:pt>
                <c:pt idx="15">
                  <c:v>160625.49261041783</c:v>
                </c:pt>
                <c:pt idx="16">
                  <c:v>57980.12</c:v>
                </c:pt>
                <c:pt idx="17">
                  <c:v>267166.52999999997</c:v>
                </c:pt>
                <c:pt idx="18">
                  <c:v>260593.68994123259</c:v>
                </c:pt>
                <c:pt idx="19">
                  <c:v>325630.09924792207</c:v>
                </c:pt>
                <c:pt idx="20">
                  <c:v>162578.77078917698</c:v>
                </c:pt>
                <c:pt idx="21">
                  <c:v>95468.270992981066</c:v>
                </c:pt>
                <c:pt idx="22">
                  <c:v>93871.61</c:v>
                </c:pt>
                <c:pt idx="23">
                  <c:v>46972.964552252335</c:v>
                </c:pt>
                <c:pt idx="24" formatCode="#,##0">
                  <c:v>2643542.6360858721</c:v>
                </c:pt>
              </c:numCache>
            </c:numRef>
          </c:val>
          <c:extLst>
            <c:ext xmlns:c16="http://schemas.microsoft.com/office/drawing/2014/chart" uri="{C3380CC4-5D6E-409C-BE32-E72D297353CC}">
              <c16:uniqueId val="{00000001-9781-4CCF-A4C6-D7FD3E46F947}"/>
            </c:ext>
          </c:extLst>
        </c:ser>
        <c:dLbls>
          <c:showLegendKey val="0"/>
          <c:showVal val="0"/>
          <c:showCatName val="0"/>
          <c:showSerName val="0"/>
          <c:showPercent val="0"/>
          <c:showBubbleSize val="0"/>
        </c:dLbls>
        <c:gapWidth val="150"/>
        <c:axId val="1388297024"/>
        <c:axId val="1388292128"/>
      </c:barChart>
      <c:catAx>
        <c:axId val="138829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388292128"/>
        <c:crosses val="autoZero"/>
        <c:auto val="1"/>
        <c:lblAlgn val="ctr"/>
        <c:lblOffset val="100"/>
        <c:tickMarkSkip val="1"/>
        <c:noMultiLvlLbl val="0"/>
      </c:catAx>
      <c:valAx>
        <c:axId val="138829212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1388297024"/>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a:t>TCS-1.1⁽ᴹ⁾ </a:t>
            </a:r>
            <a:r>
              <a:rPr lang="az-Cyrl-AZ"/>
              <a:t>Процент людей, получающих АРТ, среди всех людей, живущих с ВИЧ, на конец отчетного периода					</a:t>
            </a:r>
          </a:p>
        </c:rich>
      </c:tx>
      <c:layout>
        <c:manualLayout>
          <c:xMode val="edge"/>
          <c:yMode val="edge"/>
          <c:x val="9.7200540445663577E-2"/>
          <c:y val="3.1620553359683792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1607165244810873E-2"/>
          <c:y val="0.41958879750515099"/>
          <c:w val="0.95654014778838503"/>
          <c:h val="0.47126236863080889"/>
        </c:manualLayout>
      </c:layout>
      <c:barChart>
        <c:barDir val="col"/>
        <c:grouping val="clustered"/>
        <c:varyColors val="0"/>
        <c:ser>
          <c:idx val="0"/>
          <c:order val="0"/>
          <c:tx>
            <c:strRef>
              <c:f>'Ввод данных'!$D$201</c:f>
              <c:strCache>
                <c:ptCount val="1"/>
                <c:pt idx="0">
                  <c:v>Целевой показатель</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'Ввод данных'!$E$201:$G$201</c:f>
              <c:numCache>
                <c:formatCode>0.00%</c:formatCode>
                <c:ptCount val="3"/>
                <c:pt idx="0" formatCode="0%">
                  <c:v>0.72</c:v>
                </c:pt>
                <c:pt idx="1">
                  <c:v>0.81330000000000002</c:v>
                </c:pt>
                <c:pt idx="2">
                  <c:v>0.9</c:v>
                </c:pt>
              </c:numCache>
            </c:numRef>
          </c:val>
          <c:extLst>
            <c:ext xmlns:c16="http://schemas.microsoft.com/office/drawing/2014/chart" uri="{C3380CC4-5D6E-409C-BE32-E72D297353CC}">
              <c16:uniqueId val="{00000000-8B8B-4643-939A-940101B30EC9}"/>
            </c:ext>
          </c:extLst>
        </c:ser>
        <c:ser>
          <c:idx val="1"/>
          <c:order val="1"/>
          <c:tx>
            <c:strRef>
              <c:f>'Ввод данных'!$D$202</c:f>
              <c:strCache>
                <c:ptCount val="1"/>
                <c:pt idx="0">
                  <c:v>Достигнуто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'Ввод данных'!$E$202:$G$202</c:f>
              <c:numCache>
                <c:formatCode>0.00%</c:formatCode>
                <c:ptCount val="3"/>
                <c:pt idx="0" formatCode="0.0%">
                  <c:v>0.54</c:v>
                </c:pt>
                <c:pt idx="1">
                  <c:v>0.57469999999999999</c:v>
                </c:pt>
                <c:pt idx="2">
                  <c:v>0.57750000000000001</c:v>
                </c:pt>
              </c:numCache>
            </c:numRef>
          </c:val>
          <c:extLst>
            <c:ext xmlns:c16="http://schemas.microsoft.com/office/drawing/2014/chart" uri="{C3380CC4-5D6E-409C-BE32-E72D297353CC}">
              <c16:uniqueId val="{00000001-8B8B-4643-939A-940101B30EC9}"/>
            </c:ext>
          </c:extLst>
        </c:ser>
        <c:dLbls>
          <c:showLegendKey val="0"/>
          <c:showVal val="1"/>
          <c:showCatName val="0"/>
          <c:showSerName val="0"/>
          <c:showPercent val="0"/>
          <c:showBubbleSize val="0"/>
        </c:dLbls>
        <c:gapWidth val="150"/>
        <c:overlap val="-25"/>
        <c:axId val="1511065456"/>
        <c:axId val="1511062736"/>
      </c:barChart>
      <c:catAx>
        <c:axId val="151106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2736"/>
        <c:crosses val="autoZero"/>
        <c:auto val="1"/>
        <c:lblAlgn val="ctr"/>
        <c:lblOffset val="100"/>
        <c:noMultiLvlLbl val="0"/>
      </c:catAx>
      <c:valAx>
        <c:axId val="1511062736"/>
        <c:scaling>
          <c:orientation val="minMax"/>
        </c:scaling>
        <c:delete val="1"/>
        <c:axPos val="l"/>
        <c:numFmt formatCode="0%" sourceLinked="1"/>
        <c:majorTickMark val="none"/>
        <c:minorTickMark val="none"/>
        <c:tickLblPos val="nextTo"/>
        <c:crossAx val="1511065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0" i="0" u="none" strike="noStrike" baseline="0">
                <a:effectLst/>
              </a:rPr>
              <a:t>MDR TB-6: </a:t>
            </a:r>
            <a:r>
              <a:rPr lang="az-Cyrl-AZ" sz="1000" b="0" i="0" u="none" strike="noStrike" baseline="0">
                <a:effectLst/>
              </a:rPr>
              <a:t>Процент ТБ пациентов с результатом ТЛЧ как минимум к рифампицину среди общего количества зарегистрированных (новых и ранее леченных) случаев том же году</a:t>
            </a:r>
            <a:endParaRPr lang="az-Cyrl-AZ"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'Ввод данных'!$D$207</c:f>
              <c:strCache>
                <c:ptCount val="1"/>
                <c:pt idx="0">
                  <c:v>Целевой показатель</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данных'!$E$206:$I$206</c:f>
              <c:strCache>
                <c:ptCount val="5"/>
                <c:pt idx="0">
                  <c:v>Р1</c:v>
                </c:pt>
                <c:pt idx="1">
                  <c:v>Р2</c:v>
                </c:pt>
                <c:pt idx="2">
                  <c:v>P3</c:v>
                </c:pt>
                <c:pt idx="3">
                  <c:v>P4</c:v>
                </c:pt>
                <c:pt idx="4">
                  <c:v>P5</c:v>
                </c:pt>
              </c:strCache>
            </c:strRef>
          </c:cat>
          <c:val>
            <c:numRef>
              <c:f>'Ввод данных'!$E$207:$I$207</c:f>
              <c:numCache>
                <c:formatCode>0%</c:formatCode>
                <c:ptCount val="5"/>
                <c:pt idx="0">
                  <c:v>0.97</c:v>
                </c:pt>
                <c:pt idx="1">
                  <c:v>0.98</c:v>
                </c:pt>
                <c:pt idx="2">
                  <c:v>0.99</c:v>
                </c:pt>
              </c:numCache>
            </c:numRef>
          </c:val>
          <c:extLst>
            <c:ext xmlns:c16="http://schemas.microsoft.com/office/drawing/2014/chart" uri="{C3380CC4-5D6E-409C-BE32-E72D297353CC}">
              <c16:uniqueId val="{00000000-0A0B-4A94-BF49-F8773D175294}"/>
            </c:ext>
          </c:extLst>
        </c:ser>
        <c:ser>
          <c:idx val="1"/>
          <c:order val="1"/>
          <c:tx>
            <c:strRef>
              <c:f>'Ввод данных'!$D$208</c:f>
              <c:strCache>
                <c:ptCount val="1"/>
                <c:pt idx="0">
                  <c:v>Достигнуто</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данных'!$E$206:$I$206</c:f>
              <c:strCache>
                <c:ptCount val="5"/>
                <c:pt idx="0">
                  <c:v>Р1</c:v>
                </c:pt>
                <c:pt idx="1">
                  <c:v>Р2</c:v>
                </c:pt>
                <c:pt idx="2">
                  <c:v>P3</c:v>
                </c:pt>
                <c:pt idx="3">
                  <c:v>P4</c:v>
                </c:pt>
                <c:pt idx="4">
                  <c:v>P5</c:v>
                </c:pt>
              </c:strCache>
            </c:strRef>
          </c:cat>
          <c:val>
            <c:numRef>
              <c:f>'Ввод данных'!$E$208:$I$208</c:f>
              <c:numCache>
                <c:formatCode>0%</c:formatCode>
                <c:ptCount val="5"/>
                <c:pt idx="0">
                  <c:v>0.94</c:v>
                </c:pt>
                <c:pt idx="1">
                  <c:v>0.95</c:v>
                </c:pt>
                <c:pt idx="2">
                  <c:v>0.95</c:v>
                </c:pt>
              </c:numCache>
            </c:numRef>
          </c:val>
          <c:extLst>
            <c:ext xmlns:c16="http://schemas.microsoft.com/office/drawing/2014/chart" uri="{C3380CC4-5D6E-409C-BE32-E72D297353CC}">
              <c16:uniqueId val="{00000001-0A0B-4A94-BF49-F8773D175294}"/>
            </c:ext>
          </c:extLst>
        </c:ser>
        <c:dLbls>
          <c:showLegendKey val="0"/>
          <c:showVal val="1"/>
          <c:showCatName val="0"/>
          <c:showSerName val="0"/>
          <c:showPercent val="0"/>
          <c:showBubbleSize val="0"/>
        </c:dLbls>
        <c:gapWidth val="150"/>
        <c:overlap val="-25"/>
        <c:axId val="1511056208"/>
        <c:axId val="1511056752"/>
      </c:barChart>
      <c:catAx>
        <c:axId val="151105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56752"/>
        <c:crosses val="autoZero"/>
        <c:auto val="1"/>
        <c:lblAlgn val="ctr"/>
        <c:lblOffset val="100"/>
        <c:noMultiLvlLbl val="0"/>
      </c:catAx>
      <c:valAx>
        <c:axId val="1511056752"/>
        <c:scaling>
          <c:orientation val="minMax"/>
        </c:scaling>
        <c:delete val="1"/>
        <c:axPos val="l"/>
        <c:numFmt formatCode="0%" sourceLinked="1"/>
        <c:majorTickMark val="none"/>
        <c:minorTickMark val="none"/>
        <c:tickLblPos val="nextTo"/>
        <c:crossAx val="15110562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0" i="0" u="none" strike="noStrike" baseline="0">
                <a:effectLst/>
              </a:rPr>
              <a:t>MDR TB-3: </a:t>
            </a:r>
            <a:r>
              <a:rPr lang="az-Cyrl-AZ" sz="1000" b="0" i="0" u="none" strike="noStrike" baseline="0">
                <a:effectLst/>
              </a:rPr>
              <a:t>Количество случаев с РУ/МЛУ ТБ, начавших лечение препаратами второго ряда</a:t>
            </a:r>
            <a:endParaRPr lang="az-Cyrl-AZ"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'Ввод данных'!$D$211</c:f>
              <c:strCache>
                <c:ptCount val="1"/>
                <c:pt idx="0">
                  <c:v>Целевой показатель</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данных'!$E$206:$I$206</c:f>
              <c:strCache>
                <c:ptCount val="5"/>
                <c:pt idx="0">
                  <c:v>Р1</c:v>
                </c:pt>
                <c:pt idx="1">
                  <c:v>Р2</c:v>
                </c:pt>
                <c:pt idx="2">
                  <c:v>P3</c:v>
                </c:pt>
                <c:pt idx="3">
                  <c:v>P4</c:v>
                </c:pt>
                <c:pt idx="4">
                  <c:v>P5</c:v>
                </c:pt>
              </c:strCache>
            </c:strRef>
          </c:cat>
          <c:val>
            <c:numRef>
              <c:f>'Ввод данных'!$E$211:$I$211</c:f>
              <c:numCache>
                <c:formatCode>#,##0</c:formatCode>
                <c:ptCount val="5"/>
                <c:pt idx="0">
                  <c:v>1612</c:v>
                </c:pt>
                <c:pt idx="1">
                  <c:v>1832</c:v>
                </c:pt>
                <c:pt idx="2">
                  <c:v>1850</c:v>
                </c:pt>
              </c:numCache>
            </c:numRef>
          </c:val>
          <c:extLst>
            <c:ext xmlns:c16="http://schemas.microsoft.com/office/drawing/2014/chart" uri="{C3380CC4-5D6E-409C-BE32-E72D297353CC}">
              <c16:uniqueId val="{00000000-8F34-4FB0-885F-DFF0725675AB}"/>
            </c:ext>
          </c:extLst>
        </c:ser>
        <c:ser>
          <c:idx val="1"/>
          <c:order val="1"/>
          <c:tx>
            <c:strRef>
              <c:f>'Ввод данных'!$D$212</c:f>
              <c:strCache>
                <c:ptCount val="1"/>
                <c:pt idx="0">
                  <c:v>Достигнуто</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данных'!$E$206:$I$206</c:f>
              <c:strCache>
                <c:ptCount val="5"/>
                <c:pt idx="0">
                  <c:v>Р1</c:v>
                </c:pt>
                <c:pt idx="1">
                  <c:v>Р2</c:v>
                </c:pt>
                <c:pt idx="2">
                  <c:v>P3</c:v>
                </c:pt>
                <c:pt idx="3">
                  <c:v>P4</c:v>
                </c:pt>
                <c:pt idx="4">
                  <c:v>P5</c:v>
                </c:pt>
              </c:strCache>
            </c:strRef>
          </c:cat>
          <c:val>
            <c:numRef>
              <c:f>'Ввод данных'!$E$212:$I$212</c:f>
              <c:numCache>
                <c:formatCode>#,##0</c:formatCode>
                <c:ptCount val="5"/>
                <c:pt idx="0">
                  <c:v>934</c:v>
                </c:pt>
                <c:pt idx="1">
                  <c:v>904</c:v>
                </c:pt>
                <c:pt idx="2">
                  <c:v>776</c:v>
                </c:pt>
              </c:numCache>
            </c:numRef>
          </c:val>
          <c:extLst>
            <c:ext xmlns:c16="http://schemas.microsoft.com/office/drawing/2014/chart" uri="{C3380CC4-5D6E-409C-BE32-E72D297353CC}">
              <c16:uniqueId val="{00000001-8F34-4FB0-885F-DFF0725675AB}"/>
            </c:ext>
          </c:extLst>
        </c:ser>
        <c:dLbls>
          <c:showLegendKey val="0"/>
          <c:showVal val="1"/>
          <c:showCatName val="0"/>
          <c:showSerName val="0"/>
          <c:showPercent val="0"/>
          <c:showBubbleSize val="0"/>
        </c:dLbls>
        <c:gapWidth val="150"/>
        <c:overlap val="-25"/>
        <c:axId val="1512274016"/>
        <c:axId val="1512273472"/>
      </c:barChart>
      <c:catAx>
        <c:axId val="151227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273472"/>
        <c:crosses val="autoZero"/>
        <c:auto val="1"/>
        <c:lblAlgn val="ctr"/>
        <c:lblOffset val="100"/>
        <c:noMultiLvlLbl val="0"/>
      </c:catAx>
      <c:valAx>
        <c:axId val="1512273472"/>
        <c:scaling>
          <c:orientation val="minMax"/>
        </c:scaling>
        <c:delete val="1"/>
        <c:axPos val="l"/>
        <c:numFmt formatCode="#,##0" sourceLinked="1"/>
        <c:majorTickMark val="none"/>
        <c:minorTickMark val="none"/>
        <c:tickLblPos val="nextTo"/>
        <c:crossAx val="15122740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0" i="0" u="none" strike="noStrike" baseline="0">
                <a:effectLst/>
              </a:rPr>
              <a:t>MDR TB-7: </a:t>
            </a:r>
            <a:r>
              <a:rPr lang="az-Cyrl-AZ" sz="1000" b="0" i="0" u="none" strike="noStrike" baseline="0">
                <a:effectLst/>
              </a:rPr>
              <a:t>Процент подтвержденных МЛУ-ТБ случаев, протестированных на чувствительность к препаратам второго ряда</a:t>
            </a:r>
            <a:endParaRPr lang="az-Cyrl-AZ"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6907577767137161E-2"/>
          <c:y val="0.28708574224016331"/>
          <c:w val="0.97309242223286285"/>
          <c:h val="0.59200153327338678"/>
        </c:manualLayout>
      </c:layout>
      <c:barChart>
        <c:barDir val="col"/>
        <c:grouping val="clustered"/>
        <c:varyColors val="0"/>
        <c:ser>
          <c:idx val="0"/>
          <c:order val="0"/>
          <c:tx>
            <c:strRef>
              <c:f>'Ввод данных'!$D$213</c:f>
              <c:strCache>
                <c:ptCount val="1"/>
                <c:pt idx="0">
                  <c:v>Целевой показатель</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данных'!$E$206:$I$206</c:f>
              <c:strCache>
                <c:ptCount val="5"/>
                <c:pt idx="0">
                  <c:v>Р1</c:v>
                </c:pt>
                <c:pt idx="1">
                  <c:v>Р2</c:v>
                </c:pt>
                <c:pt idx="2">
                  <c:v>P3</c:v>
                </c:pt>
                <c:pt idx="3">
                  <c:v>P4</c:v>
                </c:pt>
                <c:pt idx="4">
                  <c:v>P5</c:v>
                </c:pt>
              </c:strCache>
            </c:strRef>
          </c:cat>
          <c:val>
            <c:numRef>
              <c:f>'Ввод данных'!$E$213:$I$213</c:f>
              <c:numCache>
                <c:formatCode>0%</c:formatCode>
                <c:ptCount val="5"/>
                <c:pt idx="0">
                  <c:v>0.72</c:v>
                </c:pt>
                <c:pt idx="1">
                  <c:v>0.75</c:v>
                </c:pt>
                <c:pt idx="2">
                  <c:v>0.8</c:v>
                </c:pt>
              </c:numCache>
            </c:numRef>
          </c:val>
          <c:extLst>
            <c:ext xmlns:c16="http://schemas.microsoft.com/office/drawing/2014/chart" uri="{C3380CC4-5D6E-409C-BE32-E72D297353CC}">
              <c16:uniqueId val="{00000000-544D-4E95-B8B6-23F3D269D94A}"/>
            </c:ext>
          </c:extLst>
        </c:ser>
        <c:ser>
          <c:idx val="1"/>
          <c:order val="1"/>
          <c:tx>
            <c:strRef>
              <c:f>'Ввод данных'!$D$214</c:f>
              <c:strCache>
                <c:ptCount val="1"/>
                <c:pt idx="0">
                  <c:v>Достигнуто</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данных'!$E$206:$I$206</c:f>
              <c:strCache>
                <c:ptCount val="5"/>
                <c:pt idx="0">
                  <c:v>Р1</c:v>
                </c:pt>
                <c:pt idx="1">
                  <c:v>Р2</c:v>
                </c:pt>
                <c:pt idx="2">
                  <c:v>P3</c:v>
                </c:pt>
                <c:pt idx="3">
                  <c:v>P4</c:v>
                </c:pt>
                <c:pt idx="4">
                  <c:v>P5</c:v>
                </c:pt>
              </c:strCache>
            </c:strRef>
          </c:cat>
          <c:val>
            <c:numRef>
              <c:f>'Ввод данных'!$E$214:$I$214</c:f>
              <c:numCache>
                <c:formatCode>0%</c:formatCode>
                <c:ptCount val="5"/>
                <c:pt idx="0">
                  <c:v>0.79</c:v>
                </c:pt>
                <c:pt idx="1">
                  <c:v>0.86699999999999999</c:v>
                </c:pt>
                <c:pt idx="2">
                  <c:v>0.86</c:v>
                </c:pt>
              </c:numCache>
            </c:numRef>
          </c:val>
          <c:extLst>
            <c:ext xmlns:c16="http://schemas.microsoft.com/office/drawing/2014/chart" uri="{C3380CC4-5D6E-409C-BE32-E72D297353CC}">
              <c16:uniqueId val="{00000001-544D-4E95-B8B6-23F3D269D94A}"/>
            </c:ext>
          </c:extLst>
        </c:ser>
        <c:dLbls>
          <c:showLegendKey val="0"/>
          <c:showVal val="1"/>
          <c:showCatName val="0"/>
          <c:showSerName val="0"/>
          <c:showPercent val="0"/>
          <c:showBubbleSize val="0"/>
        </c:dLbls>
        <c:gapWidth val="150"/>
        <c:overlap val="-25"/>
        <c:axId val="1512272384"/>
        <c:axId val="1512268032"/>
      </c:barChart>
      <c:catAx>
        <c:axId val="151227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268032"/>
        <c:crosses val="autoZero"/>
        <c:auto val="1"/>
        <c:lblAlgn val="ctr"/>
        <c:lblOffset val="100"/>
        <c:noMultiLvlLbl val="0"/>
      </c:catAx>
      <c:valAx>
        <c:axId val="1512268032"/>
        <c:scaling>
          <c:orientation val="minMax"/>
        </c:scaling>
        <c:delete val="1"/>
        <c:axPos val="l"/>
        <c:numFmt formatCode="0%" sourceLinked="1"/>
        <c:majorTickMark val="none"/>
        <c:minorTickMark val="none"/>
        <c:tickLblPos val="nextTo"/>
        <c:crossAx val="1512272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785501950377748"/>
          <c:y val="8.7064591064048028E-2"/>
          <c:w val="0.60327318841303279"/>
          <c:h val="0.55248767828383549"/>
        </c:manualLayout>
      </c:layout>
      <c:barChart>
        <c:barDir val="bar"/>
        <c:grouping val="percentStacked"/>
        <c:varyColors val="0"/>
        <c:ser>
          <c:idx val="1"/>
          <c:order val="0"/>
          <c:tx>
            <c:v>Получено</c:v>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D0DF-43F0-A32C-84560CFB42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'Ввод данных'!$A$110:$A$114</c:f>
              <c:strCache>
                <c:ptCount val="5"/>
                <c:pt idx="1">
                  <c:v>Отчеты ССР для СР ВИЧ/СПИД</c:v>
                </c:pt>
                <c:pt idx="2">
                  <c:v>Отчеты СР для ОР ВИЧ СПИД</c:v>
                </c:pt>
                <c:pt idx="3">
                  <c:v>Отчеты ССР для СР ТБ</c:v>
                </c:pt>
                <c:pt idx="4">
                  <c:v>Отчеты СР для ОР ТБ</c:v>
                </c:pt>
              </c:strCache>
            </c:strRef>
          </c:cat>
          <c:val>
            <c:numRef>
              <c:f>'Ввод данных'!$C$110:$C$114</c:f>
              <c:numCache>
                <c:formatCode>0</c:formatCode>
                <c:ptCount val="5"/>
                <c:pt idx="0" formatCode="General">
                  <c:v>0</c:v>
                </c:pt>
                <c:pt idx="1">
                  <c:v>0</c:v>
                </c:pt>
                <c:pt idx="2">
                  <c:v>35</c:v>
                </c:pt>
                <c:pt idx="4">
                  <c:v>7</c:v>
                </c:pt>
              </c:numCache>
            </c:numRef>
          </c:val>
          <c:extLst>
            <c:ext xmlns:c16="http://schemas.microsoft.com/office/drawing/2014/chart" uri="{C3380CC4-5D6E-409C-BE32-E72D297353CC}">
              <c16:uniqueId val="{00000001-D0DF-43F0-A32C-84560CFB428F}"/>
            </c:ext>
          </c:extLst>
        </c:ser>
        <c:ser>
          <c:idx val="2"/>
          <c:order val="1"/>
          <c:tx>
            <c:v>Ожидаемых к получению</c:v>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D0DF-43F0-A32C-84560CFB42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'Ввод данных'!$A$110:$A$114</c:f>
              <c:strCache>
                <c:ptCount val="5"/>
                <c:pt idx="1">
                  <c:v>Отчеты ССР для СР ВИЧ/СПИД</c:v>
                </c:pt>
                <c:pt idx="2">
                  <c:v>Отчеты СР для ОР ВИЧ СПИД</c:v>
                </c:pt>
                <c:pt idx="3">
                  <c:v>Отчеты ССР для СР ТБ</c:v>
                </c:pt>
                <c:pt idx="4">
                  <c:v>Отчеты СР для ОР ТБ</c:v>
                </c:pt>
              </c:strCache>
            </c:strRef>
          </c:cat>
          <c:val>
            <c:numRef>
              <c:f>'Ввод данных'!$D$110:$D$114</c:f>
              <c:numCache>
                <c:formatCode>0</c:formatCode>
                <c:ptCount val="5"/>
                <c:pt idx="0" formatCode="General">
                  <c:v>0</c:v>
                </c:pt>
                <c:pt idx="1">
                  <c:v>0</c:v>
                </c:pt>
                <c:pt idx="2">
                  <c:v>0</c:v>
                </c:pt>
                <c:pt idx="3">
                  <c:v>0</c:v>
                </c:pt>
                <c:pt idx="4">
                  <c:v>0</c:v>
                </c:pt>
              </c:numCache>
            </c:numRef>
          </c:val>
          <c:extLst>
            <c:ext xmlns:c16="http://schemas.microsoft.com/office/drawing/2014/chart" uri="{C3380CC4-5D6E-409C-BE32-E72D297353CC}">
              <c16:uniqueId val="{00000003-D0DF-43F0-A32C-84560CFB428F}"/>
            </c:ext>
          </c:extLst>
        </c:ser>
        <c:dLbls>
          <c:showLegendKey val="0"/>
          <c:showVal val="0"/>
          <c:showCatName val="0"/>
          <c:showSerName val="0"/>
          <c:showPercent val="0"/>
          <c:showBubbleSize val="0"/>
        </c:dLbls>
        <c:gapWidth val="150"/>
        <c:overlap val="100"/>
        <c:axId val="1388293216"/>
        <c:axId val="1388288320"/>
      </c:barChart>
      <c:catAx>
        <c:axId val="1388293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8288320"/>
        <c:crosses val="autoZero"/>
        <c:auto val="1"/>
        <c:lblAlgn val="ctr"/>
        <c:lblOffset val="100"/>
        <c:noMultiLvlLbl val="0"/>
      </c:catAx>
      <c:valAx>
        <c:axId val="138828832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8293216"/>
        <c:crosses val="max"/>
        <c:crossBetween val="between"/>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29364558711928962"/>
          <c:y val="0.80823145428488985"/>
          <c:w val="0.45690772078904501"/>
          <c:h val="0.104651844154626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1" l="0.75000000000000033" r="0.75000000000000033" t="1" header="0.5" footer="0.5"/>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chemeClr val="accent1"/>
            </a:solidFill>
            <a:ln>
              <a:noFill/>
            </a:ln>
            <a:effectLst/>
          </c:spPr>
          <c:invertIfNegative val="0"/>
          <c:cat>
            <c:strRef>
              <c:f>'Ввод данных'!$A$89:$A$92</c:f>
              <c:strCache>
                <c:ptCount val="4"/>
                <c:pt idx="0">
                  <c:v>Предварительные условия (ПУ) ВИЧ/СПИД</c:v>
                </c:pt>
                <c:pt idx="1">
                  <c:v>Действия с установленным сроком исполнения (ДУС) ВИЧ/СПИД</c:v>
                </c:pt>
                <c:pt idx="2">
                  <c:v>Предварительные условия (ПУ) ТБ</c:v>
                </c:pt>
                <c:pt idx="3">
                  <c:v>Действия с установленным сроком исполнения (ДУС) ТБ</c:v>
                </c:pt>
              </c:strCache>
            </c:strRef>
          </c:cat>
          <c:val>
            <c:numLit>
              <c:formatCode>General</c:formatCode>
              <c:ptCount val="4"/>
              <c:pt idx="0">
                <c:v>0</c:v>
              </c:pt>
              <c:pt idx="1">
                <c:v>0</c:v>
              </c:pt>
              <c:pt idx="2">
                <c:v>0</c:v>
              </c:pt>
              <c:pt idx="3">
                <c:v>0</c:v>
              </c:pt>
            </c:numLit>
          </c:val>
          <c:extLst>
            <c:ext xmlns:c16="http://schemas.microsoft.com/office/drawing/2014/chart" uri="{C3380CC4-5D6E-409C-BE32-E72D297353CC}">
              <c16:uniqueId val="{00000000-C341-426D-8C5A-0343B6E3DDB9}"/>
            </c:ext>
          </c:extLst>
        </c:ser>
        <c:ser>
          <c:idx val="1"/>
          <c:order val="1"/>
          <c:tx>
            <c:strRef>
              <c:f>'Ввод данных'!$C$88</c:f>
              <c:strCache>
                <c:ptCount val="1"/>
                <c:pt idx="0">
                  <c:v>Выполненные</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данных'!$A$89:$A$92</c:f>
              <c:strCache>
                <c:ptCount val="4"/>
                <c:pt idx="0">
                  <c:v>Предварительные условия (ПУ) ВИЧ/СПИД</c:v>
                </c:pt>
                <c:pt idx="1">
                  <c:v>Действия с установленным сроком исполнения (ДУС) ВИЧ/СПИД</c:v>
                </c:pt>
                <c:pt idx="2">
                  <c:v>Предварительные условия (ПУ) ТБ</c:v>
                </c:pt>
                <c:pt idx="3">
                  <c:v>Действия с установленным сроком исполнения (ДУС) ТБ</c:v>
                </c:pt>
              </c:strCache>
            </c:strRef>
          </c:cat>
          <c:val>
            <c:numRef>
              <c:f>'Ввод данных'!$C$89:$C$92</c:f>
              <c:numCache>
                <c:formatCode>0</c:formatCode>
                <c:ptCount val="4"/>
                <c:pt idx="0">
                  <c:v>0</c:v>
                </c:pt>
                <c:pt idx="1">
                  <c:v>0</c:v>
                </c:pt>
                <c:pt idx="2">
                  <c:v>0</c:v>
                </c:pt>
                <c:pt idx="3">
                  <c:v>0</c:v>
                </c:pt>
              </c:numCache>
            </c:numRef>
          </c:val>
          <c:extLst>
            <c:ext xmlns:c16="http://schemas.microsoft.com/office/drawing/2014/chart" uri="{C3380CC4-5D6E-409C-BE32-E72D297353CC}">
              <c16:uniqueId val="{00000001-C341-426D-8C5A-0343B6E3DDB9}"/>
            </c:ext>
          </c:extLst>
        </c:ser>
        <c:ser>
          <c:idx val="2"/>
          <c:order val="2"/>
          <c:tx>
            <c:strRef>
              <c:f>'Ввод данных'!$D$88</c:f>
              <c:strCache>
                <c:ptCount val="1"/>
                <c:pt idx="0">
                  <c:v>Невыполненные, но непросроченные</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данных'!$A$89:$A$92</c:f>
              <c:strCache>
                <c:ptCount val="4"/>
                <c:pt idx="0">
                  <c:v>Предварительные условия (ПУ) ВИЧ/СПИД</c:v>
                </c:pt>
                <c:pt idx="1">
                  <c:v>Действия с установленным сроком исполнения (ДУС) ВИЧ/СПИД</c:v>
                </c:pt>
                <c:pt idx="2">
                  <c:v>Предварительные условия (ПУ) ТБ</c:v>
                </c:pt>
                <c:pt idx="3">
                  <c:v>Действия с установленным сроком исполнения (ДУС) ТБ</c:v>
                </c:pt>
              </c:strCache>
            </c:strRef>
          </c:cat>
          <c:val>
            <c:numRef>
              <c:f>'Ввод данных'!$D$89:$D$92</c:f>
              <c:numCache>
                <c:formatCode>0</c:formatCode>
                <c:ptCount val="4"/>
                <c:pt idx="0">
                  <c:v>0</c:v>
                </c:pt>
                <c:pt idx="1">
                  <c:v>0</c:v>
                </c:pt>
                <c:pt idx="2">
                  <c:v>0</c:v>
                </c:pt>
                <c:pt idx="3">
                  <c:v>0</c:v>
                </c:pt>
              </c:numCache>
            </c:numRef>
          </c:val>
          <c:extLst>
            <c:ext xmlns:c16="http://schemas.microsoft.com/office/drawing/2014/chart" uri="{C3380CC4-5D6E-409C-BE32-E72D297353CC}">
              <c16:uniqueId val="{00000002-C341-426D-8C5A-0343B6E3DDB9}"/>
            </c:ext>
          </c:extLst>
        </c:ser>
        <c:ser>
          <c:idx val="3"/>
          <c:order val="3"/>
          <c:tx>
            <c:v>Невыполненные и просроченные</c:v>
          </c:tx>
          <c:spPr>
            <a:solidFill>
              <a:schemeClr val="accent1">
                <a:lumMod val="60000"/>
              </a:schemeClr>
            </a:solidFill>
            <a:ln>
              <a:noFill/>
            </a:ln>
            <a:effectLst/>
          </c:spPr>
          <c:invertIfNegative val="0"/>
          <c:cat>
            <c:strRef>
              <c:f>'Ввод данных'!$A$89:$A$92</c:f>
              <c:strCache>
                <c:ptCount val="4"/>
                <c:pt idx="0">
                  <c:v>Предварительные условия (ПУ) ВИЧ/СПИД</c:v>
                </c:pt>
                <c:pt idx="1">
                  <c:v>Действия с установленным сроком исполнения (ДУС) ВИЧ/СПИД</c:v>
                </c:pt>
                <c:pt idx="2">
                  <c:v>Предварительные условия (ПУ) ТБ</c:v>
                </c:pt>
                <c:pt idx="3">
                  <c:v>Действия с установленным сроком исполнения (ДУС) ТБ</c:v>
                </c:pt>
              </c:strCache>
            </c:strRef>
          </c:cat>
          <c:val>
            <c:numLit>
              <c:formatCode>General</c:formatCode>
              <c:ptCount val="4"/>
              <c:pt idx="0">
                <c:v>0</c:v>
              </c:pt>
              <c:pt idx="1">
                <c:v>0</c:v>
              </c:pt>
              <c:pt idx="2">
                <c:v>0</c:v>
              </c:pt>
              <c:pt idx="3">
                <c:v>0</c:v>
              </c:pt>
            </c:numLit>
          </c:val>
          <c:extLst>
            <c:ext xmlns:c16="http://schemas.microsoft.com/office/drawing/2014/chart" uri="{C3380CC4-5D6E-409C-BE32-E72D297353CC}">
              <c16:uniqueId val="{00000003-C341-426D-8C5A-0343B6E3DDB9}"/>
            </c:ext>
          </c:extLst>
        </c:ser>
        <c:dLbls>
          <c:showLegendKey val="0"/>
          <c:showVal val="0"/>
          <c:showCatName val="0"/>
          <c:showSerName val="0"/>
          <c:showPercent val="0"/>
          <c:showBubbleSize val="0"/>
        </c:dLbls>
        <c:gapWidth val="55"/>
        <c:overlap val="100"/>
        <c:axId val="1511067088"/>
        <c:axId val="1511068720"/>
      </c:barChart>
      <c:catAx>
        <c:axId val="1511067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8720"/>
        <c:crosses val="autoZero"/>
        <c:auto val="1"/>
        <c:lblAlgn val="ctr"/>
        <c:lblOffset val="100"/>
        <c:tickLblSkip val="1"/>
        <c:tickMarkSkip val="1"/>
        <c:noMultiLvlLbl val="0"/>
      </c:catAx>
      <c:valAx>
        <c:axId val="151106872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511067088"/>
        <c:crosses val="autoZero"/>
        <c:crossBetween val="between"/>
      </c:valAx>
      <c:spPr>
        <a:noFill/>
        <a:ln>
          <a:noFill/>
        </a:ln>
        <a:effectLst/>
      </c:spPr>
    </c:plotArea>
    <c:legend>
      <c:legendPos val="r"/>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alignWithMargins="0"/>
    <c:pageMargins b="1" l="0.75000000000000033" r="0.75000000000000033"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'Ввод данных'!$A$98</c:f>
              <c:strCache>
                <c:ptCount val="1"/>
                <c:pt idx="0">
                  <c:v>ВИЧ/СПИД</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данных'!$B$104:$F$104</c:f>
              <c:strCache>
                <c:ptCount val="5"/>
                <c:pt idx="0">
                  <c:v>Определеные</c:v>
                </c:pt>
                <c:pt idx="1">
                  <c:v>Прошедшие оценку</c:v>
                </c:pt>
                <c:pt idx="2">
                  <c:v>Одобренные</c:v>
                </c:pt>
                <c:pt idx="3">
                  <c:v>Подписавшие соглашение</c:v>
                </c:pt>
                <c:pt idx="4">
                  <c:v>Получающие финансирование</c:v>
                </c:pt>
              </c:strCache>
            </c:strRef>
          </c:cat>
          <c:val>
            <c:numRef>
              <c:f>'Ввод данных'!$B$105:$F$105</c:f>
              <c:numCache>
                <c:formatCode>General</c:formatCode>
                <c:ptCount val="5"/>
                <c:pt idx="0">
                  <c:v>22</c:v>
                </c:pt>
                <c:pt idx="1">
                  <c:v>22</c:v>
                </c:pt>
                <c:pt idx="2">
                  <c:v>22</c:v>
                </c:pt>
                <c:pt idx="3">
                  <c:v>22</c:v>
                </c:pt>
                <c:pt idx="4">
                  <c:v>22</c:v>
                </c:pt>
              </c:numCache>
            </c:numRef>
          </c:val>
          <c:extLst>
            <c:ext xmlns:c16="http://schemas.microsoft.com/office/drawing/2014/chart" uri="{C3380CC4-5D6E-409C-BE32-E72D297353CC}">
              <c16:uniqueId val="{00000000-F463-48E8-B12C-3FB7CCB91F3D}"/>
            </c:ext>
          </c:extLst>
        </c:ser>
        <c:ser>
          <c:idx val="1"/>
          <c:order val="1"/>
          <c:tx>
            <c:strRef>
              <c:f>'Ввод данных'!$A$100</c:f>
              <c:strCache>
                <c:ptCount val="1"/>
                <c:pt idx="0">
                  <c:v>Общее (оба компонента)</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данных'!$B$104:$F$104</c:f>
              <c:strCache>
                <c:ptCount val="5"/>
                <c:pt idx="0">
                  <c:v>Определеные</c:v>
                </c:pt>
                <c:pt idx="1">
                  <c:v>Прошедшие оценку</c:v>
                </c:pt>
                <c:pt idx="2">
                  <c:v>Одобренные</c:v>
                </c:pt>
                <c:pt idx="3">
                  <c:v>Подписавшие соглашение</c:v>
                </c:pt>
                <c:pt idx="4">
                  <c:v>Получающие финансирование</c:v>
                </c:pt>
              </c:strCache>
            </c:strRef>
          </c:cat>
          <c:val>
            <c:numRef>
              <c:f>'Ввод данных'!$B$106:$F$106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463-48E8-B12C-3FB7CCB91F3D}"/>
            </c:ext>
          </c:extLst>
        </c:ser>
        <c:dLbls>
          <c:showLegendKey val="0"/>
          <c:showVal val="1"/>
          <c:showCatName val="0"/>
          <c:showSerName val="0"/>
          <c:showPercent val="0"/>
          <c:showBubbleSize val="0"/>
        </c:dLbls>
        <c:gapWidth val="150"/>
        <c:overlap val="-25"/>
        <c:axId val="1511067632"/>
        <c:axId val="1511058928"/>
      </c:barChart>
      <c:catAx>
        <c:axId val="1511067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58928"/>
        <c:crosses val="autoZero"/>
        <c:auto val="1"/>
        <c:lblAlgn val="ctr"/>
        <c:lblOffset val="100"/>
        <c:noMultiLvlLbl val="0"/>
      </c:catAx>
      <c:valAx>
        <c:axId val="1511058928"/>
        <c:scaling>
          <c:orientation val="minMax"/>
        </c:scaling>
        <c:delete val="1"/>
        <c:axPos val="l"/>
        <c:numFmt formatCode="General" sourceLinked="1"/>
        <c:majorTickMark val="none"/>
        <c:minorTickMark val="none"/>
        <c:tickLblPos val="nextTo"/>
        <c:crossAx val="1511067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'Ввод данных'!$A$122</c:f>
              <c:strCache>
                <c:ptCount val="1"/>
                <c:pt idx="0">
                  <c:v>Совокупный утвердженный бюджет*</c:v>
                </c:pt>
              </c:strCache>
            </c:strRef>
          </c:tx>
          <c:spPr>
            <a:solidFill>
              <a:schemeClr val="accent1"/>
            </a:solidFill>
            <a:ln>
              <a:noFill/>
            </a:ln>
            <a:effectLst/>
          </c:spPr>
          <c:invertIfNegative val="0"/>
          <c:cat>
            <c:strRef>
              <c:f>'Ввод данных'!$B$118:$F$118</c:f>
              <c:strCache>
                <c:ptCount val="5"/>
                <c:pt idx="0">
                  <c:v>P1</c:v>
                </c:pt>
                <c:pt idx="1">
                  <c:v>P2</c:v>
                </c:pt>
                <c:pt idx="2">
                  <c:v>P3</c:v>
                </c:pt>
                <c:pt idx="3">
                  <c:v>P4</c:v>
                </c:pt>
                <c:pt idx="4">
                  <c:v>P5</c:v>
                </c:pt>
              </c:strCache>
            </c:strRef>
          </c:cat>
          <c:val>
            <c:numRef>
              <c:f>'Ввод данных'!$B$122:$F$122</c:f>
              <c:numCache>
                <c:formatCode>#,##0</c:formatCode>
                <c:ptCount val="5"/>
                <c:pt idx="0">
                  <c:v>1718389.82</c:v>
                </c:pt>
                <c:pt idx="1">
                  <c:v>6653148.3300000001</c:v>
                </c:pt>
                <c:pt idx="2">
                  <c:v>14211371.180461455</c:v>
                </c:pt>
              </c:numCache>
            </c:numRef>
          </c:val>
          <c:extLst>
            <c:ext xmlns:c16="http://schemas.microsoft.com/office/drawing/2014/chart" uri="{C3380CC4-5D6E-409C-BE32-E72D297353CC}">
              <c16:uniqueId val="{00000000-EB13-4F7D-8DAB-80A91977D624}"/>
            </c:ext>
          </c:extLst>
        </c:ser>
        <c:ser>
          <c:idx val="1"/>
          <c:order val="1"/>
          <c:tx>
            <c:strRef>
              <c:f>'Ввод данных'!$A$123</c:f>
              <c:strCache>
                <c:ptCount val="1"/>
                <c:pt idx="0">
                  <c:v>Общий объем финансовых обязательств</c:v>
                </c:pt>
              </c:strCache>
            </c:strRef>
          </c:tx>
          <c:spPr>
            <a:solidFill>
              <a:schemeClr val="accent2"/>
            </a:solidFill>
            <a:ln>
              <a:noFill/>
            </a:ln>
            <a:effectLst/>
          </c:spPr>
          <c:invertIfNegative val="0"/>
          <c:cat>
            <c:strRef>
              <c:f>'Ввод данных'!$B$118:$F$118</c:f>
              <c:strCache>
                <c:ptCount val="5"/>
                <c:pt idx="0">
                  <c:v>P1</c:v>
                </c:pt>
                <c:pt idx="1">
                  <c:v>P2</c:v>
                </c:pt>
                <c:pt idx="2">
                  <c:v>P3</c:v>
                </c:pt>
                <c:pt idx="3">
                  <c:v>P4</c:v>
                </c:pt>
                <c:pt idx="4">
                  <c:v>P5</c:v>
                </c:pt>
              </c:strCache>
            </c:strRef>
          </c:cat>
          <c:val>
            <c:numRef>
              <c:f>'Ввод данных'!$B$123:$F$123</c:f>
              <c:numCache>
                <c:formatCode>#,##0</c:formatCode>
                <c:ptCount val="5"/>
                <c:pt idx="0">
                  <c:v>2445797</c:v>
                </c:pt>
                <c:pt idx="1">
                  <c:v>4134253.8999999994</c:v>
                </c:pt>
                <c:pt idx="2">
                  <c:v>313996.26</c:v>
                </c:pt>
              </c:numCache>
            </c:numRef>
          </c:val>
          <c:extLst>
            <c:ext xmlns:c16="http://schemas.microsoft.com/office/drawing/2014/chart" uri="{C3380CC4-5D6E-409C-BE32-E72D297353CC}">
              <c16:uniqueId val="{00000001-EB13-4F7D-8DAB-80A91977D624}"/>
            </c:ext>
          </c:extLst>
        </c:ser>
        <c:ser>
          <c:idx val="2"/>
          <c:order val="2"/>
          <c:tx>
            <c:strRef>
              <c:f>'Ввод данных'!$A$124</c:f>
              <c:strCache>
                <c:ptCount val="1"/>
                <c:pt idx="0">
                  <c:v>Общий объем расходов</c:v>
                </c:pt>
              </c:strCache>
            </c:strRef>
          </c:tx>
          <c:spPr>
            <a:solidFill>
              <a:schemeClr val="accent3"/>
            </a:solidFill>
            <a:ln>
              <a:noFill/>
            </a:ln>
            <a:effectLst/>
          </c:spPr>
          <c:invertIfNegative val="0"/>
          <c:cat>
            <c:strRef>
              <c:f>'Ввод данных'!$B$118:$F$118</c:f>
              <c:strCache>
                <c:ptCount val="5"/>
                <c:pt idx="0">
                  <c:v>P1</c:v>
                </c:pt>
                <c:pt idx="1">
                  <c:v>P2</c:v>
                </c:pt>
                <c:pt idx="2">
                  <c:v>P3</c:v>
                </c:pt>
                <c:pt idx="3">
                  <c:v>P4</c:v>
                </c:pt>
                <c:pt idx="4">
                  <c:v>P5</c:v>
                </c:pt>
              </c:strCache>
            </c:strRef>
          </c:cat>
          <c:val>
            <c:numRef>
              <c:f>'Ввод данных'!$B$124:$F$124</c:f>
              <c:numCache>
                <c:formatCode>#,##0</c:formatCode>
                <c:ptCount val="5"/>
                <c:pt idx="0">
                  <c:v>1718390</c:v>
                </c:pt>
                <c:pt idx="1">
                  <c:v>6653148.5100000007</c:v>
                </c:pt>
                <c:pt idx="2">
                  <c:v>13686833.25</c:v>
                </c:pt>
              </c:numCache>
            </c:numRef>
          </c:val>
          <c:extLst>
            <c:ext xmlns:c16="http://schemas.microsoft.com/office/drawing/2014/chart" uri="{C3380CC4-5D6E-409C-BE32-E72D297353CC}">
              <c16:uniqueId val="{00000002-EB13-4F7D-8DAB-80A91977D624}"/>
            </c:ext>
          </c:extLst>
        </c:ser>
        <c:dLbls>
          <c:showLegendKey val="0"/>
          <c:showVal val="0"/>
          <c:showCatName val="0"/>
          <c:showSerName val="0"/>
          <c:showPercent val="0"/>
          <c:showBubbleSize val="0"/>
        </c:dLbls>
        <c:gapWidth val="219"/>
        <c:overlap val="-27"/>
        <c:axId val="390931016"/>
        <c:axId val="390927408"/>
      </c:barChart>
      <c:catAx>
        <c:axId val="390931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927408"/>
        <c:crosses val="autoZero"/>
        <c:auto val="1"/>
        <c:lblAlgn val="ctr"/>
        <c:lblOffset val="100"/>
        <c:noMultiLvlLbl val="0"/>
      </c:catAx>
      <c:valAx>
        <c:axId val="390927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0931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'Ввод данных'!$A$98</c:f>
              <c:strCache>
                <c:ptCount val="1"/>
                <c:pt idx="0">
                  <c:v>ВИЧ/СПИД</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данных'!$B$97:$D$97</c:f>
              <c:strCache>
                <c:ptCount val="3"/>
                <c:pt idx="0">
                  <c:v>Запланировано</c:v>
                </c:pt>
                <c:pt idx="1">
                  <c:v>Заполнено</c:v>
                </c:pt>
                <c:pt idx="2">
                  <c:v>Вакантно</c:v>
                </c:pt>
              </c:strCache>
            </c:strRef>
          </c:cat>
          <c:val>
            <c:numRef>
              <c:f>'Ввод данных'!$B$98:$D$98</c:f>
              <c:numCache>
                <c:formatCode>0</c:formatCode>
                <c:ptCount val="3"/>
                <c:pt idx="0">
                  <c:v>5</c:v>
                </c:pt>
                <c:pt idx="1">
                  <c:v>5</c:v>
                </c:pt>
                <c:pt idx="2">
                  <c:v>0</c:v>
                </c:pt>
              </c:numCache>
            </c:numRef>
          </c:val>
          <c:extLst>
            <c:ext xmlns:c16="http://schemas.microsoft.com/office/drawing/2014/chart" uri="{C3380CC4-5D6E-409C-BE32-E72D297353CC}">
              <c16:uniqueId val="{00000000-A2FF-4BCB-AE2C-B411F432F56D}"/>
            </c:ext>
          </c:extLst>
        </c:ser>
        <c:ser>
          <c:idx val="0"/>
          <c:order val="1"/>
          <c:tx>
            <c:strRef>
              <c:f>'Ввод данных'!$A$99</c:f>
              <c:strCache>
                <c:ptCount val="1"/>
                <c:pt idx="0">
                  <c:v>ТБ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данных'!$B$97:$D$97</c:f>
              <c:strCache>
                <c:ptCount val="3"/>
                <c:pt idx="0">
                  <c:v>Запланировано</c:v>
                </c:pt>
                <c:pt idx="1">
                  <c:v>Заполнено</c:v>
                </c:pt>
                <c:pt idx="2">
                  <c:v>Вакантно</c:v>
                </c:pt>
              </c:strCache>
            </c:strRef>
          </c:cat>
          <c:val>
            <c:numRef>
              <c:f>'Ввод данных'!$B$99:$D$99</c:f>
              <c:numCache>
                <c:formatCode>0</c:formatCode>
                <c:ptCount val="3"/>
                <c:pt idx="0" formatCode="General">
                  <c:v>2</c:v>
                </c:pt>
                <c:pt idx="1">
                  <c:v>2</c:v>
                </c:pt>
                <c:pt idx="2">
                  <c:v>0</c:v>
                </c:pt>
              </c:numCache>
            </c:numRef>
          </c:val>
          <c:extLst>
            <c:ext xmlns:c16="http://schemas.microsoft.com/office/drawing/2014/chart" uri="{C3380CC4-5D6E-409C-BE32-E72D297353CC}">
              <c16:uniqueId val="{00000001-A2FF-4BCB-AE2C-B411F432F56D}"/>
            </c:ext>
          </c:extLst>
        </c:ser>
        <c:ser>
          <c:idx val="2"/>
          <c:order val="2"/>
          <c:tx>
            <c:strRef>
              <c:f>'Ввод данных'!$A$100</c:f>
              <c:strCache>
                <c:ptCount val="1"/>
                <c:pt idx="0">
                  <c:v>Общее (оба компонента)</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данных'!$B$97:$D$97</c:f>
              <c:strCache>
                <c:ptCount val="3"/>
                <c:pt idx="0">
                  <c:v>Запланировано</c:v>
                </c:pt>
                <c:pt idx="1">
                  <c:v>Заполнено</c:v>
                </c:pt>
                <c:pt idx="2">
                  <c:v>Вакантно</c:v>
                </c:pt>
              </c:strCache>
            </c:strRef>
          </c:cat>
          <c:val>
            <c:numRef>
              <c:f>'Ввод данных'!$B$100:$D$100</c:f>
              <c:numCache>
                <c:formatCode>0</c:formatCode>
                <c:ptCount val="3"/>
                <c:pt idx="0" formatCode="General">
                  <c:v>17</c:v>
                </c:pt>
                <c:pt idx="1">
                  <c:v>17</c:v>
                </c:pt>
                <c:pt idx="2">
                  <c:v>0</c:v>
                </c:pt>
              </c:numCache>
            </c:numRef>
          </c:val>
          <c:extLst>
            <c:ext xmlns:c16="http://schemas.microsoft.com/office/drawing/2014/chart" uri="{C3380CC4-5D6E-409C-BE32-E72D297353CC}">
              <c16:uniqueId val="{00000002-A2FF-4BCB-AE2C-B411F432F56D}"/>
            </c:ext>
          </c:extLst>
        </c:ser>
        <c:dLbls>
          <c:showLegendKey val="0"/>
          <c:showVal val="1"/>
          <c:showCatName val="0"/>
          <c:showSerName val="0"/>
          <c:showPercent val="0"/>
          <c:showBubbleSize val="0"/>
        </c:dLbls>
        <c:gapWidth val="150"/>
        <c:overlap val="-25"/>
        <c:axId val="1511063280"/>
        <c:axId val="1511061648"/>
      </c:barChart>
      <c:catAx>
        <c:axId val="151106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1648"/>
        <c:crosses val="autoZero"/>
        <c:auto val="1"/>
        <c:lblAlgn val="ctr"/>
        <c:lblOffset val="100"/>
        <c:noMultiLvlLbl val="0"/>
      </c:catAx>
      <c:valAx>
        <c:axId val="1511061648"/>
        <c:scaling>
          <c:orientation val="minMax"/>
        </c:scaling>
        <c:delete val="1"/>
        <c:axPos val="l"/>
        <c:numFmt formatCode="0" sourceLinked="1"/>
        <c:majorTickMark val="none"/>
        <c:minorTickMark val="none"/>
        <c:tickLblPos val="nextTo"/>
        <c:crossAx val="15110632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1323416452564"/>
          <c:y val="8.1447963800904979E-2"/>
          <c:w val="0.73584990401346972"/>
          <c:h val="0.61085972850678782"/>
        </c:manualLayout>
      </c:layout>
      <c:barChart>
        <c:barDir val="col"/>
        <c:grouping val="stacked"/>
        <c:varyColors val="0"/>
        <c:ser>
          <c:idx val="0"/>
          <c:order val="0"/>
          <c:spPr>
            <a:solidFill>
              <a:srgbClr val="4F81BD"/>
            </a:solidFill>
            <a:ln w="12700">
              <a:solidFill>
                <a:srgbClr val="000000"/>
              </a:solidFill>
              <a:prstDash val="solid"/>
            </a:ln>
          </c:spPr>
          <c:invertIfNegative val="0"/>
          <c:cat>
            <c:strRef>
              <c:f>'Data Input'!$A$69:$A$72</c:f>
              <c:strCache>
                <c:ptCount val="4"/>
                <c:pt idx="0">
                  <c:v>Paid by the Global Fund</c:v>
                </c:pt>
                <c:pt idx="1">
                  <c:v>PR expenses and payments</c:v>
                </c:pt>
                <c:pt idx="2">
                  <c:v>Paid to subrecipients</c:v>
                </c:pt>
                <c:pt idx="3">
                  <c:v>Subrecipient expenses</c:v>
                </c:pt>
              </c:strCache>
            </c:strRef>
          </c:cat>
          <c:val>
            <c:numRef>
              <c:f>'Data Input'!$B$69:$B$72</c:f>
              <c:numCache>
                <c:formatCode>#,##0</c:formatCode>
                <c:ptCount val="4"/>
                <c:pt idx="0">
                  <c:v>21957907.009999998</c:v>
                </c:pt>
                <c:pt idx="1">
                  <c:v>12158982.398843355</c:v>
                </c:pt>
                <c:pt idx="2">
                  <c:v>4155763.69</c:v>
                </c:pt>
                <c:pt idx="3">
                  <c:v>3933382.8720644177</c:v>
                </c:pt>
              </c:numCache>
            </c:numRef>
          </c:val>
          <c:extLst>
            <c:ext xmlns:c16="http://schemas.microsoft.com/office/drawing/2014/chart" uri="{C3380CC4-5D6E-409C-BE32-E72D297353CC}">
              <c16:uniqueId val="{00000000-5069-486C-9143-BDD348A3A87F}"/>
            </c:ext>
          </c:extLst>
        </c:ser>
        <c:ser>
          <c:idx val="1"/>
          <c:order val="1"/>
          <c:spPr>
            <a:solidFill>
              <a:srgbClr val="C6D9F1"/>
            </a:solidFill>
            <a:ln w="12700">
              <a:solidFill>
                <a:srgbClr val="000000"/>
              </a:solidFill>
              <a:prstDash val="solid"/>
            </a:ln>
          </c:spPr>
          <c:invertIfNegative val="0"/>
          <c:cat>
            <c:strRef>
              <c:f>'Data Input'!$A$69:$A$72</c:f>
              <c:strCache>
                <c:ptCount val="4"/>
                <c:pt idx="0">
                  <c:v>Paid by the Global Fund</c:v>
                </c:pt>
                <c:pt idx="1">
                  <c:v>PR expenses and payments</c:v>
                </c:pt>
                <c:pt idx="2">
                  <c:v>Paid to subrecipients</c:v>
                </c:pt>
                <c:pt idx="3">
                  <c:v>Subrecipient expenses</c:v>
                </c:pt>
              </c:strCache>
            </c:strRef>
          </c:cat>
          <c:val>
            <c:numRef>
              <c:f>'Data Input'!$C$69:$C$72</c:f>
              <c:numCache>
                <c:formatCode>#,##0</c:formatCode>
                <c:ptCount val="4"/>
                <c:pt idx="0">
                  <c:v>11372549.949999999</c:v>
                </c:pt>
                <c:pt idx="1">
                  <c:v>11052794.31142755</c:v>
                </c:pt>
                <c:pt idx="2">
                  <c:v>2242134.7400000002</c:v>
                </c:pt>
                <c:pt idx="3">
                  <c:v>2336029.7430290864</c:v>
                </c:pt>
              </c:numCache>
            </c:numRef>
          </c:val>
          <c:extLst>
            <c:ext xmlns:c16="http://schemas.microsoft.com/office/drawing/2014/chart" uri="{C3380CC4-5D6E-409C-BE32-E72D297353CC}">
              <c16:uniqueId val="{00000001-5069-486C-9143-BDD348A3A87F}"/>
            </c:ext>
          </c:extLst>
        </c:ser>
        <c:dLbls>
          <c:showLegendKey val="0"/>
          <c:showVal val="0"/>
          <c:showCatName val="0"/>
          <c:showSerName val="0"/>
          <c:showPercent val="0"/>
          <c:showBubbleSize val="0"/>
        </c:dLbls>
        <c:gapWidth val="150"/>
        <c:overlap val="100"/>
        <c:axId val="1388286688"/>
        <c:axId val="1388282880"/>
      </c:barChart>
      <c:catAx>
        <c:axId val="1388286688"/>
        <c:scaling>
          <c:orientation val="minMax"/>
        </c:scaling>
        <c:delete val="0"/>
        <c:axPos val="b"/>
        <c:numFmt formatCode="General" sourceLinked="1"/>
        <c:majorTickMark val="none"/>
        <c:minorTickMark val="none"/>
        <c:tickLblPos val="nextTo"/>
        <c:crossAx val="1388282880"/>
        <c:crosses val="autoZero"/>
        <c:auto val="1"/>
        <c:lblAlgn val="ctr"/>
        <c:lblOffset val="100"/>
        <c:noMultiLvlLbl val="0"/>
      </c:catAx>
      <c:valAx>
        <c:axId val="1388282880"/>
        <c:scaling>
          <c:orientation val="minMax"/>
        </c:scaling>
        <c:delete val="0"/>
        <c:axPos val="l"/>
        <c:majorGridlines/>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388286688"/>
        <c:crosses val="autoZero"/>
        <c:crossBetween val="between"/>
      </c:valAx>
      <c:dTable>
        <c:showHorzBorder val="1"/>
        <c:showVertBorder val="1"/>
        <c:showOutline val="1"/>
        <c:showKeys val="1"/>
        <c:txPr>
          <a:bodyPr/>
          <a:lstStyle/>
          <a:p>
            <a:pPr rtl="0">
              <a:defRPr sz="500" baseline="0"/>
            </a:pPr>
            <a:endParaRPr lang="en-US"/>
          </a:p>
        </c:txPr>
      </c:dTable>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a:t>TCS-1.1⁽ᴹ⁾ Percentage of people receiving ART among all people living with HIV at the end of the reporting period</a:t>
            </a:r>
            <a:r>
              <a:rPr lang="az-Cyrl-AZ"/>
              <a:t>				</a:t>
            </a:r>
          </a:p>
        </c:rich>
      </c:tx>
      <c:layout>
        <c:manualLayout>
          <c:xMode val="edge"/>
          <c:yMode val="edge"/>
          <c:x val="9.7200540445663577E-2"/>
          <c:y val="3.1620553359683792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1607165244810873E-2"/>
          <c:y val="0.41958879750515099"/>
          <c:w val="0.95654014778838503"/>
          <c:h val="0.47126236863080889"/>
        </c:manualLayout>
      </c:layout>
      <c:barChart>
        <c:barDir val="col"/>
        <c:grouping val="clustered"/>
        <c:varyColors val="0"/>
        <c:ser>
          <c:idx val="0"/>
          <c:order val="0"/>
          <c:tx>
            <c:strRef>
              <c:f>'Data Input'!$D$201</c:f>
              <c:strCache>
                <c:ptCount val="1"/>
                <c:pt idx="0">
                  <c:v>Target indicator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Input'!$E$201:$G$201</c:f>
              <c:numCache>
                <c:formatCode>0.00%</c:formatCode>
                <c:ptCount val="3"/>
                <c:pt idx="0" formatCode="0%">
                  <c:v>0.72</c:v>
                </c:pt>
                <c:pt idx="1">
                  <c:v>0.81330000000000002</c:v>
                </c:pt>
                <c:pt idx="2">
                  <c:v>0.9</c:v>
                </c:pt>
              </c:numCache>
            </c:numRef>
          </c:val>
          <c:extLst>
            <c:ext xmlns:c16="http://schemas.microsoft.com/office/drawing/2014/chart" uri="{C3380CC4-5D6E-409C-BE32-E72D297353CC}">
              <c16:uniqueId val="{00000000-8E36-4759-95E6-C1FD3F67DC3B}"/>
            </c:ext>
          </c:extLst>
        </c:ser>
        <c:ser>
          <c:idx val="1"/>
          <c:order val="1"/>
          <c:tx>
            <c:strRef>
              <c:f>'Data Input'!$D$202</c:f>
              <c:strCache>
                <c:ptCount val="1"/>
                <c:pt idx="0">
                  <c:v>Achieved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Input'!$E$202:$G$202</c:f>
              <c:numCache>
                <c:formatCode>0.00%</c:formatCode>
                <c:ptCount val="3"/>
                <c:pt idx="0" formatCode="0.0%">
                  <c:v>0.54</c:v>
                </c:pt>
                <c:pt idx="1">
                  <c:v>0.57469999999999999</c:v>
                </c:pt>
                <c:pt idx="2">
                  <c:v>0.57750000000000001</c:v>
                </c:pt>
              </c:numCache>
            </c:numRef>
          </c:val>
          <c:extLst>
            <c:ext xmlns:c16="http://schemas.microsoft.com/office/drawing/2014/chart" uri="{C3380CC4-5D6E-409C-BE32-E72D297353CC}">
              <c16:uniqueId val="{00000001-41C3-4460-A67D-C690C6047B8A}"/>
            </c:ext>
          </c:extLst>
        </c:ser>
        <c:dLbls>
          <c:showLegendKey val="0"/>
          <c:showVal val="1"/>
          <c:showCatName val="0"/>
          <c:showSerName val="0"/>
          <c:showPercent val="0"/>
          <c:showBubbleSize val="0"/>
        </c:dLbls>
        <c:gapWidth val="150"/>
        <c:overlap val="-25"/>
        <c:axId val="1511065456"/>
        <c:axId val="1511062736"/>
      </c:barChart>
      <c:catAx>
        <c:axId val="151106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2736"/>
        <c:crosses val="autoZero"/>
        <c:auto val="1"/>
        <c:lblAlgn val="ctr"/>
        <c:lblOffset val="100"/>
        <c:noMultiLvlLbl val="0"/>
      </c:catAx>
      <c:valAx>
        <c:axId val="1511062736"/>
        <c:scaling>
          <c:orientation val="minMax"/>
        </c:scaling>
        <c:delete val="1"/>
        <c:axPos val="l"/>
        <c:numFmt formatCode="0%" sourceLinked="1"/>
        <c:majorTickMark val="none"/>
        <c:minorTickMark val="none"/>
        <c:tickLblPos val="nextTo"/>
        <c:crossAx val="1511065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0" i="0" u="none" strike="noStrike" baseline="0">
                <a:effectLst/>
              </a:rPr>
              <a:t>MDR TB-6: Percentage of TB patients with a DST result of at least rifampicin among the total number of registered (new and previously treated) cases in the same year</a:t>
            </a:r>
            <a:endParaRPr lang="az-Cyrl-AZ"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 Input'!$D$207</c:f>
              <c:strCache>
                <c:ptCount val="1"/>
                <c:pt idx="0">
                  <c:v>Target indicator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Input'!$E$206:$I$206</c:f>
              <c:strCache>
                <c:ptCount val="5"/>
                <c:pt idx="0">
                  <c:v>Р1</c:v>
                </c:pt>
                <c:pt idx="1">
                  <c:v>Р2</c:v>
                </c:pt>
                <c:pt idx="2">
                  <c:v>P3</c:v>
                </c:pt>
                <c:pt idx="3">
                  <c:v>P4</c:v>
                </c:pt>
                <c:pt idx="4">
                  <c:v>P5</c:v>
                </c:pt>
              </c:strCache>
            </c:strRef>
          </c:cat>
          <c:val>
            <c:numRef>
              <c:f>'Data Input'!$E$207:$I$207</c:f>
              <c:numCache>
                <c:formatCode>0%</c:formatCode>
                <c:ptCount val="5"/>
                <c:pt idx="0">
                  <c:v>0.97</c:v>
                </c:pt>
                <c:pt idx="1">
                  <c:v>0.98</c:v>
                </c:pt>
                <c:pt idx="2">
                  <c:v>0.99</c:v>
                </c:pt>
              </c:numCache>
            </c:numRef>
          </c:val>
          <c:extLst>
            <c:ext xmlns:c16="http://schemas.microsoft.com/office/drawing/2014/chart" uri="{C3380CC4-5D6E-409C-BE32-E72D297353CC}">
              <c16:uniqueId val="{00000000-3B9B-49FD-BF6F-70EC39C3254D}"/>
            </c:ext>
          </c:extLst>
        </c:ser>
        <c:ser>
          <c:idx val="1"/>
          <c:order val="1"/>
          <c:tx>
            <c:strRef>
              <c:f>'Data Input'!$D$208</c:f>
              <c:strCache>
                <c:ptCount val="1"/>
                <c:pt idx="0">
                  <c:v>Achieved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Input'!$E$206:$I$206</c:f>
              <c:strCache>
                <c:ptCount val="5"/>
                <c:pt idx="0">
                  <c:v>Р1</c:v>
                </c:pt>
                <c:pt idx="1">
                  <c:v>Р2</c:v>
                </c:pt>
                <c:pt idx="2">
                  <c:v>P3</c:v>
                </c:pt>
                <c:pt idx="3">
                  <c:v>P4</c:v>
                </c:pt>
                <c:pt idx="4">
                  <c:v>P5</c:v>
                </c:pt>
              </c:strCache>
            </c:strRef>
          </c:cat>
          <c:val>
            <c:numRef>
              <c:f>'Data Input'!$E$208:$I$208</c:f>
              <c:numCache>
                <c:formatCode>0%</c:formatCode>
                <c:ptCount val="5"/>
                <c:pt idx="0">
                  <c:v>0.94</c:v>
                </c:pt>
                <c:pt idx="1">
                  <c:v>0.95</c:v>
                </c:pt>
                <c:pt idx="2">
                  <c:v>0.95</c:v>
                </c:pt>
              </c:numCache>
            </c:numRef>
          </c:val>
          <c:extLst>
            <c:ext xmlns:c16="http://schemas.microsoft.com/office/drawing/2014/chart" uri="{C3380CC4-5D6E-409C-BE32-E72D297353CC}">
              <c16:uniqueId val="{00000001-3B9B-49FD-BF6F-70EC39C3254D}"/>
            </c:ext>
          </c:extLst>
        </c:ser>
        <c:dLbls>
          <c:showLegendKey val="0"/>
          <c:showVal val="1"/>
          <c:showCatName val="0"/>
          <c:showSerName val="0"/>
          <c:showPercent val="0"/>
          <c:showBubbleSize val="0"/>
        </c:dLbls>
        <c:gapWidth val="150"/>
        <c:overlap val="-25"/>
        <c:axId val="1511056208"/>
        <c:axId val="1511056752"/>
      </c:barChart>
      <c:catAx>
        <c:axId val="151105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56752"/>
        <c:crosses val="autoZero"/>
        <c:auto val="1"/>
        <c:lblAlgn val="ctr"/>
        <c:lblOffset val="100"/>
        <c:noMultiLvlLbl val="0"/>
      </c:catAx>
      <c:valAx>
        <c:axId val="1511056752"/>
        <c:scaling>
          <c:orientation val="minMax"/>
        </c:scaling>
        <c:delete val="1"/>
        <c:axPos val="l"/>
        <c:numFmt formatCode="0%" sourceLinked="1"/>
        <c:majorTickMark val="none"/>
        <c:minorTickMark val="none"/>
        <c:tickLblPos val="nextTo"/>
        <c:crossAx val="15110562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0" i="0" u="none" strike="noStrike" baseline="0">
                <a:effectLst/>
              </a:rPr>
              <a:t>MDR TB-3: Number of RR/MDR-TB cases started on second-line treatment</a:t>
            </a:r>
            <a:endParaRPr lang="az-Cyrl-AZ"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 Input'!$D$211</c:f>
              <c:strCache>
                <c:ptCount val="1"/>
                <c:pt idx="0">
                  <c:v>Target indicator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Input'!$E$206:$I$206</c:f>
              <c:strCache>
                <c:ptCount val="5"/>
                <c:pt idx="0">
                  <c:v>Р1</c:v>
                </c:pt>
                <c:pt idx="1">
                  <c:v>Р2</c:v>
                </c:pt>
                <c:pt idx="2">
                  <c:v>P3</c:v>
                </c:pt>
                <c:pt idx="3">
                  <c:v>P4</c:v>
                </c:pt>
                <c:pt idx="4">
                  <c:v>P5</c:v>
                </c:pt>
              </c:strCache>
            </c:strRef>
          </c:cat>
          <c:val>
            <c:numRef>
              <c:f>'Data Input'!$E$211:$I$211</c:f>
              <c:numCache>
                <c:formatCode>#,##0</c:formatCode>
                <c:ptCount val="5"/>
                <c:pt idx="0">
                  <c:v>1612</c:v>
                </c:pt>
                <c:pt idx="1">
                  <c:v>1832</c:v>
                </c:pt>
                <c:pt idx="2">
                  <c:v>1850</c:v>
                </c:pt>
              </c:numCache>
            </c:numRef>
          </c:val>
          <c:extLst>
            <c:ext xmlns:c16="http://schemas.microsoft.com/office/drawing/2014/chart" uri="{C3380CC4-5D6E-409C-BE32-E72D297353CC}">
              <c16:uniqueId val="{00000000-0FA3-483E-9E00-1641FC511067}"/>
            </c:ext>
          </c:extLst>
        </c:ser>
        <c:ser>
          <c:idx val="1"/>
          <c:order val="1"/>
          <c:tx>
            <c:strRef>
              <c:f>'Data Input'!$D$212</c:f>
              <c:strCache>
                <c:ptCount val="1"/>
                <c:pt idx="0">
                  <c:v>Achieved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Input'!$E$206:$I$206</c:f>
              <c:strCache>
                <c:ptCount val="5"/>
                <c:pt idx="0">
                  <c:v>Р1</c:v>
                </c:pt>
                <c:pt idx="1">
                  <c:v>Р2</c:v>
                </c:pt>
                <c:pt idx="2">
                  <c:v>P3</c:v>
                </c:pt>
                <c:pt idx="3">
                  <c:v>P4</c:v>
                </c:pt>
                <c:pt idx="4">
                  <c:v>P5</c:v>
                </c:pt>
              </c:strCache>
            </c:strRef>
          </c:cat>
          <c:val>
            <c:numRef>
              <c:f>'Data Input'!$E$212:$I$212</c:f>
              <c:numCache>
                <c:formatCode>#,##0</c:formatCode>
                <c:ptCount val="5"/>
                <c:pt idx="0">
                  <c:v>934</c:v>
                </c:pt>
                <c:pt idx="1">
                  <c:v>904</c:v>
                </c:pt>
                <c:pt idx="2">
                  <c:v>776</c:v>
                </c:pt>
              </c:numCache>
            </c:numRef>
          </c:val>
          <c:extLst>
            <c:ext xmlns:c16="http://schemas.microsoft.com/office/drawing/2014/chart" uri="{C3380CC4-5D6E-409C-BE32-E72D297353CC}">
              <c16:uniqueId val="{00000002-FBD6-4CFD-9ADD-E54BF7FE3C9B}"/>
            </c:ext>
          </c:extLst>
        </c:ser>
        <c:dLbls>
          <c:showLegendKey val="0"/>
          <c:showVal val="1"/>
          <c:showCatName val="0"/>
          <c:showSerName val="0"/>
          <c:showPercent val="0"/>
          <c:showBubbleSize val="0"/>
        </c:dLbls>
        <c:gapWidth val="150"/>
        <c:overlap val="-25"/>
        <c:axId val="1512274016"/>
        <c:axId val="1512273472"/>
      </c:barChart>
      <c:catAx>
        <c:axId val="151227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273472"/>
        <c:crosses val="autoZero"/>
        <c:auto val="1"/>
        <c:lblAlgn val="ctr"/>
        <c:lblOffset val="100"/>
        <c:noMultiLvlLbl val="0"/>
      </c:catAx>
      <c:valAx>
        <c:axId val="1512273472"/>
        <c:scaling>
          <c:orientation val="minMax"/>
        </c:scaling>
        <c:delete val="1"/>
        <c:axPos val="l"/>
        <c:numFmt formatCode="#,##0" sourceLinked="1"/>
        <c:majorTickMark val="none"/>
        <c:minorTickMark val="none"/>
        <c:tickLblPos val="nextTo"/>
        <c:crossAx val="15122740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0" i="0" u="none" strike="noStrike" baseline="0">
                <a:effectLst/>
              </a:rPr>
              <a:t>MDR TB-7: Percentage of confirmed MDR-TB cases tested for susceptibility to second-line drugs</a:t>
            </a:r>
            <a:endParaRPr lang="az-Cyrl-AZ"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6907577767137161E-2"/>
          <c:y val="0.28708574224016331"/>
          <c:w val="0.97309242223286285"/>
          <c:h val="0.59200153327338678"/>
        </c:manualLayout>
      </c:layout>
      <c:barChart>
        <c:barDir val="col"/>
        <c:grouping val="clustered"/>
        <c:varyColors val="0"/>
        <c:ser>
          <c:idx val="0"/>
          <c:order val="0"/>
          <c:tx>
            <c:strRef>
              <c:f>'Data Input'!$D$213</c:f>
              <c:strCache>
                <c:ptCount val="1"/>
                <c:pt idx="0">
                  <c:v>Target indicator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Input'!$E$206:$I$206</c:f>
              <c:strCache>
                <c:ptCount val="5"/>
                <c:pt idx="0">
                  <c:v>Р1</c:v>
                </c:pt>
                <c:pt idx="1">
                  <c:v>Р2</c:v>
                </c:pt>
                <c:pt idx="2">
                  <c:v>P3</c:v>
                </c:pt>
                <c:pt idx="3">
                  <c:v>P4</c:v>
                </c:pt>
                <c:pt idx="4">
                  <c:v>P5</c:v>
                </c:pt>
              </c:strCache>
            </c:strRef>
          </c:cat>
          <c:val>
            <c:numRef>
              <c:f>'Data Input'!$E$213:$I$213</c:f>
              <c:numCache>
                <c:formatCode>0%</c:formatCode>
                <c:ptCount val="5"/>
                <c:pt idx="0">
                  <c:v>0.72</c:v>
                </c:pt>
                <c:pt idx="1">
                  <c:v>0.75</c:v>
                </c:pt>
                <c:pt idx="2">
                  <c:v>0.8</c:v>
                </c:pt>
              </c:numCache>
            </c:numRef>
          </c:val>
          <c:extLst>
            <c:ext xmlns:c16="http://schemas.microsoft.com/office/drawing/2014/chart" uri="{C3380CC4-5D6E-409C-BE32-E72D297353CC}">
              <c16:uniqueId val="{00000000-C5F8-4F29-8519-CACFFDA40A9D}"/>
            </c:ext>
          </c:extLst>
        </c:ser>
        <c:ser>
          <c:idx val="1"/>
          <c:order val="1"/>
          <c:tx>
            <c:strRef>
              <c:f>'Data Input'!$D$214</c:f>
              <c:strCache>
                <c:ptCount val="1"/>
                <c:pt idx="0">
                  <c:v>Achieved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Input'!$E$206:$I$206</c:f>
              <c:strCache>
                <c:ptCount val="5"/>
                <c:pt idx="0">
                  <c:v>Р1</c:v>
                </c:pt>
                <c:pt idx="1">
                  <c:v>Р2</c:v>
                </c:pt>
                <c:pt idx="2">
                  <c:v>P3</c:v>
                </c:pt>
                <c:pt idx="3">
                  <c:v>P4</c:v>
                </c:pt>
                <c:pt idx="4">
                  <c:v>P5</c:v>
                </c:pt>
              </c:strCache>
            </c:strRef>
          </c:cat>
          <c:val>
            <c:numRef>
              <c:f>'Data Input'!$E$214:$I$214</c:f>
              <c:numCache>
                <c:formatCode>0%</c:formatCode>
                <c:ptCount val="5"/>
                <c:pt idx="0">
                  <c:v>0.79</c:v>
                </c:pt>
                <c:pt idx="1">
                  <c:v>0.86699999999999999</c:v>
                </c:pt>
                <c:pt idx="2">
                  <c:v>0.86</c:v>
                </c:pt>
              </c:numCache>
            </c:numRef>
          </c:val>
          <c:extLst>
            <c:ext xmlns:c16="http://schemas.microsoft.com/office/drawing/2014/chart" uri="{C3380CC4-5D6E-409C-BE32-E72D297353CC}">
              <c16:uniqueId val="{00000001-2990-4390-BC04-5B6D0F1A34CC}"/>
            </c:ext>
          </c:extLst>
        </c:ser>
        <c:dLbls>
          <c:showLegendKey val="0"/>
          <c:showVal val="1"/>
          <c:showCatName val="0"/>
          <c:showSerName val="0"/>
          <c:showPercent val="0"/>
          <c:showBubbleSize val="0"/>
        </c:dLbls>
        <c:gapWidth val="150"/>
        <c:overlap val="-25"/>
        <c:axId val="1512272384"/>
        <c:axId val="1512268032"/>
      </c:barChart>
      <c:catAx>
        <c:axId val="151227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268032"/>
        <c:crosses val="autoZero"/>
        <c:auto val="1"/>
        <c:lblAlgn val="ctr"/>
        <c:lblOffset val="100"/>
        <c:noMultiLvlLbl val="0"/>
      </c:catAx>
      <c:valAx>
        <c:axId val="1512268032"/>
        <c:scaling>
          <c:orientation val="minMax"/>
        </c:scaling>
        <c:delete val="1"/>
        <c:axPos val="l"/>
        <c:numFmt formatCode="0%" sourceLinked="1"/>
        <c:majorTickMark val="none"/>
        <c:minorTickMark val="none"/>
        <c:tickLblPos val="nextTo"/>
        <c:crossAx val="1512272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t>KP-1d⁽ᴹ⁾ Percentage of PWID covered by HIV prevention programs - minimum package of services</a:t>
            </a:r>
            <a:r>
              <a:rPr lang="az-Cyrl-AZ" sz="1000"/>
              <a:t>			</a:t>
            </a:r>
          </a:p>
        </c:rich>
      </c:tx>
      <c:overlay val="1"/>
      <c:spPr>
        <a:noFill/>
        <a:ln>
          <a:noFill/>
        </a:ln>
        <a:effectLst/>
      </c:spPr>
    </c:title>
    <c:autoTitleDeleted val="0"/>
    <c:plotArea>
      <c:layout/>
      <c:barChart>
        <c:barDir val="col"/>
        <c:grouping val="clustered"/>
        <c:varyColors val="0"/>
        <c:ser>
          <c:idx val="0"/>
          <c:order val="0"/>
          <c:tx>
            <c:strRef>
              <c:f>'Data Input'!$D$197</c:f>
              <c:strCache>
                <c:ptCount val="1"/>
                <c:pt idx="0">
                  <c:v>Target indicator</c:v>
                </c:pt>
              </c:strCache>
            </c:strRef>
          </c:tx>
          <c:spPr>
            <a:solidFill>
              <a:schemeClr val="accent1"/>
            </a:solidFill>
            <a:ln>
              <a:noFill/>
            </a:ln>
            <a:effectLst/>
          </c:spPr>
          <c:invertIfNegative val="0"/>
          <c:dLbls>
            <c:dLbl>
              <c:idx val="0"/>
              <c:tx>
                <c:rich>
                  <a:bodyPr/>
                  <a:lstStyle/>
                  <a:p>
                    <a:r>
                      <a:rPr lang="en-US"/>
                      <a:t>70%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0FE7-45E5-909E-BE9269799B0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данных'!$E$196:$G$196</c:f>
              <c:strCache>
                <c:ptCount val="3"/>
                <c:pt idx="0">
                  <c:v>P1</c:v>
                </c:pt>
                <c:pt idx="1">
                  <c:v>P2</c:v>
                </c:pt>
                <c:pt idx="2">
                  <c:v>P3</c:v>
                </c:pt>
              </c:strCache>
            </c:strRef>
          </c:cat>
          <c:val>
            <c:numRef>
              <c:f>'Ввод данных'!$E$197:$G$197</c:f>
              <c:numCache>
                <c:formatCode>0.00%</c:formatCode>
                <c:ptCount val="3"/>
                <c:pt idx="0" formatCode="0%">
                  <c:v>0.7</c:v>
                </c:pt>
                <c:pt idx="1">
                  <c:v>0.72</c:v>
                </c:pt>
                <c:pt idx="2">
                  <c:v>0.8</c:v>
                </c:pt>
              </c:numCache>
            </c:numRef>
          </c:val>
          <c:extLst>
            <c:ext xmlns:c16="http://schemas.microsoft.com/office/drawing/2014/chart" uri="{C3380CC4-5D6E-409C-BE32-E72D297353CC}">
              <c16:uniqueId val="{00000020-0FE7-45E5-909E-BE9269799B05}"/>
            </c:ext>
          </c:extLst>
        </c:ser>
        <c:ser>
          <c:idx val="1"/>
          <c:order val="1"/>
          <c:tx>
            <c:strRef>
              <c:f>'Data Input'!$D$198</c:f>
              <c:strCache>
                <c:ptCount val="1"/>
                <c:pt idx="0">
                  <c:v>Achieved</c:v>
                </c:pt>
              </c:strCache>
            </c:strRef>
          </c:tx>
          <c:spPr>
            <a:solidFill>
              <a:schemeClr val="accent2"/>
            </a:solidFill>
            <a:ln>
              <a:noFill/>
            </a:ln>
            <a:effectLst/>
          </c:spPr>
          <c:invertIfNegative val="0"/>
          <c:dLbls>
            <c:dLbl>
              <c:idx val="0"/>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0FE7-45E5-909E-BE9269799B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'Ввод данных'!$E$196:$G$196</c:f>
              <c:strCache>
                <c:ptCount val="3"/>
                <c:pt idx="0">
                  <c:v>P1</c:v>
                </c:pt>
                <c:pt idx="1">
                  <c:v>P2</c:v>
                </c:pt>
                <c:pt idx="2">
                  <c:v>P3</c:v>
                </c:pt>
              </c:strCache>
            </c:strRef>
          </c:cat>
          <c:val>
            <c:numRef>
              <c:f>'Ввод данных'!$E$198:$G$198</c:f>
              <c:numCache>
                <c:formatCode>0.00%</c:formatCode>
                <c:ptCount val="3"/>
                <c:pt idx="0" formatCode="0%">
                  <c:v>0.68</c:v>
                </c:pt>
                <c:pt idx="1">
                  <c:v>0.69520000000000004</c:v>
                </c:pt>
                <c:pt idx="2">
                  <c:v>0.79320000000000002</c:v>
                </c:pt>
              </c:numCache>
            </c:numRef>
          </c:val>
          <c:extLst>
            <c:ext xmlns:c16="http://schemas.microsoft.com/office/drawing/2014/chart" uri="{C3380CC4-5D6E-409C-BE32-E72D297353CC}">
              <c16:uniqueId val="{00000023-0FE7-45E5-909E-BE9269799B05}"/>
            </c:ext>
          </c:extLst>
        </c:ser>
        <c:dLbls>
          <c:showLegendKey val="0"/>
          <c:showVal val="1"/>
          <c:showCatName val="0"/>
          <c:showSerName val="0"/>
          <c:showPercent val="0"/>
          <c:showBubbleSize val="0"/>
        </c:dLbls>
        <c:gapWidth val="150"/>
        <c:overlap val="-25"/>
        <c:axId val="1511059472"/>
        <c:axId val="1511063824"/>
      </c:barChart>
      <c:catAx>
        <c:axId val="151105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3824"/>
        <c:crosses val="autoZero"/>
        <c:auto val="1"/>
        <c:lblAlgn val="ctr"/>
        <c:lblOffset val="100"/>
        <c:noMultiLvlLbl val="0"/>
      </c:catAx>
      <c:valAx>
        <c:axId val="1511063824"/>
        <c:scaling>
          <c:orientation val="minMax"/>
        </c:scaling>
        <c:delete val="1"/>
        <c:axPos val="l"/>
        <c:numFmt formatCode="0%" sourceLinked="1"/>
        <c:majorTickMark val="none"/>
        <c:minorTickMark val="none"/>
        <c:tickLblPos val="nextTo"/>
        <c:crossAx val="1511059472"/>
        <c:crosses val="autoZero"/>
        <c:crossBetween val="between"/>
      </c:valAx>
    </c:plotArea>
    <c:legend>
      <c:legendPos val="t"/>
      <c:layout>
        <c:manualLayout>
          <c:xMode val="edge"/>
          <c:yMode val="edge"/>
          <c:x val="0.16948667135520623"/>
          <c:y val="0.14742951907131011"/>
          <c:w val="0.51638426283155525"/>
          <c:h val="8.88531969928702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a:t>HTS-5 Percentage of people newly diagnosed with HIV who started ART</a:t>
            </a:r>
            <a:r>
              <a:rPr lang="az-Cyrl-AZ"/>
              <a:t>					</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'Data Input'!$D$199</c:f>
              <c:strCache>
                <c:ptCount val="1"/>
                <c:pt idx="0">
                  <c:v>Target indicator</c:v>
                </c:pt>
              </c:strCache>
            </c:strRef>
          </c:tx>
          <c:spPr>
            <a:solidFill>
              <a:schemeClr val="accent1"/>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Input'!$E$199:$G$199</c:f>
              <c:numCache>
                <c:formatCode>0%</c:formatCode>
                <c:ptCount val="3"/>
                <c:pt idx="0">
                  <c:v>0.9</c:v>
                </c:pt>
                <c:pt idx="1">
                  <c:v>0.9</c:v>
                </c:pt>
                <c:pt idx="2" formatCode="0.00%">
                  <c:v>0.9</c:v>
                </c:pt>
              </c:numCache>
            </c:numRef>
          </c:val>
          <c:extLst>
            <c:ext xmlns:c16="http://schemas.microsoft.com/office/drawing/2014/chart" uri="{C3380CC4-5D6E-409C-BE32-E72D297353CC}">
              <c16:uniqueId val="{00000000-2F8F-47EB-808C-E76FC898B679}"/>
            </c:ext>
          </c:extLst>
        </c:ser>
        <c:ser>
          <c:idx val="0"/>
          <c:order val="1"/>
          <c:tx>
            <c:strRef>
              <c:f>'Data Input'!$D$200</c:f>
              <c:strCache>
                <c:ptCount val="1"/>
                <c:pt idx="0">
                  <c:v>Achieved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Input'!$E$200:$G$200</c:f>
              <c:numCache>
                <c:formatCode>0.00%</c:formatCode>
                <c:ptCount val="3"/>
                <c:pt idx="0" formatCode="0%">
                  <c:v>0.88</c:v>
                </c:pt>
                <c:pt idx="1">
                  <c:v>0.92</c:v>
                </c:pt>
                <c:pt idx="2">
                  <c:v>0.89</c:v>
                </c:pt>
              </c:numCache>
            </c:numRef>
          </c:val>
          <c:extLst>
            <c:ext xmlns:c16="http://schemas.microsoft.com/office/drawing/2014/chart" uri="{C3380CC4-5D6E-409C-BE32-E72D297353CC}">
              <c16:uniqueId val="{00000001-2F8F-47EB-808C-E76FC898B679}"/>
            </c:ext>
          </c:extLst>
        </c:ser>
        <c:dLbls>
          <c:showLegendKey val="0"/>
          <c:showVal val="1"/>
          <c:showCatName val="0"/>
          <c:showSerName val="0"/>
          <c:showPercent val="0"/>
          <c:showBubbleSize val="0"/>
        </c:dLbls>
        <c:gapWidth val="150"/>
        <c:overlap val="-25"/>
        <c:axId val="1511070352"/>
        <c:axId val="1511060560"/>
      </c:barChart>
      <c:catAx>
        <c:axId val="151107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1060560"/>
        <c:crosses val="autoZero"/>
        <c:auto val="1"/>
        <c:lblAlgn val="ctr"/>
        <c:lblOffset val="100"/>
        <c:noMultiLvlLbl val="0"/>
      </c:catAx>
      <c:valAx>
        <c:axId val="1511060560"/>
        <c:scaling>
          <c:orientation val="minMax"/>
        </c:scaling>
        <c:delete val="1"/>
        <c:axPos val="l"/>
        <c:numFmt formatCode="0%" sourceLinked="1"/>
        <c:majorTickMark val="none"/>
        <c:minorTickMark val="none"/>
        <c:tickLblPos val="nextTo"/>
        <c:crossAx val="1511070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1044;&#1077;&#1081;&#1089;&#1090;&#1074;&#1080;&#1103;!A1"/><Relationship Id="rId13" Type="http://schemas.openxmlformats.org/officeDocument/2006/relationships/hyperlink" Target="#'Data Input'!A1"/><Relationship Id="rId3" Type="http://schemas.openxmlformats.org/officeDocument/2006/relationships/hyperlink" Target="#Financing!A1"/><Relationship Id="rId7" Type="http://schemas.openxmlformats.org/officeDocument/2006/relationships/hyperlink" Target="#&#1056;&#1077;&#1082;&#1086;&#1084;&#1077;&#1085;&#1076;&#1072;&#1094;&#1080;&#1080;!A1"/><Relationship Id="rId12" Type="http://schemas.openxmlformats.org/officeDocument/2006/relationships/hyperlink" Target="#'Data Entry'!A1"/><Relationship Id="rId2" Type="http://schemas.openxmlformats.org/officeDocument/2006/relationships/image" Target="../media/image2.png"/><Relationship Id="rId16" Type="http://schemas.openxmlformats.org/officeDocument/2006/relationships/image" Target="../media/image5.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hyperlink" Target="#Indictors!A1"/><Relationship Id="rId5" Type="http://schemas.openxmlformats.org/officeDocument/2006/relationships/hyperlink" Target="#Management!A1"/><Relationship Id="rId15" Type="http://schemas.openxmlformats.org/officeDocument/2006/relationships/image" Target="../media/image4.png"/><Relationship Id="rId10" Type="http://schemas.openxmlformats.org/officeDocument/2006/relationships/hyperlink" Target="#&#1055;&#1086;&#1082;&#1072;&#1079;&#1072;&#1090;&#1077;&#1083;&#1080;!A1"/><Relationship Id="rId4" Type="http://schemas.openxmlformats.org/officeDocument/2006/relationships/hyperlink" Target="#Programme!A1"/><Relationship Id="rId9" Type="http://schemas.openxmlformats.org/officeDocument/2006/relationships/hyperlink" Target="#'Grant Details'!A1"/><Relationship Id="rId1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hyperlink" Target="#&#1052;&#1077;&#1085;&#1102;!A1"/></Relationships>
</file>

<file path=xl/drawings/_rels/drawing11.xml.rels><?xml version="1.0" encoding="UTF-8" standalone="yes"?>
<Relationships xmlns="http://schemas.openxmlformats.org/package/2006/relationships"><Relationship Id="rId2" Type="http://schemas.openxmlformats.org/officeDocument/2006/relationships/hyperlink" Target="#&#1052;&#1077;&#1085;&#1102;!A1"/><Relationship Id="rId1" Type="http://schemas.openxmlformats.org/officeDocument/2006/relationships/hyperlink" Target="http://www.crwflags.com/fotw/flags/country.html#http://www.crwflags.com/fotw/flags/country.html" TargetMode="External"/></Relationships>
</file>

<file path=xl/drawings/_rels/drawing12.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1052;&#1077;&#1085;&#1102;!A1"/><Relationship Id="rId1" Type="http://schemas.openxmlformats.org/officeDocument/2006/relationships/chart" Target="../charts/chart15.xml"/><Relationship Id="rId4"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hyperlink" Target="#&#1052;&#1077;&#1085;&#1102;!A1"/><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hyperlink" Target="#&#1052;&#1077;&#1085;&#1102;!A1"/><Relationship Id="rId1" Type="http://schemas.openxmlformats.org/officeDocument/2006/relationships/chart" Target="../charts/chart24.xml"/><Relationship Id="rId6" Type="http://schemas.openxmlformats.org/officeDocument/2006/relationships/chart" Target="../charts/chart28.xml"/><Relationship Id="rId5" Type="http://schemas.openxmlformats.org/officeDocument/2006/relationships/chart" Target="../charts/chart27.xml"/><Relationship Id="rId4" Type="http://schemas.openxmlformats.org/officeDocument/2006/relationships/chart" Target="../charts/chart26.xml"/></Relationships>
</file>

<file path=xl/drawings/_rels/drawing1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4"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hyperlink" Target="#Menu!A1"/><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hyperlink" Target="#Menu!A1"/><Relationship Id="rId1" Type="http://schemas.openxmlformats.org/officeDocument/2006/relationships/chart" Target="../charts/chart10.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8" Type="http://schemas.openxmlformats.org/officeDocument/2006/relationships/hyperlink" Target="#Recommendations!A1"/><Relationship Id="rId13" Type="http://schemas.openxmlformats.org/officeDocument/2006/relationships/hyperlink" Target="#'Data Entry'!A1"/><Relationship Id="rId3" Type="http://schemas.openxmlformats.org/officeDocument/2006/relationships/hyperlink" Target="#Finance!A1"/><Relationship Id="rId7" Type="http://schemas.openxmlformats.org/officeDocument/2006/relationships/hyperlink" Target="#&#1059;&#1087;&#1088;&#1072;&#1074;&#1083;&#1077;&#1085;&#1080;&#1077;!A1"/><Relationship Id="rId12" Type="http://schemas.openxmlformats.org/officeDocument/2006/relationships/hyperlink" Target="#&#1055;&#1086;&#1082;&#1072;&#1079;&#1072;&#1090;&#1077;&#1083;&#1080;!A1"/><Relationship Id="rId17" Type="http://schemas.openxmlformats.org/officeDocument/2006/relationships/image" Target="../media/image5.png"/><Relationship Id="rId2" Type="http://schemas.openxmlformats.org/officeDocument/2006/relationships/image" Target="../media/image2.png"/><Relationship Id="rId16" Type="http://schemas.openxmlformats.org/officeDocument/2006/relationships/image" Target="../media/image4.png"/><Relationship Id="rId1" Type="http://schemas.openxmlformats.org/officeDocument/2006/relationships/image" Target="../media/image1.png"/><Relationship Id="rId6" Type="http://schemas.openxmlformats.org/officeDocument/2006/relationships/hyperlink" Target="#Management!A1"/><Relationship Id="rId11" Type="http://schemas.openxmlformats.org/officeDocument/2006/relationships/hyperlink" Target="#'&#1057;&#1074;&#1077;&#1076;&#1077;&#1085;&#1080;&#1103; &#1086; &#1075;&#1088;&#1072;&#1085;&#1090;&#1077;'!A1"/><Relationship Id="rId5" Type="http://schemas.openxmlformats.org/officeDocument/2006/relationships/hyperlink" Target="#&#1055;&#1088;&#1086;&#1075;&#1088;&#1072;&#1084;&#1084;&#1072;!A1"/><Relationship Id="rId15" Type="http://schemas.openxmlformats.org/officeDocument/2006/relationships/image" Target="../media/image3.png"/><Relationship Id="rId10" Type="http://schemas.openxmlformats.org/officeDocument/2006/relationships/hyperlink" Target="#&#1044;&#1077;&#1081;&#1089;&#1090;&#1074;&#1080;&#1103;!A1"/><Relationship Id="rId4" Type="http://schemas.openxmlformats.org/officeDocument/2006/relationships/hyperlink" Target="#&#1060;&#1080;&#1085;&#1072;&#1085;&#1089;&#1080;&#1088;&#1086;&#1074;&#1072;&#1085;&#1080;&#1077;!A1"/><Relationship Id="rId9" Type="http://schemas.openxmlformats.org/officeDocument/2006/relationships/hyperlink" Target="#&#1056;&#1077;&#1082;&#1086;&#1084;&#1077;&#1085;&#1076;&#1072;&#1094;&#1080;&#1080;!A1"/><Relationship Id="rId14" Type="http://schemas.openxmlformats.org/officeDocument/2006/relationships/hyperlink" Target="#'&#1042;&#1074;&#1086;&#1076; &#1044;&#1072;&#1085;&#1085;&#1099;&#1093;'!A1"/></Relationships>
</file>

<file path=xl/drawings/_rels/drawing9.xml.rels><?xml version="1.0" encoding="UTF-8" standalone="yes"?>
<Relationships xmlns="http://schemas.openxmlformats.org/package/2006/relationships"><Relationship Id="rId1" Type="http://schemas.openxmlformats.org/officeDocument/2006/relationships/hyperlink" Target="#&#1052;&#1077;&#1085;&#1102;!A1"/></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5</xdr:row>
      <xdr:rowOff>180975</xdr:rowOff>
    </xdr:from>
    <xdr:to>
      <xdr:col>12</xdr:col>
      <xdr:colOff>9525</xdr:colOff>
      <xdr:row>20</xdr:row>
      <xdr:rowOff>142875</xdr:rowOff>
    </xdr:to>
    <xdr:pic>
      <xdr:nvPicPr>
        <xdr:cNvPr id="3930518" name="Picture 2">
          <a:extLst>
            <a:ext uri="{FF2B5EF4-FFF2-40B4-BE49-F238E27FC236}">
              <a16:creationId xmlns:a16="http://schemas.microsoft.com/office/drawing/2014/main" id="{00000000-0008-0000-0000-000096F93B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133350" y="1609725"/>
          <a:ext cx="7658100" cy="281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685800</xdr:colOff>
      <xdr:row>7</xdr:row>
      <xdr:rowOff>47625</xdr:rowOff>
    </xdr:from>
    <xdr:to>
      <xdr:col>11</xdr:col>
      <xdr:colOff>542925</xdr:colOff>
      <xdr:row>18</xdr:row>
      <xdr:rowOff>142875</xdr:rowOff>
    </xdr:to>
    <xdr:pic>
      <xdr:nvPicPr>
        <xdr:cNvPr id="3930519" name="Picture 824">
          <a:extLst>
            <a:ext uri="{FF2B5EF4-FFF2-40B4-BE49-F238E27FC236}">
              <a16:creationId xmlns:a16="http://schemas.microsoft.com/office/drawing/2014/main" id="{00000000-0008-0000-0000-000097F93B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0" y="1857375"/>
          <a:ext cx="2257425"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257175</xdr:colOff>
      <xdr:row>7</xdr:row>
      <xdr:rowOff>104775</xdr:rowOff>
    </xdr:from>
    <xdr:to>
      <xdr:col>7</xdr:col>
      <xdr:colOff>552450</xdr:colOff>
      <xdr:row>18</xdr:row>
      <xdr:rowOff>76200</xdr:rowOff>
    </xdr:to>
    <xdr:sp macro="" textlink="">
      <xdr:nvSpPr>
        <xdr:cNvPr id="3930520" name="AutoShape 27">
          <a:extLst>
            <a:ext uri="{FF2B5EF4-FFF2-40B4-BE49-F238E27FC236}">
              <a16:creationId xmlns:a16="http://schemas.microsoft.com/office/drawing/2014/main" id="{00000000-0008-0000-0000-000098F93B00}"/>
            </a:ext>
          </a:extLst>
        </xdr:cNvPr>
        <xdr:cNvSpPr>
          <a:spLocks noChangeArrowheads="1"/>
        </xdr:cNvSpPr>
      </xdr:nvSpPr>
      <xdr:spPr bwMode="gray">
        <a:xfrm>
          <a:off x="2619375" y="1914525"/>
          <a:ext cx="2581275" cy="2066925"/>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133350</xdr:colOff>
      <xdr:row>10</xdr:row>
      <xdr:rowOff>9525</xdr:rowOff>
    </xdr:from>
    <xdr:to>
      <xdr:col>6</xdr:col>
      <xdr:colOff>657225</xdr:colOff>
      <xdr:row>12</xdr:row>
      <xdr:rowOff>38100</xdr:rowOff>
    </xdr:to>
    <xdr:grpSp>
      <xdr:nvGrpSpPr>
        <xdr:cNvPr id="3930521" name="Group 25">
          <a:hlinkClick xmlns:r="http://schemas.openxmlformats.org/officeDocument/2006/relationships" r:id="rId3"/>
          <a:extLst>
            <a:ext uri="{FF2B5EF4-FFF2-40B4-BE49-F238E27FC236}">
              <a16:creationId xmlns:a16="http://schemas.microsoft.com/office/drawing/2014/main" id="{00000000-0008-0000-0000-000099F93B00}"/>
            </a:ext>
          </a:extLst>
        </xdr:cNvPr>
        <xdr:cNvGrpSpPr>
          <a:grpSpLocks/>
        </xdr:cNvGrpSpPr>
      </xdr:nvGrpSpPr>
      <xdr:grpSpPr bwMode="auto">
        <a:xfrm>
          <a:off x="3419475" y="2348442"/>
          <a:ext cx="1322917" cy="398991"/>
          <a:chOff x="1200" y="1912"/>
          <a:chExt cx="3456" cy="774"/>
        </a:xfrm>
      </xdr:grpSpPr>
      <xdr:sp macro="" textlink="">
        <xdr:nvSpPr>
          <xdr:cNvPr id="3930565" name="AutoShape 26">
            <a:extLst>
              <a:ext uri="{FF2B5EF4-FFF2-40B4-BE49-F238E27FC236}">
                <a16:creationId xmlns:a16="http://schemas.microsoft.com/office/drawing/2014/main" id="{00000000-0008-0000-0000-0000C5F93B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22" name="AutoShape 27">
            <a:hlinkClick xmlns:r="http://schemas.openxmlformats.org/officeDocument/2006/relationships" r:id="rId3"/>
            <a:extLst>
              <a:ext uri="{FF2B5EF4-FFF2-40B4-BE49-F238E27FC236}">
                <a16:creationId xmlns:a16="http://schemas.microsoft.com/office/drawing/2014/main" id="{00000000-0008-0000-0000-000016000000}"/>
              </a:ext>
            </a:extLst>
          </xdr:cNvPr>
          <xdr:cNvSpPr>
            <a:spLocks noChangeArrowheads="1"/>
          </xdr:cNvSpPr>
        </xdr:nvSpPr>
        <xdr:spPr bwMode="gray">
          <a:xfrm>
            <a:off x="1277" y="1984"/>
            <a:ext cx="3277" cy="630"/>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Financing</a:t>
            </a:r>
            <a:endParaRPr lang="az-Cyrl-AZ" sz="1000" b="0" i="0" u="none" strike="noStrike" baseline="0">
              <a:solidFill>
                <a:srgbClr val="FFFFFF"/>
              </a:solidFill>
              <a:latin typeface="Arial"/>
              <a:cs typeface="Arial"/>
            </a:endParaRPr>
          </a:p>
        </xdr:txBody>
      </xdr:sp>
      <xdr:sp macro="" textlink="">
        <xdr:nvSpPr>
          <xdr:cNvPr id="23" name="Freeform 28">
            <a:extLst>
              <a:ext uri="{FF2B5EF4-FFF2-40B4-BE49-F238E27FC236}">
                <a16:creationId xmlns:a16="http://schemas.microsoft.com/office/drawing/2014/main" id="{00000000-0008-0000-0000-000017000000}"/>
              </a:ext>
            </a:extLst>
          </xdr:cNvPr>
          <xdr:cNvSpPr>
            <a:spLocks/>
          </xdr:cNvSpPr>
        </xdr:nvSpPr>
        <xdr:spPr bwMode="gray">
          <a:xfrm>
            <a:off x="1302" y="2020"/>
            <a:ext cx="358" cy="32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133350</xdr:colOff>
      <xdr:row>15</xdr:row>
      <xdr:rowOff>123825</xdr:rowOff>
    </xdr:from>
    <xdr:to>
      <xdr:col>6</xdr:col>
      <xdr:colOff>685800</xdr:colOff>
      <xdr:row>17</xdr:row>
      <xdr:rowOff>114300</xdr:rowOff>
    </xdr:to>
    <xdr:grpSp>
      <xdr:nvGrpSpPr>
        <xdr:cNvPr id="3930522" name="Group 25">
          <a:extLst>
            <a:ext uri="{FF2B5EF4-FFF2-40B4-BE49-F238E27FC236}">
              <a16:creationId xmlns:a16="http://schemas.microsoft.com/office/drawing/2014/main" id="{00000000-0008-0000-0000-00009AF93B00}"/>
            </a:ext>
          </a:extLst>
        </xdr:cNvPr>
        <xdr:cNvGrpSpPr>
          <a:grpSpLocks/>
        </xdr:cNvGrpSpPr>
      </xdr:nvGrpSpPr>
      <xdr:grpSpPr bwMode="auto">
        <a:xfrm>
          <a:off x="3419475" y="3388783"/>
          <a:ext cx="1351492" cy="360892"/>
          <a:chOff x="1200" y="1912"/>
          <a:chExt cx="3456" cy="774"/>
        </a:xfrm>
      </xdr:grpSpPr>
      <xdr:sp macro="" textlink="">
        <xdr:nvSpPr>
          <xdr:cNvPr id="3930562" name="AutoShape 26">
            <a:extLst>
              <a:ext uri="{FF2B5EF4-FFF2-40B4-BE49-F238E27FC236}">
                <a16:creationId xmlns:a16="http://schemas.microsoft.com/office/drawing/2014/main" id="{00000000-0008-0000-0000-0000C2F93B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26" name="AutoShape 27">
            <a:hlinkClick xmlns:r="http://schemas.openxmlformats.org/officeDocument/2006/relationships" r:id="rId4"/>
            <a:extLst>
              <a:ext uri="{FF2B5EF4-FFF2-40B4-BE49-F238E27FC236}">
                <a16:creationId xmlns:a16="http://schemas.microsoft.com/office/drawing/2014/main" id="{00000000-0008-0000-0000-00001A000000}"/>
              </a:ext>
            </a:extLst>
          </xdr:cNvPr>
          <xdr:cNvSpPr>
            <a:spLocks noChangeArrowheads="1"/>
          </xdr:cNvSpPr>
        </xdr:nvSpPr>
        <xdr:spPr bwMode="gray">
          <a:xfrm>
            <a:off x="1300" y="1991"/>
            <a:ext cx="3306"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Programme</a:t>
            </a:r>
            <a:endParaRPr lang="az-Cyrl-AZ" sz="1000" b="0" i="0" u="none" strike="noStrike" baseline="0">
              <a:solidFill>
                <a:srgbClr val="FFFFFF"/>
              </a:solidFill>
              <a:latin typeface="Arial"/>
              <a:cs typeface="Arial"/>
            </a:endParaRPr>
          </a:p>
        </xdr:txBody>
      </xdr:sp>
      <xdr:sp macro="" textlink="">
        <xdr:nvSpPr>
          <xdr:cNvPr id="27" name="Freeform 28">
            <a:extLst>
              <a:ext uri="{FF2B5EF4-FFF2-40B4-BE49-F238E27FC236}">
                <a16:creationId xmlns:a16="http://schemas.microsoft.com/office/drawing/2014/main" id="{00000000-0008-0000-0000-00001B000000}"/>
              </a:ext>
            </a:extLst>
          </xdr:cNvPr>
          <xdr:cNvSpPr>
            <a:spLocks/>
          </xdr:cNvSpPr>
        </xdr:nvSpPr>
        <xdr:spPr bwMode="gray">
          <a:xfrm>
            <a:off x="1300" y="2011"/>
            <a:ext cx="351"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123825</xdr:colOff>
      <xdr:row>12</xdr:row>
      <xdr:rowOff>161925</xdr:rowOff>
    </xdr:from>
    <xdr:to>
      <xdr:col>6</xdr:col>
      <xdr:colOff>676275</xdr:colOff>
      <xdr:row>14</xdr:row>
      <xdr:rowOff>171450</xdr:rowOff>
    </xdr:to>
    <xdr:grpSp>
      <xdr:nvGrpSpPr>
        <xdr:cNvPr id="3930523" name="Group 25">
          <a:hlinkClick xmlns:r="http://schemas.openxmlformats.org/officeDocument/2006/relationships" r:id="rId5"/>
          <a:extLst>
            <a:ext uri="{FF2B5EF4-FFF2-40B4-BE49-F238E27FC236}">
              <a16:creationId xmlns:a16="http://schemas.microsoft.com/office/drawing/2014/main" id="{00000000-0008-0000-0000-00009BF93B00}"/>
            </a:ext>
          </a:extLst>
        </xdr:cNvPr>
        <xdr:cNvGrpSpPr>
          <a:grpSpLocks/>
        </xdr:cNvGrpSpPr>
      </xdr:nvGrpSpPr>
      <xdr:grpSpPr bwMode="auto">
        <a:xfrm>
          <a:off x="3409950" y="2871258"/>
          <a:ext cx="1351492" cy="379942"/>
          <a:chOff x="1200" y="1912"/>
          <a:chExt cx="3456" cy="774"/>
        </a:xfrm>
      </xdr:grpSpPr>
      <xdr:sp macro="" textlink="">
        <xdr:nvSpPr>
          <xdr:cNvPr id="3930559" name="AutoShape 26">
            <a:extLst>
              <a:ext uri="{FF2B5EF4-FFF2-40B4-BE49-F238E27FC236}">
                <a16:creationId xmlns:a16="http://schemas.microsoft.com/office/drawing/2014/main" id="{00000000-0008-0000-0000-0000BFF93B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207941" name="AutoShape 27">
            <a:hlinkClick xmlns:r="http://schemas.openxmlformats.org/officeDocument/2006/relationships" r:id="rId5"/>
            <a:extLst>
              <a:ext uri="{FF2B5EF4-FFF2-40B4-BE49-F238E27FC236}">
                <a16:creationId xmlns:a16="http://schemas.microsoft.com/office/drawing/2014/main" id="{00000000-0008-0000-0000-0000452C0300}"/>
              </a:ext>
            </a:extLst>
          </xdr:cNvPr>
          <xdr:cNvSpPr>
            <a:spLocks noChangeArrowheads="1"/>
          </xdr:cNvSpPr>
        </xdr:nvSpPr>
        <xdr:spPr bwMode="gray">
          <a:xfrm>
            <a:off x="1279" y="2004"/>
            <a:ext cx="3306" cy="623"/>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a16="http://schemas.microsoft.com/office/drawing/2014/main" id="{00000000-0008-0000-0000-0000462C0300}"/>
              </a:ext>
            </a:extLst>
          </xdr:cNvPr>
          <xdr:cNvSpPr>
            <a:spLocks/>
          </xdr:cNvSpPr>
        </xdr:nvSpPr>
        <xdr:spPr bwMode="gray">
          <a:xfrm>
            <a:off x="1300" y="2006"/>
            <a:ext cx="351" cy="340"/>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3</xdr:col>
      <xdr:colOff>647700</xdr:colOff>
      <xdr:row>5</xdr:row>
      <xdr:rowOff>0</xdr:rowOff>
    </xdr:from>
    <xdr:to>
      <xdr:col>8</xdr:col>
      <xdr:colOff>200025</xdr:colOff>
      <xdr:row>6</xdr:row>
      <xdr:rowOff>47625</xdr:rowOff>
    </xdr:to>
    <xdr:sp macro="" textlink="">
      <xdr:nvSpPr>
        <xdr:cNvPr id="3175758" name="Rectangle 803">
          <a:extLst>
            <a:ext uri="{FF2B5EF4-FFF2-40B4-BE49-F238E27FC236}">
              <a16:creationId xmlns:a16="http://schemas.microsoft.com/office/drawing/2014/main" id="{00000000-0008-0000-0000-00004E753000}"/>
            </a:ext>
          </a:extLst>
        </xdr:cNvPr>
        <xdr:cNvSpPr>
          <a:spLocks noChangeArrowheads="1"/>
        </xdr:cNvSpPr>
      </xdr:nvSpPr>
      <xdr:spPr bwMode="auto">
        <a:xfrm>
          <a:off x="2247900" y="1428750"/>
          <a:ext cx="3362325" cy="238125"/>
        </a:xfrm>
        <a:prstGeom prst="rect">
          <a:avLst/>
        </a:prstGeom>
        <a:noFill/>
        <a:ln>
          <a:noFill/>
        </a:ln>
      </xdr:spPr>
      <xdr:txBody>
        <a:bodyPr vertOverflow="clip" wrap="square" lIns="27432" tIns="27432" rIns="27432" bIns="0" anchor="t"/>
        <a:lstStyle/>
        <a:p>
          <a:pPr algn="ctr" rtl="0">
            <a:defRPr sz="1000"/>
          </a:pPr>
          <a:r>
            <a:rPr lang="en-US" sz="1100" b="1" i="1" u="none" strike="noStrike" baseline="0">
              <a:solidFill>
                <a:srgbClr val="000000"/>
              </a:solidFill>
              <a:latin typeface="+mn-lt"/>
              <a:cs typeface="Calibri"/>
            </a:rPr>
            <a:t>Select the section you are interested in:</a:t>
          </a:r>
          <a:endParaRPr lang="az-Cyrl-AZ" sz="1100" b="1" i="1" u="none" strike="noStrike" baseline="0">
            <a:solidFill>
              <a:srgbClr val="000000"/>
            </a:solidFill>
            <a:latin typeface="Calibri"/>
            <a:cs typeface="Calibri"/>
          </a:endParaRPr>
        </a:p>
      </xdr:txBody>
    </xdr:sp>
    <xdr:clientData/>
  </xdr:twoCellAnchor>
  <xdr:twoCellAnchor>
    <xdr:from>
      <xdr:col>8</xdr:col>
      <xdr:colOff>295275</xdr:colOff>
      <xdr:row>11</xdr:row>
      <xdr:rowOff>0</xdr:rowOff>
    </xdr:from>
    <xdr:to>
      <xdr:col>11</xdr:col>
      <xdr:colOff>161925</xdr:colOff>
      <xdr:row>13</xdr:row>
      <xdr:rowOff>28575</xdr:rowOff>
    </xdr:to>
    <xdr:grpSp>
      <xdr:nvGrpSpPr>
        <xdr:cNvPr id="3930525" name="Group 832">
          <a:hlinkClick xmlns:r="http://schemas.openxmlformats.org/officeDocument/2006/relationships" r:id="rId6"/>
          <a:extLst>
            <a:ext uri="{FF2B5EF4-FFF2-40B4-BE49-F238E27FC236}">
              <a16:creationId xmlns:a16="http://schemas.microsoft.com/office/drawing/2014/main" id="{00000000-0008-0000-0000-00009DF93B00}"/>
            </a:ext>
          </a:extLst>
        </xdr:cNvPr>
        <xdr:cNvGrpSpPr>
          <a:grpSpLocks/>
        </xdr:cNvGrpSpPr>
      </xdr:nvGrpSpPr>
      <xdr:grpSpPr bwMode="auto">
        <a:xfrm>
          <a:off x="5978525" y="2524125"/>
          <a:ext cx="1586442" cy="398992"/>
          <a:chOff x="599" y="262"/>
          <a:chExt cx="158" cy="43"/>
        </a:xfrm>
      </xdr:grpSpPr>
      <xdr:sp macro="" textlink="">
        <xdr:nvSpPr>
          <xdr:cNvPr id="3930555" name="AutoShape 30">
            <a:extLst>
              <a:ext uri="{FF2B5EF4-FFF2-40B4-BE49-F238E27FC236}">
                <a16:creationId xmlns:a16="http://schemas.microsoft.com/office/drawing/2014/main" id="{00000000-0008-0000-0000-0000BBF93B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930556" name="13 Grupo">
            <a:extLst>
              <a:ext uri="{FF2B5EF4-FFF2-40B4-BE49-F238E27FC236}">
                <a16:creationId xmlns:a16="http://schemas.microsoft.com/office/drawing/2014/main" id="{00000000-0008-0000-0000-0000BCF93B00}"/>
              </a:ext>
            </a:extLst>
          </xdr:cNvPr>
          <xdr:cNvGrpSpPr>
            <a:grpSpLocks/>
          </xdr:cNvGrpSpPr>
        </xdr:nvGrpSpPr>
        <xdr:grpSpPr bwMode="auto">
          <a:xfrm>
            <a:off x="603" y="267"/>
            <a:ext cx="151" cy="35"/>
            <a:chOff x="1104968" y="2771552"/>
            <a:chExt cx="3605494" cy="566957"/>
          </a:xfrm>
        </xdr:grpSpPr>
        <xdr:sp macro="" textlink="">
          <xdr:nvSpPr>
            <xdr:cNvPr id="4903" name="AutoShape 31">
              <a:hlinkClick xmlns:r="http://schemas.openxmlformats.org/officeDocument/2006/relationships" r:id="rId7"/>
              <a:extLst>
                <a:ext uri="{FF2B5EF4-FFF2-40B4-BE49-F238E27FC236}">
                  <a16:creationId xmlns:a16="http://schemas.microsoft.com/office/drawing/2014/main" id="{00000000-0008-0000-0000-000027130000}"/>
                </a:ext>
              </a:extLst>
            </xdr:cNvPr>
            <xdr:cNvSpPr>
              <a:spLocks noChangeArrowheads="1"/>
            </xdr:cNvSpPr>
          </xdr:nvSpPr>
          <xdr:spPr bwMode="gray">
            <a:xfrm>
              <a:off x="1104968" y="2771552"/>
              <a:ext cx="3605494" cy="56695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US" sz="1000" b="0" i="0" strike="noStrike">
                  <a:solidFill>
                    <a:srgbClr val="000000"/>
                  </a:solidFill>
                  <a:latin typeface="Arial"/>
                  <a:cs typeface="Arial"/>
                </a:rPr>
                <a:t>Recommendations</a:t>
              </a:r>
              <a:endParaRPr lang="en-ZA" sz="1000" b="0" i="0" strike="noStrike">
                <a:solidFill>
                  <a:srgbClr val="000000"/>
                </a:solidFill>
                <a:latin typeface="Arial"/>
                <a:cs typeface="Arial"/>
              </a:endParaRPr>
            </a:p>
          </xdr:txBody>
        </xdr:sp>
        <xdr:sp macro="" textlink="">
          <xdr:nvSpPr>
            <xdr:cNvPr id="3930558" name="Freeform 32">
              <a:extLst>
                <a:ext uri="{FF2B5EF4-FFF2-40B4-BE49-F238E27FC236}">
                  <a16:creationId xmlns:a16="http://schemas.microsoft.com/office/drawing/2014/main" id="{00000000-0008-0000-0000-0000BEF93B00}"/>
                </a:ext>
              </a:extLst>
            </xdr:cNvPr>
            <xdr:cNvSpPr>
              <a:spLocks/>
            </xdr:cNvSpPr>
          </xdr:nvSpPr>
          <xdr:spPr bwMode="gray">
            <a:xfrm>
              <a:off x="1159456" y="2809862"/>
              <a:ext cx="358092" cy="291066"/>
            </a:xfrm>
            <a:custGeom>
              <a:avLst/>
              <a:gdLst>
                <a:gd name="T0" fmla="*/ 2147483647 w 596"/>
                <a:gd name="T1" fmla="*/ 0 h 598"/>
                <a:gd name="T2" fmla="*/ 0 w 596"/>
                <a:gd name="T3" fmla="*/ 2147483647 h 598"/>
                <a:gd name="T4" fmla="*/ 0 w 596"/>
                <a:gd name="T5" fmla="*/ 2147483647 h 598"/>
                <a:gd name="T6" fmla="*/ 2147483647 w 596"/>
                <a:gd name="T7" fmla="*/ 2147483647 h 598"/>
                <a:gd name="T8" fmla="*/ 2147483647 w 596"/>
                <a:gd name="T9" fmla="*/ 0 h 598"/>
                <a:gd name="T10" fmla="*/ 2147483647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1</xdr:col>
      <xdr:colOff>247650</xdr:colOff>
      <xdr:row>7</xdr:row>
      <xdr:rowOff>85725</xdr:rowOff>
    </xdr:from>
    <xdr:to>
      <xdr:col>4</xdr:col>
      <xdr:colOff>104775</xdr:colOff>
      <xdr:row>18</xdr:row>
      <xdr:rowOff>114300</xdr:rowOff>
    </xdr:to>
    <xdr:grpSp>
      <xdr:nvGrpSpPr>
        <xdr:cNvPr id="3930526" name="Group 830">
          <a:extLst>
            <a:ext uri="{FF2B5EF4-FFF2-40B4-BE49-F238E27FC236}">
              <a16:creationId xmlns:a16="http://schemas.microsoft.com/office/drawing/2014/main" id="{00000000-0008-0000-0000-00009EF93B00}"/>
            </a:ext>
          </a:extLst>
        </xdr:cNvPr>
        <xdr:cNvGrpSpPr>
          <a:grpSpLocks/>
        </xdr:cNvGrpSpPr>
      </xdr:nvGrpSpPr>
      <xdr:grpSpPr bwMode="auto">
        <a:xfrm>
          <a:off x="337608" y="1869017"/>
          <a:ext cx="2254250" cy="2065866"/>
          <a:chOff x="32" y="188"/>
          <a:chExt cx="225" cy="225"/>
        </a:xfrm>
      </xdr:grpSpPr>
      <xdr:sp macro="" textlink="">
        <xdr:nvSpPr>
          <xdr:cNvPr id="3930553" name="AutoShape 31">
            <a:extLst>
              <a:ext uri="{FF2B5EF4-FFF2-40B4-BE49-F238E27FC236}">
                <a16:creationId xmlns:a16="http://schemas.microsoft.com/office/drawing/2014/main" id="{00000000-0008-0000-0000-0000B9F93B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a:extLst>
              <a:ext uri="{FF2B5EF4-FFF2-40B4-BE49-F238E27FC236}">
                <a16:creationId xmlns:a16="http://schemas.microsoft.com/office/drawing/2014/main" id="{00000000-0008-0000-0000-000031130000}"/>
              </a:ext>
            </a:extLst>
          </xdr:cNvPr>
          <xdr:cNvSpPr>
            <a:spLocks/>
          </xdr:cNvSpPr>
        </xdr:nvSpPr>
        <xdr:spPr bwMode="gray">
          <a:xfrm>
            <a:off x="42" y="197"/>
            <a:ext cx="50" cy="33"/>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3930527" name="Group 826">
          <a:extLst>
            <a:ext uri="{FF2B5EF4-FFF2-40B4-BE49-F238E27FC236}">
              <a16:creationId xmlns:a16="http://schemas.microsoft.com/office/drawing/2014/main" id="{00000000-0008-0000-0000-00009FF93B00}"/>
            </a:ext>
          </a:extLst>
        </xdr:cNvPr>
        <xdr:cNvGrpSpPr>
          <a:grpSpLocks/>
        </xdr:cNvGrpSpPr>
      </xdr:nvGrpSpPr>
      <xdr:grpSpPr bwMode="auto">
        <a:xfrm>
          <a:off x="5969000" y="3136900"/>
          <a:ext cx="1586442" cy="398992"/>
          <a:chOff x="578" y="328"/>
          <a:chExt cx="158" cy="43"/>
        </a:xfrm>
      </xdr:grpSpPr>
      <xdr:sp macro="" textlink="">
        <xdr:nvSpPr>
          <xdr:cNvPr id="3930549" name="AutoShape 30">
            <a:extLst>
              <a:ext uri="{FF2B5EF4-FFF2-40B4-BE49-F238E27FC236}">
                <a16:creationId xmlns:a16="http://schemas.microsoft.com/office/drawing/2014/main" id="{00000000-0008-0000-0000-0000B5F93B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930550" name="Group 823">
            <a:extLst>
              <a:ext uri="{FF2B5EF4-FFF2-40B4-BE49-F238E27FC236}">
                <a16:creationId xmlns:a16="http://schemas.microsoft.com/office/drawing/2014/main" id="{00000000-0008-0000-0000-0000B6F93B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8"/>
              <a:extLst>
                <a:ext uri="{FF2B5EF4-FFF2-40B4-BE49-F238E27FC236}">
                  <a16:creationId xmlns:a16="http://schemas.microsoft.com/office/drawing/2014/main" id="{00000000-0008-0000-0000-00002C130000}"/>
                </a:ext>
              </a:extLst>
            </xdr:cNvPr>
            <xdr:cNvSpPr>
              <a:spLocks noChangeArrowheads="1"/>
            </xdr:cNvSpPr>
          </xdr:nvSpPr>
          <xdr:spPr bwMode="gray">
            <a:xfrm>
              <a:off x="582" y="333"/>
              <a:ext cx="151" cy="35"/>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US" sz="1000" b="0" i="0" strike="noStrike">
                  <a:solidFill>
                    <a:srgbClr val="000000"/>
                  </a:solidFill>
                  <a:latin typeface="Arial"/>
                  <a:cs typeface="Arial"/>
                </a:rPr>
                <a:t>Actions</a:t>
              </a:r>
              <a:endParaRPr lang="en-ZA" sz="1000" b="0" i="0" strike="noStrike">
                <a:solidFill>
                  <a:srgbClr val="000000"/>
                </a:solidFill>
                <a:latin typeface="Arial"/>
                <a:cs typeface="Arial"/>
              </a:endParaRPr>
            </a:p>
          </xdr:txBody>
        </xdr:sp>
        <xdr:sp macro="" textlink="">
          <xdr:nvSpPr>
            <xdr:cNvPr id="3930552" name="Freeform 32">
              <a:extLst>
                <a:ext uri="{FF2B5EF4-FFF2-40B4-BE49-F238E27FC236}">
                  <a16:creationId xmlns:a16="http://schemas.microsoft.com/office/drawing/2014/main" id="{00000000-0008-0000-0000-0000B8F93B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1</xdr:col>
      <xdr:colOff>514350</xdr:colOff>
      <xdr:row>15</xdr:row>
      <xdr:rowOff>133350</xdr:rowOff>
    </xdr:from>
    <xdr:to>
      <xdr:col>3</xdr:col>
      <xdr:colOff>495300</xdr:colOff>
      <xdr:row>17</xdr:row>
      <xdr:rowOff>95250</xdr:rowOff>
    </xdr:to>
    <xdr:grpSp>
      <xdr:nvGrpSpPr>
        <xdr:cNvPr id="3930528" name="Group 831">
          <a:extLst>
            <a:ext uri="{FF2B5EF4-FFF2-40B4-BE49-F238E27FC236}">
              <a16:creationId xmlns:a16="http://schemas.microsoft.com/office/drawing/2014/main" id="{00000000-0008-0000-0000-0000A0F93B00}"/>
            </a:ext>
          </a:extLst>
        </xdr:cNvPr>
        <xdr:cNvGrpSpPr>
          <a:grpSpLocks/>
        </xdr:cNvGrpSpPr>
      </xdr:nvGrpSpPr>
      <xdr:grpSpPr bwMode="auto">
        <a:xfrm>
          <a:off x="604308" y="3398308"/>
          <a:ext cx="1579034" cy="332317"/>
          <a:chOff x="56" y="259"/>
          <a:chExt cx="158" cy="40"/>
        </a:xfrm>
      </xdr:grpSpPr>
      <xdr:sp macro="" textlink="">
        <xdr:nvSpPr>
          <xdr:cNvPr id="3930545" name="AutoShape 30">
            <a:extLst>
              <a:ext uri="{FF2B5EF4-FFF2-40B4-BE49-F238E27FC236}">
                <a16:creationId xmlns:a16="http://schemas.microsoft.com/office/drawing/2014/main" id="{00000000-0008-0000-0000-0000B1F93B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930546" name="11 Grupo">
            <a:extLst>
              <a:ext uri="{FF2B5EF4-FFF2-40B4-BE49-F238E27FC236}">
                <a16:creationId xmlns:a16="http://schemas.microsoft.com/office/drawing/2014/main" id="{00000000-0008-0000-0000-0000B2F93B00}"/>
              </a:ext>
            </a:extLst>
          </xdr:cNvPr>
          <xdr:cNvGrpSpPr>
            <a:grpSpLocks/>
          </xdr:cNvGrpSpPr>
        </xdr:nvGrpSpPr>
        <xdr:grpSpPr bwMode="auto">
          <a:xfrm>
            <a:off x="60" y="263"/>
            <a:ext cx="151" cy="32"/>
            <a:chOff x="1104968" y="2771584"/>
            <a:chExt cx="3605494" cy="566957"/>
          </a:xfrm>
        </xdr:grpSpPr>
        <xdr:sp macro="" textlink="">
          <xdr:nvSpPr>
            <xdr:cNvPr id="9" name="AutoShape 31">
              <a:hlinkClick xmlns:r="http://schemas.openxmlformats.org/officeDocument/2006/relationships" r:id="rId9"/>
              <a:extLst>
                <a:ext uri="{FF2B5EF4-FFF2-40B4-BE49-F238E27FC236}">
                  <a16:creationId xmlns:a16="http://schemas.microsoft.com/office/drawing/2014/main" id="{00000000-0008-0000-0000-000009000000}"/>
                </a:ext>
              </a:extLst>
            </xdr:cNvPr>
            <xdr:cNvSpPr>
              <a:spLocks noChangeArrowheads="1"/>
            </xdr:cNvSpPr>
          </xdr:nvSpPr>
          <xdr:spPr bwMode="gray">
            <a:xfrm>
              <a:off x="1104968" y="2779458"/>
              <a:ext cx="3605494" cy="551208"/>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Grant details</a:t>
              </a:r>
              <a:endParaRPr lang="az-Cyrl-AZ" sz="1000" b="0" i="0" u="none" strike="noStrike" baseline="0">
                <a:solidFill>
                  <a:srgbClr val="FFFFFF"/>
                </a:solidFill>
                <a:latin typeface="Arial"/>
                <a:cs typeface="Arial"/>
              </a:endParaRPr>
            </a:p>
          </xdr:txBody>
        </xdr:sp>
        <xdr:sp macro="" textlink="">
          <xdr:nvSpPr>
            <xdr:cNvPr id="10" name="Freeform 32">
              <a:extLst>
                <a:ext uri="{FF2B5EF4-FFF2-40B4-BE49-F238E27FC236}">
                  <a16:creationId xmlns:a16="http://schemas.microsoft.com/office/drawing/2014/main" id="{00000000-0008-0000-0000-00000A000000}"/>
                </a:ext>
              </a:extLst>
            </xdr:cNvPr>
            <xdr:cNvSpPr>
              <a:spLocks/>
            </xdr:cNvSpPr>
          </xdr:nvSpPr>
          <xdr:spPr bwMode="gray">
            <a:xfrm>
              <a:off x="1152723" y="2818830"/>
              <a:ext cx="358162" cy="27560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10</xdr:row>
      <xdr:rowOff>28575</xdr:rowOff>
    </xdr:from>
    <xdr:to>
      <xdr:col>3</xdr:col>
      <xdr:colOff>495300</xdr:colOff>
      <xdr:row>12</xdr:row>
      <xdr:rowOff>19050</xdr:rowOff>
    </xdr:to>
    <xdr:grpSp>
      <xdr:nvGrpSpPr>
        <xdr:cNvPr id="3930529" name="37 Grupo">
          <a:hlinkClick xmlns:r="http://schemas.openxmlformats.org/officeDocument/2006/relationships" r:id="rId10"/>
          <a:extLst>
            <a:ext uri="{FF2B5EF4-FFF2-40B4-BE49-F238E27FC236}">
              <a16:creationId xmlns:a16="http://schemas.microsoft.com/office/drawing/2014/main" id="{00000000-0008-0000-0000-0000A1F93B00}"/>
            </a:ext>
          </a:extLst>
        </xdr:cNvPr>
        <xdr:cNvGrpSpPr>
          <a:grpSpLocks/>
        </xdr:cNvGrpSpPr>
      </xdr:nvGrpSpPr>
      <xdr:grpSpPr bwMode="auto">
        <a:xfrm>
          <a:off x="604308" y="2367492"/>
          <a:ext cx="1579034" cy="360891"/>
          <a:chOff x="1343025" y="2428876"/>
          <a:chExt cx="3240982" cy="617274"/>
        </a:xfrm>
      </xdr:grpSpPr>
      <xdr:sp macro="" textlink="">
        <xdr:nvSpPr>
          <xdr:cNvPr id="3930541" name="AutoShape 30">
            <a:extLst>
              <a:ext uri="{FF2B5EF4-FFF2-40B4-BE49-F238E27FC236}">
                <a16:creationId xmlns:a16="http://schemas.microsoft.com/office/drawing/2014/main" id="{00000000-0008-0000-0000-0000ADF93B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930542" name="13 Grupo">
            <a:extLst>
              <a:ext uri="{FF2B5EF4-FFF2-40B4-BE49-F238E27FC236}">
                <a16:creationId xmlns:a16="http://schemas.microsoft.com/office/drawing/2014/main" id="{00000000-0008-0000-0000-0000AEF93B00}"/>
              </a:ext>
            </a:extLst>
          </xdr:cNvPr>
          <xdr:cNvGrpSpPr>
            <a:grpSpLocks/>
          </xdr:cNvGrpSpPr>
        </xdr:nvGrpSpPr>
        <xdr:grpSpPr bwMode="auto">
          <a:xfrm>
            <a:off x="1425074" y="2492185"/>
            <a:ext cx="3097392" cy="506482"/>
            <a:chOff x="1111708" y="2767982"/>
            <a:chExt cx="3604792" cy="570523"/>
          </a:xfrm>
        </xdr:grpSpPr>
        <xdr:sp macro="" textlink="">
          <xdr:nvSpPr>
            <xdr:cNvPr id="3" name="AutoShape 31">
              <a:hlinkClick xmlns:r="http://schemas.openxmlformats.org/officeDocument/2006/relationships" r:id="rId11"/>
              <a:extLst>
                <a:ext uri="{FF2B5EF4-FFF2-40B4-BE49-F238E27FC236}">
                  <a16:creationId xmlns:a16="http://schemas.microsoft.com/office/drawing/2014/main" id="{00000000-0008-0000-0000-000003000000}"/>
                </a:ext>
              </a:extLst>
            </xdr:cNvPr>
            <xdr:cNvSpPr>
              <a:spLocks noChangeArrowheads="1"/>
            </xdr:cNvSpPr>
          </xdr:nvSpPr>
          <xdr:spPr bwMode="gray">
            <a:xfrm>
              <a:off x="1111708" y="2767982"/>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Indicators</a:t>
              </a:r>
              <a:endParaRPr lang="az-Cyrl-AZ" sz="1000" b="0" i="0" u="none" strike="noStrike" baseline="0">
                <a:solidFill>
                  <a:srgbClr val="FFFFFF"/>
                </a:solidFill>
                <a:latin typeface="Arial"/>
                <a:cs typeface="Arial"/>
              </a:endParaRPr>
            </a:p>
          </xdr:txBody>
        </xdr:sp>
        <xdr:sp macro="" textlink="">
          <xdr:nvSpPr>
            <xdr:cNvPr id="4" name="Freeform 32">
              <a:extLst>
                <a:ext uri="{FF2B5EF4-FFF2-40B4-BE49-F238E27FC236}">
                  <a16:creationId xmlns:a16="http://schemas.microsoft.com/office/drawing/2014/main" id="{00000000-0008-0000-0000-000004000000}"/>
                </a:ext>
              </a:extLst>
            </xdr:cNvPr>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12</xdr:row>
      <xdr:rowOff>180975</xdr:rowOff>
    </xdr:from>
    <xdr:to>
      <xdr:col>3</xdr:col>
      <xdr:colOff>495300</xdr:colOff>
      <xdr:row>14</xdr:row>
      <xdr:rowOff>171450</xdr:rowOff>
    </xdr:to>
    <xdr:grpSp>
      <xdr:nvGrpSpPr>
        <xdr:cNvPr id="3930530" name="37 Grupo">
          <a:hlinkClick xmlns:r="http://schemas.openxmlformats.org/officeDocument/2006/relationships" r:id="rId12"/>
          <a:extLst>
            <a:ext uri="{FF2B5EF4-FFF2-40B4-BE49-F238E27FC236}">
              <a16:creationId xmlns:a16="http://schemas.microsoft.com/office/drawing/2014/main" id="{00000000-0008-0000-0000-0000A2F93B00}"/>
            </a:ext>
          </a:extLst>
        </xdr:cNvPr>
        <xdr:cNvGrpSpPr>
          <a:grpSpLocks/>
        </xdr:cNvGrpSpPr>
      </xdr:nvGrpSpPr>
      <xdr:grpSpPr bwMode="auto">
        <a:xfrm>
          <a:off x="604308" y="2890308"/>
          <a:ext cx="1579034" cy="360892"/>
          <a:chOff x="1343025" y="2428876"/>
          <a:chExt cx="3240982" cy="617274"/>
        </a:xfrm>
      </xdr:grpSpPr>
      <xdr:sp macro="" textlink="">
        <xdr:nvSpPr>
          <xdr:cNvPr id="3930537" name="AutoShape 30">
            <a:extLst>
              <a:ext uri="{FF2B5EF4-FFF2-40B4-BE49-F238E27FC236}">
                <a16:creationId xmlns:a16="http://schemas.microsoft.com/office/drawing/2014/main" id="{00000000-0008-0000-0000-0000A9F93B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930538" name="13 Grupo">
            <a:extLst>
              <a:ext uri="{FF2B5EF4-FFF2-40B4-BE49-F238E27FC236}">
                <a16:creationId xmlns:a16="http://schemas.microsoft.com/office/drawing/2014/main" id="{00000000-0008-0000-0000-0000AAF93B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hlinkClick xmlns:r="http://schemas.openxmlformats.org/officeDocument/2006/relationships" r:id="rId13"/>
              <a:extLst>
                <a:ext uri="{FF2B5EF4-FFF2-40B4-BE49-F238E27FC236}">
                  <a16:creationId xmlns:a16="http://schemas.microsoft.com/office/drawing/2014/main" id="{00000000-0008-0000-0000-00000E000000}"/>
                </a:ext>
              </a:extLst>
            </xdr:cNvPr>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Data input</a:t>
              </a:r>
              <a:endParaRPr lang="az-Cyrl-AZ" sz="1000" b="0" i="0" u="none" strike="noStrike" baseline="0">
                <a:solidFill>
                  <a:srgbClr val="FFFFFF"/>
                </a:solidFill>
                <a:latin typeface="Arial"/>
                <a:cs typeface="Arial"/>
              </a:endParaRPr>
            </a:p>
          </xdr:txBody>
        </xdr:sp>
        <xdr:sp macro="" textlink="">
          <xdr:nvSpPr>
            <xdr:cNvPr id="15" name="Freeform 32">
              <a:extLst>
                <a:ext uri="{FF2B5EF4-FFF2-40B4-BE49-F238E27FC236}">
                  <a16:creationId xmlns:a16="http://schemas.microsoft.com/office/drawing/2014/main" id="{00000000-0008-0000-0000-00000F000000}"/>
                </a:ext>
              </a:extLst>
            </xdr:cNvPr>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104775</xdr:colOff>
      <xdr:row>9</xdr:row>
      <xdr:rowOff>133350</xdr:rowOff>
    </xdr:to>
    <xdr:pic>
      <xdr:nvPicPr>
        <xdr:cNvPr id="3930531" name="Picture 2012">
          <a:extLst>
            <a:ext uri="{FF2B5EF4-FFF2-40B4-BE49-F238E27FC236}">
              <a16:creationId xmlns:a16="http://schemas.microsoft.com/office/drawing/2014/main" id="{00000000-0008-0000-0000-0000A3F93B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33375" y="1876425"/>
          <a:ext cx="21336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7</xdr:row>
      <xdr:rowOff>85725</xdr:rowOff>
    </xdr:from>
    <xdr:to>
      <xdr:col>4</xdr:col>
      <xdr:colOff>57150</xdr:colOff>
      <xdr:row>9</xdr:row>
      <xdr:rowOff>95250</xdr:rowOff>
    </xdr:to>
    <xdr:sp macro="" textlink="">
      <xdr:nvSpPr>
        <xdr:cNvPr id="955357" name="Text Box 2013">
          <a:extLst>
            <a:ext uri="{FF2B5EF4-FFF2-40B4-BE49-F238E27FC236}">
              <a16:creationId xmlns:a16="http://schemas.microsoft.com/office/drawing/2014/main"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u="none" strike="noStrike" baseline="0">
              <a:solidFill>
                <a:srgbClr val="000000"/>
              </a:solidFill>
              <a:latin typeface="Arial"/>
              <a:cs typeface="Arial"/>
            </a:rPr>
            <a:t>Grant Information</a:t>
          </a:r>
          <a:endParaRPr lang="az-Cyrl-AZ" sz="1800" b="0" i="0" u="none" strike="noStrike" baseline="0">
            <a:solidFill>
              <a:srgbClr val="000000"/>
            </a:solidFill>
            <a:latin typeface="Arial"/>
            <a:cs typeface="Arial"/>
          </a:endParaRPr>
        </a:p>
      </xdr:txBody>
    </xdr:sp>
    <xdr:clientData/>
  </xdr:twoCellAnchor>
  <xdr:twoCellAnchor editAs="oneCell">
    <xdr:from>
      <xdr:col>4</xdr:col>
      <xdr:colOff>247650</xdr:colOff>
      <xdr:row>7</xdr:row>
      <xdr:rowOff>66675</xdr:rowOff>
    </xdr:from>
    <xdr:to>
      <xdr:col>7</xdr:col>
      <xdr:colOff>561975</xdr:colOff>
      <xdr:row>9</xdr:row>
      <xdr:rowOff>133350</xdr:rowOff>
    </xdr:to>
    <xdr:pic>
      <xdr:nvPicPr>
        <xdr:cNvPr id="3930533" name="Picture 2016">
          <a:extLst>
            <a:ext uri="{FF2B5EF4-FFF2-40B4-BE49-F238E27FC236}">
              <a16:creationId xmlns:a16="http://schemas.microsoft.com/office/drawing/2014/main" id="{00000000-0008-0000-0000-0000A5F93B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609850" y="1876425"/>
          <a:ext cx="26003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590550</xdr:colOff>
      <xdr:row>7</xdr:row>
      <xdr:rowOff>95250</xdr:rowOff>
    </xdr:from>
    <xdr:to>
      <xdr:col>7</xdr:col>
      <xdr:colOff>295275</xdr:colOff>
      <xdr:row>9</xdr:row>
      <xdr:rowOff>104775</xdr:rowOff>
    </xdr:to>
    <xdr:sp macro="" textlink="">
      <xdr:nvSpPr>
        <xdr:cNvPr id="955361" name="Text Box 2017">
          <a:extLst>
            <a:ext uri="{FF2B5EF4-FFF2-40B4-BE49-F238E27FC236}">
              <a16:creationId xmlns:a16="http://schemas.microsoft.com/office/drawing/2014/main"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xdr:txBody>
    </xdr:sp>
    <xdr:clientData/>
  </xdr:twoCellAnchor>
  <xdr:twoCellAnchor editAs="oneCell">
    <xdr:from>
      <xdr:col>7</xdr:col>
      <xdr:colOff>733425</xdr:colOff>
      <xdr:row>7</xdr:row>
      <xdr:rowOff>76200</xdr:rowOff>
    </xdr:from>
    <xdr:to>
      <xdr:col>11</xdr:col>
      <xdr:colOff>495300</xdr:colOff>
      <xdr:row>9</xdr:row>
      <xdr:rowOff>133350</xdr:rowOff>
    </xdr:to>
    <xdr:pic>
      <xdr:nvPicPr>
        <xdr:cNvPr id="3930535" name="Picture 2018">
          <a:extLst>
            <a:ext uri="{FF2B5EF4-FFF2-40B4-BE49-F238E27FC236}">
              <a16:creationId xmlns:a16="http://schemas.microsoft.com/office/drawing/2014/main" id="{00000000-0008-0000-0000-0000A7F93B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381625" y="1885950"/>
          <a:ext cx="21621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7</xdr:row>
      <xdr:rowOff>95250</xdr:rowOff>
    </xdr:from>
    <xdr:to>
      <xdr:col>11</xdr:col>
      <xdr:colOff>409575</xdr:colOff>
      <xdr:row>9</xdr:row>
      <xdr:rowOff>104775</xdr:rowOff>
    </xdr:to>
    <xdr:sp macro="" textlink="">
      <xdr:nvSpPr>
        <xdr:cNvPr id="955363" name="Text Box 2019">
          <a:extLst>
            <a:ext uri="{FF2B5EF4-FFF2-40B4-BE49-F238E27FC236}">
              <a16:creationId xmlns:a16="http://schemas.microsoft.com/office/drawing/2014/main"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1123950</xdr:colOff>
      <xdr:row>1</xdr:row>
      <xdr:rowOff>0</xdr:rowOff>
    </xdr:to>
    <xdr:sp macro="" textlink="">
      <xdr:nvSpPr>
        <xdr:cNvPr id="2" name="AutoShape 50">
          <a:hlinkClick xmlns:r="http://schemas.openxmlformats.org/officeDocument/2006/relationships" r:id="rId1"/>
          <a:extLst>
            <a:ext uri="{FF2B5EF4-FFF2-40B4-BE49-F238E27FC236}">
              <a16:creationId xmlns:a16="http://schemas.microsoft.com/office/drawing/2014/main" id="{FD590F3E-B36B-406D-AA55-1B04D9BB419D}"/>
            </a:ext>
          </a:extLst>
        </xdr:cNvPr>
        <xdr:cNvSpPr>
          <a:spLocks noChangeArrowheads="1"/>
        </xdr:cNvSpPr>
      </xdr:nvSpPr>
      <xdr:spPr bwMode="auto">
        <a:xfrm>
          <a:off x="28575" y="28575"/>
          <a:ext cx="1438275" cy="16192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200025</xdr:colOff>
      <xdr:row>2</xdr:row>
      <xdr:rowOff>0</xdr:rowOff>
    </xdr:from>
    <xdr:to>
      <xdr:col>0</xdr:col>
      <xdr:colOff>1181100</xdr:colOff>
      <xdr:row>2</xdr:row>
      <xdr:rowOff>447675</xdr:rowOff>
    </xdr:to>
    <xdr:sp macro="" textlink="">
      <xdr:nvSpPr>
        <xdr:cNvPr id="2" name="Rectangle 117">
          <a:hlinkClick xmlns:r="http://schemas.openxmlformats.org/officeDocument/2006/relationships" r:id="rId1"/>
          <a:extLst>
            <a:ext uri="{FF2B5EF4-FFF2-40B4-BE49-F238E27FC236}">
              <a16:creationId xmlns:a16="http://schemas.microsoft.com/office/drawing/2014/main" id="{E61A5F99-06AF-4AC6-B567-46A236DA2EE1}"/>
            </a:ext>
          </a:extLst>
        </xdr:cNvPr>
        <xdr:cNvSpPr>
          <a:spLocks noChangeArrowheads="1"/>
        </xdr:cNvSpPr>
      </xdr:nvSpPr>
      <xdr:spPr bwMode="auto">
        <a:xfrm>
          <a:off x="200025" y="381000"/>
          <a:ext cx="5619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ZA" sz="900" b="0" i="0" strike="noStrike">
              <a:solidFill>
                <a:srgbClr val="000000"/>
              </a:solidFill>
              <a:latin typeface="Calibri"/>
            </a:rPr>
            <a:t>http://www.crwflags.com/fotw/flags/country.html</a:t>
          </a:r>
        </a:p>
      </xdr:txBody>
    </xdr:sp>
    <xdr:clientData/>
  </xdr:twoCellAnchor>
  <xdr:twoCellAnchor>
    <xdr:from>
      <xdr:col>0</xdr:col>
      <xdr:colOff>38100</xdr:colOff>
      <xdr:row>0</xdr:row>
      <xdr:rowOff>19050</xdr:rowOff>
    </xdr:from>
    <xdr:to>
      <xdr:col>0</xdr:col>
      <xdr:colOff>1114425</xdr:colOff>
      <xdr:row>1</xdr:row>
      <xdr:rowOff>85725</xdr:rowOff>
    </xdr:to>
    <xdr:sp macro="" textlink="">
      <xdr:nvSpPr>
        <xdr:cNvPr id="3" name="AutoShape 50">
          <a:hlinkClick xmlns:r="http://schemas.openxmlformats.org/officeDocument/2006/relationships" r:id="rId2"/>
          <a:extLst>
            <a:ext uri="{FF2B5EF4-FFF2-40B4-BE49-F238E27FC236}">
              <a16:creationId xmlns:a16="http://schemas.microsoft.com/office/drawing/2014/main" id="{64206DE5-1A16-4A1F-BD56-3CE27083F5FB}"/>
            </a:ext>
          </a:extLst>
        </xdr:cNvPr>
        <xdr:cNvSpPr>
          <a:spLocks noChangeArrowheads="1"/>
        </xdr:cNvSpPr>
      </xdr:nvSpPr>
      <xdr:spPr bwMode="auto">
        <a:xfrm>
          <a:off x="38100" y="19050"/>
          <a:ext cx="723900" cy="2571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2" name="Chart 32">
          <a:extLst>
            <a:ext uri="{FF2B5EF4-FFF2-40B4-BE49-F238E27FC236}">
              <a16:creationId xmlns:a16="http://schemas.microsoft.com/office/drawing/2014/main" id="{042B2DF0-0D68-465C-B610-33D22D7481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28575</xdr:rowOff>
    </xdr:from>
    <xdr:to>
      <xdr:col>1</xdr:col>
      <xdr:colOff>876300</xdr:colOff>
      <xdr:row>0</xdr:row>
      <xdr:rowOff>361950</xdr:rowOff>
    </xdr:to>
    <xdr:sp macro="" textlink="">
      <xdr:nvSpPr>
        <xdr:cNvPr id="3" name="AutoShape 50">
          <a:hlinkClick xmlns:r="http://schemas.openxmlformats.org/officeDocument/2006/relationships" r:id="rId2"/>
          <a:extLst>
            <a:ext uri="{FF2B5EF4-FFF2-40B4-BE49-F238E27FC236}">
              <a16:creationId xmlns:a16="http://schemas.microsoft.com/office/drawing/2014/main" id="{D3586155-F85F-417C-B950-319C7AD928A0}"/>
            </a:ext>
          </a:extLst>
        </xdr:cNvPr>
        <xdr:cNvSpPr>
          <a:spLocks noChangeArrowheads="1"/>
        </xdr:cNvSpPr>
      </xdr:nvSpPr>
      <xdr:spPr bwMode="auto">
        <a:xfrm>
          <a:off x="38100" y="28575"/>
          <a:ext cx="1428750" cy="16192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twoCellAnchor>
    <xdr:from>
      <xdr:col>0</xdr:col>
      <xdr:colOff>101021</xdr:colOff>
      <xdr:row>26</xdr:row>
      <xdr:rowOff>23088</xdr:rowOff>
    </xdr:from>
    <xdr:to>
      <xdr:col>16</xdr:col>
      <xdr:colOff>675408</xdr:colOff>
      <xdr:row>48</xdr:row>
      <xdr:rowOff>60614</xdr:rowOff>
    </xdr:to>
    <xdr:graphicFrame macro="">
      <xdr:nvGraphicFramePr>
        <xdr:cNvPr id="4" name="Chart 34">
          <a:extLst>
            <a:ext uri="{FF2B5EF4-FFF2-40B4-BE49-F238E27FC236}">
              <a16:creationId xmlns:a16="http://schemas.microsoft.com/office/drawing/2014/main" id="{0C7D2208-AF1A-476B-8C4D-BADD04F21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161925</xdr:colOff>
      <xdr:row>9</xdr:row>
      <xdr:rowOff>66675</xdr:rowOff>
    </xdr:from>
    <xdr:to>
      <xdr:col>13</xdr:col>
      <xdr:colOff>171450</xdr:colOff>
      <xdr:row>20</xdr:row>
      <xdr:rowOff>76200</xdr:rowOff>
    </xdr:to>
    <xdr:graphicFrame macro="">
      <xdr:nvGraphicFramePr>
        <xdr:cNvPr id="5" name="Chart 7">
          <a:extLst>
            <a:ext uri="{FF2B5EF4-FFF2-40B4-BE49-F238E27FC236}">
              <a16:creationId xmlns:a16="http://schemas.microsoft.com/office/drawing/2014/main" id="{E4FCE664-188F-4E15-A2A8-207D74642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64477</xdr:colOff>
      <xdr:row>19</xdr:row>
      <xdr:rowOff>133351</xdr:rowOff>
    </xdr:from>
    <xdr:to>
      <xdr:col>13</xdr:col>
      <xdr:colOff>209550</xdr:colOff>
      <xdr:row>20</xdr:row>
      <xdr:rowOff>105509</xdr:rowOff>
    </xdr:to>
    <xdr:grpSp>
      <xdr:nvGrpSpPr>
        <xdr:cNvPr id="6" name="Group 6">
          <a:extLst>
            <a:ext uri="{FF2B5EF4-FFF2-40B4-BE49-F238E27FC236}">
              <a16:creationId xmlns:a16="http://schemas.microsoft.com/office/drawing/2014/main" id="{B6AFBFDC-7080-402C-A0B8-9DC2A9032FC1}"/>
            </a:ext>
          </a:extLst>
        </xdr:cNvPr>
        <xdr:cNvGrpSpPr>
          <a:grpSpLocks/>
        </xdr:cNvGrpSpPr>
      </xdr:nvGrpSpPr>
      <xdr:grpSpPr bwMode="auto">
        <a:xfrm>
          <a:off x="4965522" y="4243533"/>
          <a:ext cx="3545210" cy="156885"/>
          <a:chOff x="0" y="0"/>
          <a:chExt cx="37352" cy="2842"/>
        </a:xfrm>
      </xdr:grpSpPr>
      <xdr:sp macro="" textlink="">
        <xdr:nvSpPr>
          <xdr:cNvPr id="7" name="Rectangle 1">
            <a:extLst>
              <a:ext uri="{FF2B5EF4-FFF2-40B4-BE49-F238E27FC236}">
                <a16:creationId xmlns:a16="http://schemas.microsoft.com/office/drawing/2014/main" id="{288C1586-AAF4-2327-AECD-E92C5C645C99}"/>
              </a:ext>
            </a:extLst>
          </xdr:cNvPr>
          <xdr:cNvSpPr>
            <a:spLocks noChangeArrowheads="1"/>
          </xdr:cNvSpPr>
        </xdr:nvSpPr>
        <xdr:spPr bwMode="auto">
          <a:xfrm>
            <a:off x="0" y="603"/>
            <a:ext cx="1639" cy="1726"/>
          </a:xfrm>
          <a:prstGeom prst="rect">
            <a:avLst/>
          </a:prstGeom>
          <a:solidFill>
            <a:srgbClr val="AEC9E4">
              <a:alpha val="94116"/>
            </a:srgbClr>
          </a:solidFill>
          <a:ln>
            <a:noFill/>
          </a:ln>
          <a:extLst>
            <a:ext uri="{91240B29-F687-4F45-9708-019B960494DF}">
              <a14:hiddenLine xmlns:a14="http://schemas.microsoft.com/office/drawing/2010/main" w="25400">
                <a:solidFill>
                  <a:srgbClr val="000000"/>
                </a:solidFill>
                <a:miter lim="800000"/>
                <a:headEnd/>
                <a:tailEnd/>
              </a14:hiddenLine>
            </a:ext>
          </a:extLst>
        </xdr:spPr>
      </xdr:sp>
      <xdr:sp macro="" textlink="">
        <xdr:nvSpPr>
          <xdr:cNvPr id="8" name="Rectangle 3">
            <a:extLst>
              <a:ext uri="{FF2B5EF4-FFF2-40B4-BE49-F238E27FC236}">
                <a16:creationId xmlns:a16="http://schemas.microsoft.com/office/drawing/2014/main" id="{1E36C8A3-CD1A-1DA3-A9AE-7CBBF906DD92}"/>
              </a:ext>
            </a:extLst>
          </xdr:cNvPr>
          <xdr:cNvSpPr>
            <a:spLocks noChangeArrowheads="1"/>
          </xdr:cNvSpPr>
        </xdr:nvSpPr>
        <xdr:spPr bwMode="auto">
          <a:xfrm>
            <a:off x="2393" y="0"/>
            <a:ext cx="15815" cy="2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36000" tIns="36000" rIns="36000" bIns="36000" anchor="t" upright="1"/>
          <a:lstStyle/>
          <a:p>
            <a:pPr algn="l" rtl="0">
              <a:defRPr sz="1000"/>
            </a:pPr>
            <a:r>
              <a:rPr lang="ru-RU" sz="800" b="0" i="0" u="none" strike="noStrike" baseline="0">
                <a:solidFill>
                  <a:srgbClr val="000000"/>
                </a:solidFill>
                <a:latin typeface="Calibri"/>
                <a:cs typeface="Calibri"/>
              </a:rPr>
              <a:t>Текущий отчетный период</a:t>
            </a:r>
          </a:p>
        </xdr:txBody>
      </xdr:sp>
      <xdr:sp macro="" textlink="">
        <xdr:nvSpPr>
          <xdr:cNvPr id="9" name="Rectangle 4">
            <a:extLst>
              <a:ext uri="{FF2B5EF4-FFF2-40B4-BE49-F238E27FC236}">
                <a16:creationId xmlns:a16="http://schemas.microsoft.com/office/drawing/2014/main" id="{9DD48433-B0DF-0A50-21C6-54AD72A1942F}"/>
              </a:ext>
            </a:extLst>
          </xdr:cNvPr>
          <xdr:cNvSpPr>
            <a:spLocks noChangeArrowheads="1"/>
          </xdr:cNvSpPr>
        </xdr:nvSpPr>
        <xdr:spPr bwMode="auto">
          <a:xfrm>
            <a:off x="19150" y="776"/>
            <a:ext cx="1639" cy="1725"/>
          </a:xfrm>
          <a:prstGeom prst="rect">
            <a:avLst/>
          </a:prstGeom>
          <a:solidFill>
            <a:srgbClr val="005CB8"/>
          </a:solidFill>
          <a:ln>
            <a:noFill/>
          </a:ln>
          <a:extLst>
            <a:ext uri="{91240B29-F687-4F45-9708-019B960494DF}">
              <a14:hiddenLine xmlns:a14="http://schemas.microsoft.com/office/drawing/2010/main" w="25400">
                <a:solidFill>
                  <a:srgbClr val="000000"/>
                </a:solidFill>
                <a:miter lim="800000"/>
                <a:headEnd/>
                <a:tailEnd/>
              </a14:hiddenLine>
            </a:ext>
          </a:extLst>
        </xdr:spPr>
      </xdr:sp>
      <xdr:sp macro="" textlink="">
        <xdr:nvSpPr>
          <xdr:cNvPr id="10" name="Rectangle 5">
            <a:extLst>
              <a:ext uri="{FF2B5EF4-FFF2-40B4-BE49-F238E27FC236}">
                <a16:creationId xmlns:a16="http://schemas.microsoft.com/office/drawing/2014/main" id="{3E283862-E58D-1268-F26F-97A08B2279B5}"/>
              </a:ext>
            </a:extLst>
          </xdr:cNvPr>
          <xdr:cNvSpPr>
            <a:spLocks noChangeArrowheads="1"/>
          </xdr:cNvSpPr>
        </xdr:nvSpPr>
        <xdr:spPr bwMode="auto">
          <a:xfrm>
            <a:off x="21537" y="0"/>
            <a:ext cx="15815" cy="2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36000" tIns="36000" rIns="36000" bIns="36000" anchor="t" upright="1"/>
          <a:lstStyle/>
          <a:p>
            <a:pPr algn="l" rtl="0">
              <a:defRPr sz="1000"/>
            </a:pPr>
            <a:r>
              <a:rPr lang="ru-RU" sz="800" b="0" i="0" u="none" strike="noStrike" baseline="0">
                <a:solidFill>
                  <a:srgbClr val="000000"/>
                </a:solidFill>
                <a:latin typeface="Calibri"/>
                <a:cs typeface="Calibri"/>
              </a:rPr>
              <a:t>До отчетного периода</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1057275</xdr:colOff>
      <xdr:row>1</xdr:row>
      <xdr:rowOff>0</xdr:rowOff>
    </xdr:to>
    <xdr:sp macro="" textlink="">
      <xdr:nvSpPr>
        <xdr:cNvPr id="2" name="AutoShape 50">
          <a:hlinkClick xmlns:r="http://schemas.openxmlformats.org/officeDocument/2006/relationships" r:id="rId1"/>
          <a:extLst>
            <a:ext uri="{FF2B5EF4-FFF2-40B4-BE49-F238E27FC236}">
              <a16:creationId xmlns:a16="http://schemas.microsoft.com/office/drawing/2014/main" id="{60F13AFA-92C8-4A8B-A1F8-C4D142054B82}"/>
            </a:ext>
          </a:extLst>
        </xdr:cNvPr>
        <xdr:cNvSpPr>
          <a:spLocks noChangeArrowheads="1"/>
        </xdr:cNvSpPr>
      </xdr:nvSpPr>
      <xdr:spPr bwMode="auto">
        <a:xfrm>
          <a:off x="9525" y="0"/>
          <a:ext cx="1457325" cy="190500"/>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twoCellAnchor>
    <xdr:from>
      <xdr:col>1</xdr:col>
      <xdr:colOff>0</xdr:colOff>
      <xdr:row>9</xdr:row>
      <xdr:rowOff>0</xdr:rowOff>
    </xdr:from>
    <xdr:to>
      <xdr:col>4</xdr:col>
      <xdr:colOff>942975</xdr:colOff>
      <xdr:row>19</xdr:row>
      <xdr:rowOff>47625</xdr:rowOff>
    </xdr:to>
    <xdr:graphicFrame macro="">
      <xdr:nvGraphicFramePr>
        <xdr:cNvPr id="3" name="Диаграмма 9">
          <a:extLst>
            <a:ext uri="{FF2B5EF4-FFF2-40B4-BE49-F238E27FC236}">
              <a16:creationId xmlns:a16="http://schemas.microsoft.com/office/drawing/2014/main" id="{D1698676-86E5-4958-BFCD-955C484152E5}"/>
            </a:ext>
            <a:ext uri="{147F2762-F138-4A5C-976F-8EAC2B608ADB}">
              <a16:predDERef xmlns:a16="http://schemas.microsoft.com/office/drawing/2014/main" pred="{00000000-0008-0000-0600-00007D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9</xdr:row>
      <xdr:rowOff>19050</xdr:rowOff>
    </xdr:from>
    <xdr:to>
      <xdr:col>11</xdr:col>
      <xdr:colOff>0</xdr:colOff>
      <xdr:row>19</xdr:row>
      <xdr:rowOff>57150</xdr:rowOff>
    </xdr:to>
    <xdr:graphicFrame macro="">
      <xdr:nvGraphicFramePr>
        <xdr:cNvPr id="4" name="Диаграмма 11">
          <a:extLst>
            <a:ext uri="{FF2B5EF4-FFF2-40B4-BE49-F238E27FC236}">
              <a16:creationId xmlns:a16="http://schemas.microsoft.com/office/drawing/2014/main" id="{458BF410-333B-4995-B83F-53F2F78D3126}"/>
            </a:ext>
            <a:ext uri="{147F2762-F138-4A5C-976F-8EAC2B608ADB}">
              <a16:predDERef xmlns:a16="http://schemas.microsoft.com/office/drawing/2014/main" pre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9</xdr:row>
      <xdr:rowOff>0</xdr:rowOff>
    </xdr:from>
    <xdr:to>
      <xdr:col>17</xdr:col>
      <xdr:colOff>9525</xdr:colOff>
      <xdr:row>19</xdr:row>
      <xdr:rowOff>47625</xdr:rowOff>
    </xdr:to>
    <xdr:graphicFrame macro="">
      <xdr:nvGraphicFramePr>
        <xdr:cNvPr id="5" name="Диаграмма 12">
          <a:extLst>
            <a:ext uri="{FF2B5EF4-FFF2-40B4-BE49-F238E27FC236}">
              <a16:creationId xmlns:a16="http://schemas.microsoft.com/office/drawing/2014/main" id="{2F6248F6-6A69-4916-9744-67397A61D0D8}"/>
            </a:ext>
            <a:ext uri="{147F2762-F138-4A5C-976F-8EAC2B608ADB}">
              <a16:predDERef xmlns:a16="http://schemas.microsoft.com/office/drawing/2014/main" pre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36</xdr:row>
      <xdr:rowOff>9525</xdr:rowOff>
    </xdr:from>
    <xdr:to>
      <xdr:col>5</xdr:col>
      <xdr:colOff>28575</xdr:colOff>
      <xdr:row>46</xdr:row>
      <xdr:rowOff>66675</xdr:rowOff>
    </xdr:to>
    <xdr:graphicFrame macro="">
      <xdr:nvGraphicFramePr>
        <xdr:cNvPr id="6" name="Диаграмма 13">
          <a:extLst>
            <a:ext uri="{FF2B5EF4-FFF2-40B4-BE49-F238E27FC236}">
              <a16:creationId xmlns:a16="http://schemas.microsoft.com/office/drawing/2014/main" id="{A924DEDA-86CD-47FA-A767-2D5F8E312FD7}"/>
            </a:ext>
            <a:ext uri="{147F2762-F138-4A5C-976F-8EAC2B608ADB}">
              <a16:predDERef xmlns:a16="http://schemas.microsoft.com/office/drawing/2014/main" pre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952500</xdr:colOff>
      <xdr:row>36</xdr:row>
      <xdr:rowOff>0</xdr:rowOff>
    </xdr:from>
    <xdr:to>
      <xdr:col>11</xdr:col>
      <xdr:colOff>11206</xdr:colOff>
      <xdr:row>46</xdr:row>
      <xdr:rowOff>33618</xdr:rowOff>
    </xdr:to>
    <xdr:graphicFrame macro="">
      <xdr:nvGraphicFramePr>
        <xdr:cNvPr id="7" name="Диаграмма 14">
          <a:extLst>
            <a:ext uri="{FF2B5EF4-FFF2-40B4-BE49-F238E27FC236}">
              <a16:creationId xmlns:a16="http://schemas.microsoft.com/office/drawing/2014/main" id="{A16BF41F-1537-4EA2-B0B6-96A62BB23AAF}"/>
            </a:ext>
            <a:ext uri="{147F2762-F138-4A5C-976F-8EAC2B608ADB}">
              <a16:predDERef xmlns:a16="http://schemas.microsoft.com/office/drawing/2014/main" pre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11907</xdr:colOff>
      <xdr:row>36</xdr:row>
      <xdr:rowOff>0</xdr:rowOff>
    </xdr:from>
    <xdr:to>
      <xdr:col>17</xdr:col>
      <xdr:colOff>11907</xdr:colOff>
      <xdr:row>46</xdr:row>
      <xdr:rowOff>68356</xdr:rowOff>
    </xdr:to>
    <xdr:graphicFrame macro="">
      <xdr:nvGraphicFramePr>
        <xdr:cNvPr id="8" name="Диаграмма 15">
          <a:extLst>
            <a:ext uri="{FF2B5EF4-FFF2-40B4-BE49-F238E27FC236}">
              <a16:creationId xmlns:a16="http://schemas.microsoft.com/office/drawing/2014/main" id="{D7A2FB6B-2A79-4025-A63A-B4DA3E4DCA16}"/>
            </a:ext>
            <a:ext uri="{147F2762-F138-4A5C-976F-8EAC2B608ADB}">
              <a16:predDERef xmlns:a16="http://schemas.microsoft.com/office/drawing/2014/main" pre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238125</xdr:colOff>
      <xdr:row>18</xdr:row>
      <xdr:rowOff>2447924</xdr:rowOff>
    </xdr:from>
    <xdr:to>
      <xdr:col>12</xdr:col>
      <xdr:colOff>914400</xdr:colOff>
      <xdr:row>26</xdr:row>
      <xdr:rowOff>47625</xdr:rowOff>
    </xdr:to>
    <xdr:graphicFrame macro="">
      <xdr:nvGraphicFramePr>
        <xdr:cNvPr id="2" name="Chart 1054">
          <a:extLst>
            <a:ext uri="{FF2B5EF4-FFF2-40B4-BE49-F238E27FC236}">
              <a16:creationId xmlns:a16="http://schemas.microsoft.com/office/drawing/2014/main" id="{E6E652A6-6DAB-4783-A09D-19B3D8B7E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19050</xdr:rowOff>
    </xdr:from>
    <xdr:to>
      <xdr:col>1</xdr:col>
      <xdr:colOff>904875</xdr:colOff>
      <xdr:row>0</xdr:row>
      <xdr:rowOff>352425</xdr:rowOff>
    </xdr:to>
    <xdr:sp macro="" textlink="">
      <xdr:nvSpPr>
        <xdr:cNvPr id="3" name="AutoShape 50">
          <a:hlinkClick xmlns:r="http://schemas.openxmlformats.org/officeDocument/2006/relationships" r:id="rId2"/>
          <a:extLst>
            <a:ext uri="{FF2B5EF4-FFF2-40B4-BE49-F238E27FC236}">
              <a16:creationId xmlns:a16="http://schemas.microsoft.com/office/drawing/2014/main" id="{7C1B6D9D-89CD-4094-912D-422FBD1DD943}"/>
            </a:ext>
          </a:extLst>
        </xdr:cNvPr>
        <xdr:cNvSpPr>
          <a:spLocks noChangeArrowheads="1"/>
        </xdr:cNvSpPr>
      </xdr:nvSpPr>
      <xdr:spPr bwMode="auto">
        <a:xfrm>
          <a:off x="47625" y="19050"/>
          <a:ext cx="1419225" cy="171450"/>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twoCellAnchor>
    <xdr:from>
      <xdr:col>0</xdr:col>
      <xdr:colOff>219074</xdr:colOff>
      <xdr:row>8</xdr:row>
      <xdr:rowOff>0</xdr:rowOff>
    </xdr:from>
    <xdr:to>
      <xdr:col>5</xdr:col>
      <xdr:colOff>1123949</xdr:colOff>
      <xdr:row>16</xdr:row>
      <xdr:rowOff>504825</xdr:rowOff>
    </xdr:to>
    <xdr:graphicFrame macro="">
      <xdr:nvGraphicFramePr>
        <xdr:cNvPr id="4" name="Chart 1046">
          <a:extLst>
            <a:ext uri="{FF2B5EF4-FFF2-40B4-BE49-F238E27FC236}">
              <a16:creationId xmlns:a16="http://schemas.microsoft.com/office/drawing/2014/main" id="{8E7DAA7D-3204-4089-A97F-F1F0E18EE0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5</xdr:col>
      <xdr:colOff>1123950</xdr:colOff>
      <xdr:row>26</xdr:row>
      <xdr:rowOff>76200</xdr:rowOff>
    </xdr:to>
    <xdr:graphicFrame macro="">
      <xdr:nvGraphicFramePr>
        <xdr:cNvPr id="5" name="Диаграмма 10">
          <a:extLst>
            <a:ext uri="{FF2B5EF4-FFF2-40B4-BE49-F238E27FC236}">
              <a16:creationId xmlns:a16="http://schemas.microsoft.com/office/drawing/2014/main" id="{662C3768-3BA0-4BDF-BBFB-E65724C01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30</xdr:row>
      <xdr:rowOff>9525</xdr:rowOff>
    </xdr:from>
    <xdr:to>
      <xdr:col>5</xdr:col>
      <xdr:colOff>1085850</xdr:colOff>
      <xdr:row>34</xdr:row>
      <xdr:rowOff>114300</xdr:rowOff>
    </xdr:to>
    <xdr:graphicFrame macro="">
      <xdr:nvGraphicFramePr>
        <xdr:cNvPr id="6" name="Диаграмма 7">
          <a:extLst>
            <a:ext uri="{FF2B5EF4-FFF2-40B4-BE49-F238E27FC236}">
              <a16:creationId xmlns:a16="http://schemas.microsoft.com/office/drawing/2014/main" id="{FA1F8C1D-3E11-4720-B64E-9A787B891A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8</xdr:row>
      <xdr:rowOff>0</xdr:rowOff>
    </xdr:from>
    <xdr:to>
      <xdr:col>12</xdr:col>
      <xdr:colOff>942975</xdr:colOff>
      <xdr:row>16</xdr:row>
      <xdr:rowOff>466725</xdr:rowOff>
    </xdr:to>
    <xdr:graphicFrame macro="">
      <xdr:nvGraphicFramePr>
        <xdr:cNvPr id="7" name="Диаграмма 11">
          <a:extLst>
            <a:ext uri="{FF2B5EF4-FFF2-40B4-BE49-F238E27FC236}">
              <a16:creationId xmlns:a16="http://schemas.microsoft.com/office/drawing/2014/main" id="{3766BEDC-8C73-4AAE-A2DA-B9F61FDB3BBD}"/>
            </a:ext>
            <a:ext uri="{147F2762-F138-4A5C-976F-8EAC2B608ADB}">
              <a16:predDERef xmlns:a16="http://schemas.microsoft.com/office/drawing/2014/main" pre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9771" name="Picture 2" descr="C:\Documents and Settings\Administrator\My Documents\My Pictures\Prueba.jpg">
          <a:extLst>
            <a:ext uri="{FF2B5EF4-FFF2-40B4-BE49-F238E27FC236}">
              <a16:creationId xmlns:a16="http://schemas.microsoft.com/office/drawing/2014/main" id="{00000000-0008-0000-0900-00002B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2875" y="257175"/>
          <a:ext cx="7429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942975</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3</xdr:col>
      <xdr:colOff>38100</xdr:colOff>
      <xdr:row>63</xdr:row>
      <xdr:rowOff>144991</xdr:rowOff>
    </xdr:from>
    <xdr:to>
      <xdr:col>3</xdr:col>
      <xdr:colOff>885825</xdr:colOff>
      <xdr:row>63</xdr:row>
      <xdr:rowOff>144991</xdr:rowOff>
    </xdr:to>
    <xdr:cxnSp macro="">
      <xdr:nvCxnSpPr>
        <xdr:cNvPr id="7137" name="AutoShape 101">
          <a:extLst>
            <a:ext uri="{FF2B5EF4-FFF2-40B4-BE49-F238E27FC236}">
              <a16:creationId xmlns:a16="http://schemas.microsoft.com/office/drawing/2014/main" id="{00000000-0008-0000-0200-0000E11B0000}"/>
            </a:ext>
          </a:extLst>
        </xdr:cNvPr>
        <xdr:cNvCxnSpPr>
          <a:cxnSpLocks noChangeShapeType="1"/>
        </xdr:cNvCxnSpPr>
      </xdr:nvCxnSpPr>
      <xdr:spPr bwMode="auto">
        <a:xfrm flipH="1">
          <a:off x="6684433" y="7405158"/>
          <a:ext cx="847725"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405342</xdr:colOff>
      <xdr:row>34</xdr:row>
      <xdr:rowOff>48683</xdr:rowOff>
    </xdr:from>
    <xdr:to>
      <xdr:col>11</xdr:col>
      <xdr:colOff>414867</xdr:colOff>
      <xdr:row>63</xdr:row>
      <xdr:rowOff>10583</xdr:rowOff>
    </xdr:to>
    <xdr:cxnSp macro="">
      <xdr:nvCxnSpPr>
        <xdr:cNvPr id="7138" name="Straight Arrow Connector 9">
          <a:extLst>
            <a:ext uri="{FF2B5EF4-FFF2-40B4-BE49-F238E27FC236}">
              <a16:creationId xmlns:a16="http://schemas.microsoft.com/office/drawing/2014/main" id="{00000000-0008-0000-0200-0000E21B0000}"/>
            </a:ext>
          </a:extLst>
        </xdr:cNvPr>
        <xdr:cNvCxnSpPr>
          <a:cxnSpLocks noChangeShapeType="1"/>
        </xdr:cNvCxnSpPr>
      </xdr:nvCxnSpPr>
      <xdr:spPr bwMode="auto">
        <a:xfrm flipH="1">
          <a:off x="15550092" y="5329766"/>
          <a:ext cx="9525" cy="1940984"/>
        </a:xfrm>
        <a:prstGeom prst="straightConnector1">
          <a:avLst/>
        </a:prstGeom>
        <a:noFill/>
        <a:ln w="952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1123950</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2</xdr:row>
      <xdr:rowOff>0</xdr:rowOff>
    </xdr:from>
    <xdr:to>
      <xdr:col>0</xdr:col>
      <xdr:colOff>1181100</xdr:colOff>
      <xdr:row>2</xdr:row>
      <xdr:rowOff>447675</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ZA" sz="900" b="0" i="0" strike="noStrike">
              <a:solidFill>
                <a:srgbClr val="000000"/>
              </a:solidFill>
              <a:latin typeface="Calibri"/>
            </a:rPr>
            <a:t>http://www.crwflags.com/fotw/flags/country.html</a:t>
          </a:r>
        </a:p>
      </xdr:txBody>
    </xdr:sp>
    <xdr:clientData/>
  </xdr:twoCellAnchor>
  <xdr:twoCellAnchor>
    <xdr:from>
      <xdr:col>0</xdr:col>
      <xdr:colOff>38100</xdr:colOff>
      <xdr:row>0</xdr:row>
      <xdr:rowOff>19050</xdr:rowOff>
    </xdr:from>
    <xdr:to>
      <xdr:col>0</xdr:col>
      <xdr:colOff>1114425</xdr:colOff>
      <xdr:row>1</xdr:row>
      <xdr:rowOff>85725</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2854332" name="Chart 32">
          <a:extLst>
            <a:ext uri="{FF2B5EF4-FFF2-40B4-BE49-F238E27FC236}">
              <a16:creationId xmlns:a16="http://schemas.microsoft.com/office/drawing/2014/main" id="{00000000-0008-0000-0400-0000BC8D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28575</xdr:rowOff>
    </xdr:from>
    <xdr:to>
      <xdr:col>1</xdr:col>
      <xdr:colOff>876300</xdr:colOff>
      <xdr:row>0</xdr:row>
      <xdr:rowOff>361950</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0</xdr:col>
      <xdr:colOff>101021</xdr:colOff>
      <xdr:row>26</xdr:row>
      <xdr:rowOff>23088</xdr:rowOff>
    </xdr:from>
    <xdr:to>
      <xdr:col>16</xdr:col>
      <xdr:colOff>675408</xdr:colOff>
      <xdr:row>48</xdr:row>
      <xdr:rowOff>60614</xdr:rowOff>
    </xdr:to>
    <xdr:graphicFrame macro="">
      <xdr:nvGraphicFramePr>
        <xdr:cNvPr id="2854334" name="Chart 34">
          <a:extLst>
            <a:ext uri="{FF2B5EF4-FFF2-40B4-BE49-F238E27FC236}">
              <a16:creationId xmlns:a16="http://schemas.microsoft.com/office/drawing/2014/main" id="{00000000-0008-0000-0400-0000BE8D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161925</xdr:colOff>
      <xdr:row>9</xdr:row>
      <xdr:rowOff>66675</xdr:rowOff>
    </xdr:from>
    <xdr:to>
      <xdr:col>13</xdr:col>
      <xdr:colOff>171450</xdr:colOff>
      <xdr:row>20</xdr:row>
      <xdr:rowOff>76200</xdr:rowOff>
    </xdr:to>
    <xdr:graphicFrame macro="">
      <xdr:nvGraphicFramePr>
        <xdr:cNvPr id="2854335" name="Chart 7">
          <a:extLst>
            <a:ext uri="{FF2B5EF4-FFF2-40B4-BE49-F238E27FC236}">
              <a16:creationId xmlns:a16="http://schemas.microsoft.com/office/drawing/2014/main" id="{00000000-0008-0000-0400-0000BF8D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47159</xdr:colOff>
      <xdr:row>19</xdr:row>
      <xdr:rowOff>159328</xdr:rowOff>
    </xdr:from>
    <xdr:to>
      <xdr:col>13</xdr:col>
      <xdr:colOff>192232</xdr:colOff>
      <xdr:row>20</xdr:row>
      <xdr:rowOff>131486</xdr:rowOff>
    </xdr:to>
    <xdr:grpSp>
      <xdr:nvGrpSpPr>
        <xdr:cNvPr id="2854336" name="Group 6">
          <a:extLst>
            <a:ext uri="{FF2B5EF4-FFF2-40B4-BE49-F238E27FC236}">
              <a16:creationId xmlns:a16="http://schemas.microsoft.com/office/drawing/2014/main" id="{00000000-0008-0000-0400-0000C08D2B00}"/>
            </a:ext>
          </a:extLst>
        </xdr:cNvPr>
        <xdr:cNvGrpSpPr>
          <a:grpSpLocks/>
        </xdr:cNvGrpSpPr>
      </xdr:nvGrpSpPr>
      <xdr:grpSpPr bwMode="auto">
        <a:xfrm>
          <a:off x="4936659" y="5478674"/>
          <a:ext cx="3554535" cy="157774"/>
          <a:chOff x="0" y="0"/>
          <a:chExt cx="37352" cy="2842"/>
        </a:xfrm>
      </xdr:grpSpPr>
      <xdr:sp macro="" textlink="">
        <xdr:nvSpPr>
          <xdr:cNvPr id="2854337" name="Rectangle 1">
            <a:extLst>
              <a:ext uri="{FF2B5EF4-FFF2-40B4-BE49-F238E27FC236}">
                <a16:creationId xmlns:a16="http://schemas.microsoft.com/office/drawing/2014/main" id="{00000000-0008-0000-0400-0000C18D2B00}"/>
              </a:ext>
            </a:extLst>
          </xdr:cNvPr>
          <xdr:cNvSpPr>
            <a:spLocks noChangeArrowheads="1"/>
          </xdr:cNvSpPr>
        </xdr:nvSpPr>
        <xdr:spPr bwMode="auto">
          <a:xfrm>
            <a:off x="0" y="603"/>
            <a:ext cx="1639" cy="1726"/>
          </a:xfrm>
          <a:prstGeom prst="rect">
            <a:avLst/>
          </a:prstGeom>
          <a:solidFill>
            <a:srgbClr val="AEC9E4">
              <a:alpha val="94116"/>
            </a:srgbClr>
          </a:solidFill>
          <a:ln>
            <a:noFill/>
          </a:ln>
          <a:extLst>
            <a:ext uri="{91240B29-F687-4F45-9708-019B960494DF}">
              <a14:hiddenLine xmlns:a14="http://schemas.microsoft.com/office/drawing/2010/main" w="25400">
                <a:solidFill>
                  <a:srgbClr val="000000"/>
                </a:solidFill>
                <a:miter lim="800000"/>
                <a:headEnd/>
                <a:tailEnd/>
              </a14:hiddenLine>
            </a:ext>
          </a:extLst>
        </xdr:spPr>
      </xdr:sp>
      <xdr:sp macro="" textlink="">
        <xdr:nvSpPr>
          <xdr:cNvPr id="2854231" name="Rectangle 3">
            <a:extLst>
              <a:ext uri="{FF2B5EF4-FFF2-40B4-BE49-F238E27FC236}">
                <a16:creationId xmlns:a16="http://schemas.microsoft.com/office/drawing/2014/main" id="{00000000-0008-0000-0400-0000578D2B00}"/>
              </a:ext>
            </a:extLst>
          </xdr:cNvPr>
          <xdr:cNvSpPr>
            <a:spLocks noChangeArrowheads="1"/>
          </xdr:cNvSpPr>
        </xdr:nvSpPr>
        <xdr:spPr bwMode="auto">
          <a:xfrm>
            <a:off x="2393" y="0"/>
            <a:ext cx="15815" cy="2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36000" tIns="36000" rIns="36000" bIns="36000" anchor="t" upright="1"/>
          <a:lstStyle/>
          <a:p>
            <a:pPr algn="l" rtl="0">
              <a:defRPr sz="1000"/>
            </a:pPr>
            <a:r>
              <a:rPr lang="en-US" sz="800" b="0" i="0" u="none" strike="noStrike" baseline="0">
                <a:solidFill>
                  <a:srgbClr val="000000"/>
                </a:solidFill>
                <a:latin typeface="+mn-lt"/>
                <a:cs typeface="Calibri"/>
              </a:rPr>
              <a:t>Current reporting period</a:t>
            </a:r>
            <a:endParaRPr lang="ru-RU" sz="800" b="0" i="0" u="none" strike="noStrike" baseline="0">
              <a:solidFill>
                <a:srgbClr val="000000"/>
              </a:solidFill>
              <a:latin typeface="Calibri"/>
              <a:cs typeface="Calibri"/>
            </a:endParaRPr>
          </a:p>
        </xdr:txBody>
      </xdr:sp>
      <xdr:sp macro="" textlink="">
        <xdr:nvSpPr>
          <xdr:cNvPr id="2854339" name="Rectangle 4">
            <a:extLst>
              <a:ext uri="{FF2B5EF4-FFF2-40B4-BE49-F238E27FC236}">
                <a16:creationId xmlns:a16="http://schemas.microsoft.com/office/drawing/2014/main" id="{00000000-0008-0000-0400-0000C38D2B00}"/>
              </a:ext>
            </a:extLst>
          </xdr:cNvPr>
          <xdr:cNvSpPr>
            <a:spLocks noChangeArrowheads="1"/>
          </xdr:cNvSpPr>
        </xdr:nvSpPr>
        <xdr:spPr bwMode="auto">
          <a:xfrm>
            <a:off x="19150" y="776"/>
            <a:ext cx="1639" cy="1725"/>
          </a:xfrm>
          <a:prstGeom prst="rect">
            <a:avLst/>
          </a:prstGeom>
          <a:solidFill>
            <a:srgbClr val="005CB8"/>
          </a:solidFill>
          <a:ln>
            <a:noFill/>
          </a:ln>
          <a:extLst>
            <a:ext uri="{91240B29-F687-4F45-9708-019B960494DF}">
              <a14:hiddenLine xmlns:a14="http://schemas.microsoft.com/office/drawing/2010/main" w="25400">
                <a:solidFill>
                  <a:srgbClr val="000000"/>
                </a:solidFill>
                <a:miter lim="800000"/>
                <a:headEnd/>
                <a:tailEnd/>
              </a14:hiddenLine>
            </a:ext>
          </a:extLst>
        </xdr:spPr>
      </xdr:sp>
      <xdr:sp macro="" textlink="">
        <xdr:nvSpPr>
          <xdr:cNvPr id="2854229" name="Rectangle 5">
            <a:extLst>
              <a:ext uri="{FF2B5EF4-FFF2-40B4-BE49-F238E27FC236}">
                <a16:creationId xmlns:a16="http://schemas.microsoft.com/office/drawing/2014/main" id="{00000000-0008-0000-0400-0000558D2B00}"/>
              </a:ext>
            </a:extLst>
          </xdr:cNvPr>
          <xdr:cNvSpPr>
            <a:spLocks noChangeArrowheads="1"/>
          </xdr:cNvSpPr>
        </xdr:nvSpPr>
        <xdr:spPr bwMode="auto">
          <a:xfrm>
            <a:off x="21537" y="0"/>
            <a:ext cx="15815" cy="2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36000" tIns="36000" rIns="36000" bIns="36000" anchor="t" upright="1"/>
          <a:lstStyle/>
          <a:p>
            <a:pPr algn="l" rtl="0">
              <a:defRPr sz="1000"/>
            </a:pPr>
            <a:r>
              <a:rPr lang="en-US" sz="800" b="0" i="0" u="none" strike="noStrike" baseline="0">
                <a:solidFill>
                  <a:srgbClr val="000000"/>
                </a:solidFill>
                <a:latin typeface="+mn-lt"/>
                <a:cs typeface="Calibri"/>
              </a:rPr>
              <a:t>Before the reporting period</a:t>
            </a:r>
            <a:endParaRPr lang="ru-RU" sz="800" b="0" i="0" u="none" strike="noStrike" baseline="0">
              <a:solidFill>
                <a:srgbClr val="000000"/>
              </a:solidFill>
              <a:latin typeface="Calibri"/>
              <a:cs typeface="Calibri"/>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1"/>
          <a:extLst>
            <a:ext uri="{FF2B5EF4-FFF2-40B4-BE49-F238E27FC236}">
              <a16:creationId xmlns:a16="http://schemas.microsoft.com/office/drawing/2014/main"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0</xdr:colOff>
      <xdr:row>9</xdr:row>
      <xdr:rowOff>0</xdr:rowOff>
    </xdr:from>
    <xdr:to>
      <xdr:col>17</xdr:col>
      <xdr:colOff>9525</xdr:colOff>
      <xdr:row>19</xdr:row>
      <xdr:rowOff>47625</xdr:rowOff>
    </xdr:to>
    <xdr:graphicFrame macro="">
      <xdr:nvGraphicFramePr>
        <xdr:cNvPr id="2" name="Диаграмма 12">
          <a:extLst>
            <a:ext uri="{FF2B5EF4-FFF2-40B4-BE49-F238E27FC236}">
              <a16:creationId xmlns:a16="http://schemas.microsoft.com/office/drawing/2014/main" id="{00000000-0008-0000-0600-00000D000000}"/>
            </a:ext>
            <a:ext uri="{147F2762-F138-4A5C-976F-8EAC2B608ADB}">
              <a16:predDERef xmlns:a16="http://schemas.microsoft.com/office/drawing/2014/main" pre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36</xdr:row>
      <xdr:rowOff>9525</xdr:rowOff>
    </xdr:from>
    <xdr:to>
      <xdr:col>5</xdr:col>
      <xdr:colOff>28575</xdr:colOff>
      <xdr:row>46</xdr:row>
      <xdr:rowOff>66675</xdr:rowOff>
    </xdr:to>
    <xdr:graphicFrame macro="">
      <xdr:nvGraphicFramePr>
        <xdr:cNvPr id="14" name="Диаграмма 13">
          <a:extLst>
            <a:ext uri="{FF2B5EF4-FFF2-40B4-BE49-F238E27FC236}">
              <a16:creationId xmlns:a16="http://schemas.microsoft.com/office/drawing/2014/main" id="{00000000-0008-0000-0600-00000E000000}"/>
            </a:ext>
            <a:ext uri="{147F2762-F138-4A5C-976F-8EAC2B608ADB}">
              <a16:predDERef xmlns:a16="http://schemas.microsoft.com/office/drawing/2014/main" pre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1131794</xdr:colOff>
      <xdr:row>36</xdr:row>
      <xdr:rowOff>33617</xdr:rowOff>
    </xdr:from>
    <xdr:to>
      <xdr:col>10</xdr:col>
      <xdr:colOff>2465294</xdr:colOff>
      <xdr:row>46</xdr:row>
      <xdr:rowOff>66674</xdr:rowOff>
    </xdr:to>
    <xdr:graphicFrame macro="">
      <xdr:nvGraphicFramePr>
        <xdr:cNvPr id="15" name="Диаграмма 14">
          <a:extLst>
            <a:ext uri="{FF2B5EF4-FFF2-40B4-BE49-F238E27FC236}">
              <a16:creationId xmlns:a16="http://schemas.microsoft.com/office/drawing/2014/main" id="{00000000-0008-0000-0600-00000F000000}"/>
            </a:ext>
            <a:ext uri="{147F2762-F138-4A5C-976F-8EAC2B608ADB}">
              <a16:predDERef xmlns:a16="http://schemas.microsoft.com/office/drawing/2014/main" pre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11907</xdr:colOff>
      <xdr:row>36</xdr:row>
      <xdr:rowOff>0</xdr:rowOff>
    </xdr:from>
    <xdr:to>
      <xdr:col>17</xdr:col>
      <xdr:colOff>11907</xdr:colOff>
      <xdr:row>46</xdr:row>
      <xdr:rowOff>68356</xdr:rowOff>
    </xdr:to>
    <xdr:graphicFrame macro="">
      <xdr:nvGraphicFramePr>
        <xdr:cNvPr id="16" name="Диаграмма 15">
          <a:extLst>
            <a:ext uri="{FF2B5EF4-FFF2-40B4-BE49-F238E27FC236}">
              <a16:creationId xmlns:a16="http://schemas.microsoft.com/office/drawing/2014/main" id="{00000000-0008-0000-0600-000010000000}"/>
            </a:ext>
            <a:ext uri="{147F2762-F138-4A5C-976F-8EAC2B608ADB}">
              <a16:predDERef xmlns:a16="http://schemas.microsoft.com/office/drawing/2014/main" pre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224117</xdr:colOff>
      <xdr:row>9</xdr:row>
      <xdr:rowOff>22412</xdr:rowOff>
    </xdr:from>
    <xdr:to>
      <xdr:col>5</xdr:col>
      <xdr:colOff>44823</xdr:colOff>
      <xdr:row>20</xdr:row>
      <xdr:rowOff>0</xdr:rowOff>
    </xdr:to>
    <xdr:graphicFrame macro="">
      <xdr:nvGraphicFramePr>
        <xdr:cNvPr id="3" name="Диаграмма 9">
          <a:extLst>
            <a:ext uri="{FF2B5EF4-FFF2-40B4-BE49-F238E27FC236}">
              <a16:creationId xmlns:a16="http://schemas.microsoft.com/office/drawing/2014/main" id="{A169B237-3BC1-4960-A45E-C03A9AEA55DB}"/>
            </a:ext>
            <a:ext uri="{147F2762-F138-4A5C-976F-8EAC2B608ADB}">
              <a16:predDERef xmlns:a16="http://schemas.microsoft.com/office/drawing/2014/main" pred="{00000000-0008-0000-0600-00007D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9</xdr:row>
      <xdr:rowOff>0</xdr:rowOff>
    </xdr:from>
    <xdr:to>
      <xdr:col>11</xdr:col>
      <xdr:colOff>22412</xdr:colOff>
      <xdr:row>20</xdr:row>
      <xdr:rowOff>11205</xdr:rowOff>
    </xdr:to>
    <xdr:graphicFrame macro="">
      <xdr:nvGraphicFramePr>
        <xdr:cNvPr id="4" name="Диаграмма 11">
          <a:extLst>
            <a:ext uri="{FF2B5EF4-FFF2-40B4-BE49-F238E27FC236}">
              <a16:creationId xmlns:a16="http://schemas.microsoft.com/office/drawing/2014/main" id="{E10A5D92-0021-4266-8359-4BDDB6ED8861}"/>
            </a:ext>
            <a:ext uri="{147F2762-F138-4A5C-976F-8EAC2B608ADB}">
              <a16:predDERef xmlns:a16="http://schemas.microsoft.com/office/drawing/2014/main" pre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238125</xdr:colOff>
      <xdr:row>18</xdr:row>
      <xdr:rowOff>2447924</xdr:rowOff>
    </xdr:from>
    <xdr:to>
      <xdr:col>12</xdr:col>
      <xdr:colOff>914400</xdr:colOff>
      <xdr:row>26</xdr:row>
      <xdr:rowOff>47625</xdr:rowOff>
    </xdr:to>
    <xdr:graphicFrame macro="">
      <xdr:nvGraphicFramePr>
        <xdr:cNvPr id="2870841" name="Chart 1054">
          <a:extLst>
            <a:ext uri="{FF2B5EF4-FFF2-40B4-BE49-F238E27FC236}">
              <a16:creationId xmlns:a16="http://schemas.microsoft.com/office/drawing/2014/main" id="{00000000-0008-0000-0500-000039CE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19050</xdr:rowOff>
    </xdr:from>
    <xdr:to>
      <xdr:col>1</xdr:col>
      <xdr:colOff>904875</xdr:colOff>
      <xdr:row>0</xdr:row>
      <xdr:rowOff>352425</xdr:rowOff>
    </xdr:to>
    <xdr:sp macro="" textlink="">
      <xdr:nvSpPr>
        <xdr:cNvPr id="14769" name="AutoShape 50">
          <a:hlinkClick xmlns:r="http://schemas.openxmlformats.org/officeDocument/2006/relationships" r:id="rId2"/>
          <a:extLst>
            <a:ext uri="{FF2B5EF4-FFF2-40B4-BE49-F238E27FC236}">
              <a16:creationId xmlns:a16="http://schemas.microsoft.com/office/drawing/2014/main"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0</xdr:col>
      <xdr:colOff>219074</xdr:colOff>
      <xdr:row>8</xdr:row>
      <xdr:rowOff>0</xdr:rowOff>
    </xdr:from>
    <xdr:to>
      <xdr:col>5</xdr:col>
      <xdr:colOff>1123949</xdr:colOff>
      <xdr:row>16</xdr:row>
      <xdr:rowOff>504825</xdr:rowOff>
    </xdr:to>
    <xdr:graphicFrame macro="">
      <xdr:nvGraphicFramePr>
        <xdr:cNvPr id="10" name="Chart 1046">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5</xdr:col>
      <xdr:colOff>1123950</xdr:colOff>
      <xdr:row>26</xdr:row>
      <xdr:rowOff>76200</xdr:rowOff>
    </xdr:to>
    <xdr:graphicFrame macro="">
      <xdr:nvGraphicFramePr>
        <xdr:cNvPr id="11" name="Диаграмма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8</xdr:row>
      <xdr:rowOff>0</xdr:rowOff>
    </xdr:from>
    <xdr:to>
      <xdr:col>12</xdr:col>
      <xdr:colOff>942975</xdr:colOff>
      <xdr:row>16</xdr:row>
      <xdr:rowOff>466725</xdr:rowOff>
    </xdr:to>
    <xdr:graphicFrame macro="">
      <xdr:nvGraphicFramePr>
        <xdr:cNvPr id="12" name="Диаграмма 11">
          <a:extLst>
            <a:ext uri="{FF2B5EF4-FFF2-40B4-BE49-F238E27FC236}">
              <a16:creationId xmlns:a16="http://schemas.microsoft.com/office/drawing/2014/main" id="{BD62D30F-EC47-4C15-989A-E952C0175425}"/>
            </a:ext>
            <a:ext uri="{147F2762-F138-4A5C-976F-8EAC2B608ADB}">
              <a16:predDERef xmlns:a16="http://schemas.microsoft.com/office/drawing/2014/main" pre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7326</xdr:colOff>
      <xdr:row>30</xdr:row>
      <xdr:rowOff>80596</xdr:rowOff>
    </xdr:from>
    <xdr:to>
      <xdr:col>5</xdr:col>
      <xdr:colOff>1077138</xdr:colOff>
      <xdr:row>34</xdr:row>
      <xdr:rowOff>182114</xdr:rowOff>
    </xdr:to>
    <xdr:graphicFrame macro="">
      <xdr:nvGraphicFramePr>
        <xdr:cNvPr id="2" name="Диаграмма 7">
          <a:extLst>
            <a:ext uri="{FF2B5EF4-FFF2-40B4-BE49-F238E27FC236}">
              <a16:creationId xmlns:a16="http://schemas.microsoft.com/office/drawing/2014/main" id="{6760F129-005E-4517-BE49-0259AF51C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1</xdr:col>
      <xdr:colOff>57150</xdr:colOff>
      <xdr:row>5</xdr:row>
      <xdr:rowOff>180975</xdr:rowOff>
    </xdr:from>
    <xdr:ext cx="7651750" cy="2819400"/>
    <xdr:pic>
      <xdr:nvPicPr>
        <xdr:cNvPr id="2" name="Picture 2">
          <a:extLst>
            <a:ext uri="{FF2B5EF4-FFF2-40B4-BE49-F238E27FC236}">
              <a16:creationId xmlns:a16="http://schemas.microsoft.com/office/drawing/2014/main" id="{CA7801F7-8A76-465E-986D-EC614ABAB004}"/>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790575" y="1133475"/>
          <a:ext cx="7651750" cy="281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7</xdr:col>
      <xdr:colOff>685800</xdr:colOff>
      <xdr:row>7</xdr:row>
      <xdr:rowOff>47625</xdr:rowOff>
    </xdr:from>
    <xdr:ext cx="2254250" cy="2190750"/>
    <xdr:pic>
      <xdr:nvPicPr>
        <xdr:cNvPr id="3" name="Picture 824">
          <a:extLst>
            <a:ext uri="{FF2B5EF4-FFF2-40B4-BE49-F238E27FC236}">
              <a16:creationId xmlns:a16="http://schemas.microsoft.com/office/drawing/2014/main" id="{1E80FFA8-7309-427B-9B6C-FC7712D976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9775" y="1381125"/>
          <a:ext cx="2254250"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257175</xdr:colOff>
      <xdr:row>7</xdr:row>
      <xdr:rowOff>104775</xdr:rowOff>
    </xdr:from>
    <xdr:to>
      <xdr:col>7</xdr:col>
      <xdr:colOff>552450</xdr:colOff>
      <xdr:row>18</xdr:row>
      <xdr:rowOff>76200</xdr:rowOff>
    </xdr:to>
    <xdr:sp macro="" textlink="">
      <xdr:nvSpPr>
        <xdr:cNvPr id="4" name="AutoShape 27">
          <a:extLst>
            <a:ext uri="{FF2B5EF4-FFF2-40B4-BE49-F238E27FC236}">
              <a16:creationId xmlns:a16="http://schemas.microsoft.com/office/drawing/2014/main" id="{CC05967E-D571-4A88-AE51-12BBAB31215F}"/>
            </a:ext>
          </a:extLst>
        </xdr:cNvPr>
        <xdr:cNvSpPr>
          <a:spLocks noChangeArrowheads="1"/>
        </xdr:cNvSpPr>
      </xdr:nvSpPr>
      <xdr:spPr bwMode="gray">
        <a:xfrm>
          <a:off x="3190875" y="1438275"/>
          <a:ext cx="2495550" cy="2066925"/>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133350</xdr:colOff>
      <xdr:row>10</xdr:row>
      <xdr:rowOff>9525</xdr:rowOff>
    </xdr:from>
    <xdr:to>
      <xdr:col>6</xdr:col>
      <xdr:colOff>657225</xdr:colOff>
      <xdr:row>12</xdr:row>
      <xdr:rowOff>38100</xdr:rowOff>
    </xdr:to>
    <xdr:grpSp>
      <xdr:nvGrpSpPr>
        <xdr:cNvPr id="5" name="Group 25">
          <a:hlinkClick xmlns:r="http://schemas.openxmlformats.org/officeDocument/2006/relationships" r:id="rId3"/>
          <a:extLst>
            <a:ext uri="{FF2B5EF4-FFF2-40B4-BE49-F238E27FC236}">
              <a16:creationId xmlns:a16="http://schemas.microsoft.com/office/drawing/2014/main" id="{7DC82D19-EBFA-4588-90E0-7C385670DCAA}"/>
            </a:ext>
          </a:extLst>
        </xdr:cNvPr>
        <xdr:cNvGrpSpPr>
          <a:grpSpLocks/>
        </xdr:cNvGrpSpPr>
      </xdr:nvGrpSpPr>
      <xdr:grpSpPr bwMode="auto">
        <a:xfrm>
          <a:off x="3419475" y="2348442"/>
          <a:ext cx="1322917" cy="398991"/>
          <a:chOff x="1200" y="1912"/>
          <a:chExt cx="3456" cy="774"/>
        </a:xfrm>
      </xdr:grpSpPr>
      <xdr:sp macro="" textlink="">
        <xdr:nvSpPr>
          <xdr:cNvPr id="6" name="AutoShape 26">
            <a:extLst>
              <a:ext uri="{FF2B5EF4-FFF2-40B4-BE49-F238E27FC236}">
                <a16:creationId xmlns:a16="http://schemas.microsoft.com/office/drawing/2014/main" id="{D3DB5806-D7C5-CDED-A69D-1DE3AAA51BD8}"/>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7" name="AutoShape 27">
            <a:hlinkClick xmlns:r="http://schemas.openxmlformats.org/officeDocument/2006/relationships" r:id="rId4"/>
            <a:extLst>
              <a:ext uri="{FF2B5EF4-FFF2-40B4-BE49-F238E27FC236}">
                <a16:creationId xmlns:a16="http://schemas.microsoft.com/office/drawing/2014/main" id="{0A819B52-B879-76F7-D014-B46A84B5CC8F}"/>
              </a:ext>
            </a:extLst>
          </xdr:cNvPr>
          <xdr:cNvSpPr>
            <a:spLocks noChangeArrowheads="1"/>
          </xdr:cNvSpPr>
        </xdr:nvSpPr>
        <xdr:spPr bwMode="gray">
          <a:xfrm>
            <a:off x="1277" y="1984"/>
            <a:ext cx="3277" cy="630"/>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az-Cyrl-AZ" sz="1000" b="0" i="0" u="none" strike="noStrike" baseline="0">
                <a:solidFill>
                  <a:srgbClr val="FFFFFF"/>
                </a:solidFill>
                <a:latin typeface="Arial"/>
                <a:cs typeface="Arial"/>
              </a:rPr>
              <a:t>Финансирование</a:t>
            </a:r>
          </a:p>
        </xdr:txBody>
      </xdr:sp>
      <xdr:sp macro="" textlink="">
        <xdr:nvSpPr>
          <xdr:cNvPr id="8" name="Freeform 28">
            <a:extLst>
              <a:ext uri="{FF2B5EF4-FFF2-40B4-BE49-F238E27FC236}">
                <a16:creationId xmlns:a16="http://schemas.microsoft.com/office/drawing/2014/main" id="{76991D9C-141D-1054-57E8-B8367E6E4090}"/>
              </a:ext>
            </a:extLst>
          </xdr:cNvPr>
          <xdr:cNvSpPr>
            <a:spLocks/>
          </xdr:cNvSpPr>
        </xdr:nvSpPr>
        <xdr:spPr bwMode="gray">
          <a:xfrm>
            <a:off x="1302" y="2020"/>
            <a:ext cx="358" cy="32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133350</xdr:colOff>
      <xdr:row>15</xdr:row>
      <xdr:rowOff>123825</xdr:rowOff>
    </xdr:from>
    <xdr:to>
      <xdr:col>6</xdr:col>
      <xdr:colOff>685800</xdr:colOff>
      <xdr:row>17</xdr:row>
      <xdr:rowOff>114300</xdr:rowOff>
    </xdr:to>
    <xdr:grpSp>
      <xdr:nvGrpSpPr>
        <xdr:cNvPr id="9" name="Group 25">
          <a:extLst>
            <a:ext uri="{FF2B5EF4-FFF2-40B4-BE49-F238E27FC236}">
              <a16:creationId xmlns:a16="http://schemas.microsoft.com/office/drawing/2014/main" id="{7259FE4B-856E-48B3-BD57-DA6A43BBCF1E}"/>
            </a:ext>
          </a:extLst>
        </xdr:cNvPr>
        <xdr:cNvGrpSpPr>
          <a:grpSpLocks/>
        </xdr:cNvGrpSpPr>
      </xdr:nvGrpSpPr>
      <xdr:grpSpPr bwMode="auto">
        <a:xfrm>
          <a:off x="3419475" y="3388783"/>
          <a:ext cx="1351492" cy="360892"/>
          <a:chOff x="1200" y="1912"/>
          <a:chExt cx="3456" cy="774"/>
        </a:xfrm>
      </xdr:grpSpPr>
      <xdr:sp macro="" textlink="">
        <xdr:nvSpPr>
          <xdr:cNvPr id="10" name="AutoShape 26">
            <a:extLst>
              <a:ext uri="{FF2B5EF4-FFF2-40B4-BE49-F238E27FC236}">
                <a16:creationId xmlns:a16="http://schemas.microsoft.com/office/drawing/2014/main" id="{F5C27EA7-0AEA-DFAE-A80D-C0EAC2CF6179}"/>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11" name="AutoShape 27">
            <a:hlinkClick xmlns:r="http://schemas.openxmlformats.org/officeDocument/2006/relationships" r:id="rId5"/>
            <a:extLst>
              <a:ext uri="{FF2B5EF4-FFF2-40B4-BE49-F238E27FC236}">
                <a16:creationId xmlns:a16="http://schemas.microsoft.com/office/drawing/2014/main" id="{0F68F728-2C92-E8A1-C932-BAD90404C015}"/>
              </a:ext>
            </a:extLst>
          </xdr:cNvPr>
          <xdr:cNvSpPr>
            <a:spLocks noChangeArrowheads="1"/>
          </xdr:cNvSpPr>
        </xdr:nvSpPr>
        <xdr:spPr bwMode="gray">
          <a:xfrm>
            <a:off x="1300" y="1991"/>
            <a:ext cx="3306"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az-Cyrl-AZ" sz="1000" b="0" i="0" u="none" strike="noStrike" baseline="0">
                <a:solidFill>
                  <a:srgbClr val="FFFFFF"/>
                </a:solidFill>
                <a:latin typeface="Arial"/>
                <a:cs typeface="Arial"/>
              </a:rPr>
              <a:t>Программа</a:t>
            </a:r>
          </a:p>
        </xdr:txBody>
      </xdr:sp>
      <xdr:sp macro="" textlink="">
        <xdr:nvSpPr>
          <xdr:cNvPr id="12" name="Freeform 28">
            <a:extLst>
              <a:ext uri="{FF2B5EF4-FFF2-40B4-BE49-F238E27FC236}">
                <a16:creationId xmlns:a16="http://schemas.microsoft.com/office/drawing/2014/main" id="{00535876-4737-C5AE-BE80-16E05F8C0C6D}"/>
              </a:ext>
            </a:extLst>
          </xdr:cNvPr>
          <xdr:cNvSpPr>
            <a:spLocks/>
          </xdr:cNvSpPr>
        </xdr:nvSpPr>
        <xdr:spPr bwMode="gray">
          <a:xfrm>
            <a:off x="1300" y="2011"/>
            <a:ext cx="351"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123825</xdr:colOff>
      <xdr:row>12</xdr:row>
      <xdr:rowOff>161925</xdr:rowOff>
    </xdr:from>
    <xdr:to>
      <xdr:col>6</xdr:col>
      <xdr:colOff>676275</xdr:colOff>
      <xdr:row>14</xdr:row>
      <xdr:rowOff>171450</xdr:rowOff>
    </xdr:to>
    <xdr:grpSp>
      <xdr:nvGrpSpPr>
        <xdr:cNvPr id="13" name="Group 25">
          <a:hlinkClick xmlns:r="http://schemas.openxmlformats.org/officeDocument/2006/relationships" r:id="rId6"/>
          <a:extLst>
            <a:ext uri="{FF2B5EF4-FFF2-40B4-BE49-F238E27FC236}">
              <a16:creationId xmlns:a16="http://schemas.microsoft.com/office/drawing/2014/main" id="{76AD908E-1CBA-4786-B13F-CB037ED8DBB5}"/>
            </a:ext>
          </a:extLst>
        </xdr:cNvPr>
        <xdr:cNvGrpSpPr>
          <a:grpSpLocks/>
        </xdr:cNvGrpSpPr>
      </xdr:nvGrpSpPr>
      <xdr:grpSpPr bwMode="auto">
        <a:xfrm>
          <a:off x="3409950" y="2871258"/>
          <a:ext cx="1351492" cy="379942"/>
          <a:chOff x="1200" y="1912"/>
          <a:chExt cx="3456" cy="774"/>
        </a:xfrm>
      </xdr:grpSpPr>
      <xdr:sp macro="" textlink="">
        <xdr:nvSpPr>
          <xdr:cNvPr id="14" name="AutoShape 26">
            <a:extLst>
              <a:ext uri="{FF2B5EF4-FFF2-40B4-BE49-F238E27FC236}">
                <a16:creationId xmlns:a16="http://schemas.microsoft.com/office/drawing/2014/main" id="{46F8D139-6E8F-547C-DF25-3B224141C12A}"/>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sp macro="" textlink="">
        <xdr:nvSpPr>
          <xdr:cNvPr id="15" name="AutoShape 27">
            <a:hlinkClick xmlns:r="http://schemas.openxmlformats.org/officeDocument/2006/relationships" r:id="rId7"/>
            <a:extLst>
              <a:ext uri="{FF2B5EF4-FFF2-40B4-BE49-F238E27FC236}">
                <a16:creationId xmlns:a16="http://schemas.microsoft.com/office/drawing/2014/main" id="{6A06D363-3623-E3CE-619F-21A8472452DA}"/>
              </a:ext>
            </a:extLst>
          </xdr:cNvPr>
          <xdr:cNvSpPr>
            <a:spLocks noChangeArrowheads="1"/>
          </xdr:cNvSpPr>
        </xdr:nvSpPr>
        <xdr:spPr bwMode="gray">
          <a:xfrm>
            <a:off x="1300" y="1988"/>
            <a:ext cx="3306" cy="623"/>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ru-RU" sz="1000" b="0" i="0" strike="noStrike">
                <a:solidFill>
                  <a:srgbClr val="FFFFFF"/>
                </a:solidFill>
                <a:latin typeface="Arial"/>
                <a:cs typeface="Arial"/>
              </a:rPr>
              <a:t>Управление</a:t>
            </a:r>
            <a:endParaRPr lang="en-US" sz="1000" b="0" i="0" strike="noStrike">
              <a:solidFill>
                <a:srgbClr val="FFFFFF"/>
              </a:solidFill>
              <a:latin typeface="Arial"/>
              <a:cs typeface="Arial"/>
            </a:endParaRPr>
          </a:p>
        </xdr:txBody>
      </xdr:sp>
      <xdr:sp macro="" textlink="">
        <xdr:nvSpPr>
          <xdr:cNvPr id="16" name="Freeform 28">
            <a:extLst>
              <a:ext uri="{FF2B5EF4-FFF2-40B4-BE49-F238E27FC236}">
                <a16:creationId xmlns:a16="http://schemas.microsoft.com/office/drawing/2014/main" id="{ADF54A6C-D87A-9C6D-3C27-DF9FB771B52F}"/>
              </a:ext>
            </a:extLst>
          </xdr:cNvPr>
          <xdr:cNvSpPr>
            <a:spLocks/>
          </xdr:cNvSpPr>
        </xdr:nvSpPr>
        <xdr:spPr bwMode="gray">
          <a:xfrm>
            <a:off x="1300" y="2006"/>
            <a:ext cx="351" cy="340"/>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3</xdr:col>
      <xdr:colOff>647700</xdr:colOff>
      <xdr:row>5</xdr:row>
      <xdr:rowOff>0</xdr:rowOff>
    </xdr:from>
    <xdr:to>
      <xdr:col>8</xdr:col>
      <xdr:colOff>200025</xdr:colOff>
      <xdr:row>6</xdr:row>
      <xdr:rowOff>47625</xdr:rowOff>
    </xdr:to>
    <xdr:sp macro="" textlink="">
      <xdr:nvSpPr>
        <xdr:cNvPr id="17" name="Rectangle 803">
          <a:extLst>
            <a:ext uri="{FF2B5EF4-FFF2-40B4-BE49-F238E27FC236}">
              <a16:creationId xmlns:a16="http://schemas.microsoft.com/office/drawing/2014/main" id="{CBFEC144-F3D4-4131-8E82-FABCD26ADE1A}"/>
            </a:ext>
          </a:extLst>
        </xdr:cNvPr>
        <xdr:cNvSpPr>
          <a:spLocks noChangeArrowheads="1"/>
        </xdr:cNvSpPr>
      </xdr:nvSpPr>
      <xdr:spPr bwMode="auto">
        <a:xfrm>
          <a:off x="2847975" y="952500"/>
          <a:ext cx="3219450" cy="238125"/>
        </a:xfrm>
        <a:prstGeom prst="rect">
          <a:avLst/>
        </a:prstGeom>
        <a:noFill/>
        <a:ln>
          <a:noFill/>
        </a:ln>
      </xdr:spPr>
      <xdr:txBody>
        <a:bodyPr vertOverflow="clip" wrap="square" lIns="27432" tIns="27432" rIns="27432" bIns="0" anchor="t"/>
        <a:lstStyle/>
        <a:p>
          <a:pPr algn="ctr" rtl="0">
            <a:defRPr sz="1000"/>
          </a:pPr>
          <a:r>
            <a:rPr lang="az-Cyrl-AZ" sz="1100" b="1" i="1" u="none" strike="noStrike" baseline="0">
              <a:solidFill>
                <a:srgbClr val="000000"/>
              </a:solidFill>
              <a:latin typeface="Calibri"/>
              <a:cs typeface="Calibri"/>
            </a:rPr>
            <a:t>Выберите интересующий вас раздел:</a:t>
          </a:r>
        </a:p>
      </xdr:txBody>
    </xdr:sp>
    <xdr:clientData/>
  </xdr:twoCellAnchor>
  <xdr:twoCellAnchor>
    <xdr:from>
      <xdr:col>8</xdr:col>
      <xdr:colOff>295275</xdr:colOff>
      <xdr:row>11</xdr:row>
      <xdr:rowOff>0</xdr:rowOff>
    </xdr:from>
    <xdr:to>
      <xdr:col>11</xdr:col>
      <xdr:colOff>161925</xdr:colOff>
      <xdr:row>13</xdr:row>
      <xdr:rowOff>28575</xdr:rowOff>
    </xdr:to>
    <xdr:grpSp>
      <xdr:nvGrpSpPr>
        <xdr:cNvPr id="18" name="Group 832">
          <a:hlinkClick xmlns:r="http://schemas.openxmlformats.org/officeDocument/2006/relationships" r:id="rId8"/>
          <a:extLst>
            <a:ext uri="{FF2B5EF4-FFF2-40B4-BE49-F238E27FC236}">
              <a16:creationId xmlns:a16="http://schemas.microsoft.com/office/drawing/2014/main" id="{B5022F23-2477-44AE-AA6E-91C05958363C}"/>
            </a:ext>
          </a:extLst>
        </xdr:cNvPr>
        <xdr:cNvGrpSpPr>
          <a:grpSpLocks/>
        </xdr:cNvGrpSpPr>
      </xdr:nvGrpSpPr>
      <xdr:grpSpPr bwMode="auto">
        <a:xfrm>
          <a:off x="5978525" y="2524125"/>
          <a:ext cx="1586442" cy="398992"/>
          <a:chOff x="599" y="262"/>
          <a:chExt cx="158" cy="43"/>
        </a:xfrm>
      </xdr:grpSpPr>
      <xdr:sp macro="" textlink="">
        <xdr:nvSpPr>
          <xdr:cNvPr id="19" name="AutoShape 30">
            <a:extLst>
              <a:ext uri="{FF2B5EF4-FFF2-40B4-BE49-F238E27FC236}">
                <a16:creationId xmlns:a16="http://schemas.microsoft.com/office/drawing/2014/main" id="{AE88B96A-D50F-71E9-8752-C49B22B5ABF5}"/>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20" name="13 Grupo">
            <a:extLst>
              <a:ext uri="{FF2B5EF4-FFF2-40B4-BE49-F238E27FC236}">
                <a16:creationId xmlns:a16="http://schemas.microsoft.com/office/drawing/2014/main" id="{72B2686A-71D5-9F21-BABA-BA31B0F1D48E}"/>
              </a:ext>
            </a:extLst>
          </xdr:cNvPr>
          <xdr:cNvGrpSpPr>
            <a:grpSpLocks/>
          </xdr:cNvGrpSpPr>
        </xdr:nvGrpSpPr>
        <xdr:grpSpPr bwMode="auto">
          <a:xfrm>
            <a:off x="603" y="267"/>
            <a:ext cx="151" cy="35"/>
            <a:chOff x="1104968" y="2771552"/>
            <a:chExt cx="3605494" cy="566957"/>
          </a:xfrm>
        </xdr:grpSpPr>
        <xdr:sp macro="" textlink="">
          <xdr:nvSpPr>
            <xdr:cNvPr id="21" name="AutoShape 31">
              <a:hlinkClick xmlns:r="http://schemas.openxmlformats.org/officeDocument/2006/relationships" r:id="rId9"/>
              <a:extLst>
                <a:ext uri="{FF2B5EF4-FFF2-40B4-BE49-F238E27FC236}">
                  <a16:creationId xmlns:a16="http://schemas.microsoft.com/office/drawing/2014/main" id="{E93E48BC-8900-C913-0D2C-FB7D47032C9D}"/>
                </a:ext>
              </a:extLst>
            </xdr:cNvPr>
            <xdr:cNvSpPr>
              <a:spLocks noChangeArrowheads="1"/>
            </xdr:cNvSpPr>
          </xdr:nvSpPr>
          <xdr:spPr bwMode="gray">
            <a:xfrm>
              <a:off x="1104968" y="2771552"/>
              <a:ext cx="3605494" cy="56695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ru-RU" sz="1000" b="0" i="0" strike="noStrike">
                  <a:solidFill>
                    <a:srgbClr val="000000"/>
                  </a:solidFill>
                  <a:latin typeface="Arial"/>
                  <a:cs typeface="Arial"/>
                </a:rPr>
                <a:t>Рекомендации</a:t>
              </a:r>
              <a:endParaRPr lang="en-ZA" sz="1000" b="0" i="0" strike="noStrike">
                <a:solidFill>
                  <a:srgbClr val="000000"/>
                </a:solidFill>
                <a:latin typeface="Arial"/>
                <a:cs typeface="Arial"/>
              </a:endParaRPr>
            </a:p>
          </xdr:txBody>
        </xdr:sp>
        <xdr:sp macro="" textlink="">
          <xdr:nvSpPr>
            <xdr:cNvPr id="22" name="Freeform 32">
              <a:extLst>
                <a:ext uri="{FF2B5EF4-FFF2-40B4-BE49-F238E27FC236}">
                  <a16:creationId xmlns:a16="http://schemas.microsoft.com/office/drawing/2014/main" id="{0F6AD2F4-BA5D-0B11-A3C5-DCD4EDF437B1}"/>
                </a:ext>
              </a:extLst>
            </xdr:cNvPr>
            <xdr:cNvSpPr>
              <a:spLocks/>
            </xdr:cNvSpPr>
          </xdr:nvSpPr>
          <xdr:spPr bwMode="gray">
            <a:xfrm>
              <a:off x="1159456" y="2809862"/>
              <a:ext cx="358092" cy="291066"/>
            </a:xfrm>
            <a:custGeom>
              <a:avLst/>
              <a:gdLst>
                <a:gd name="T0" fmla="*/ 2147483647 w 596"/>
                <a:gd name="T1" fmla="*/ 0 h 598"/>
                <a:gd name="T2" fmla="*/ 0 w 596"/>
                <a:gd name="T3" fmla="*/ 2147483647 h 598"/>
                <a:gd name="T4" fmla="*/ 0 w 596"/>
                <a:gd name="T5" fmla="*/ 2147483647 h 598"/>
                <a:gd name="T6" fmla="*/ 2147483647 w 596"/>
                <a:gd name="T7" fmla="*/ 2147483647 h 598"/>
                <a:gd name="T8" fmla="*/ 2147483647 w 596"/>
                <a:gd name="T9" fmla="*/ 0 h 598"/>
                <a:gd name="T10" fmla="*/ 2147483647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1</xdr:col>
      <xdr:colOff>247650</xdr:colOff>
      <xdr:row>7</xdr:row>
      <xdr:rowOff>85725</xdr:rowOff>
    </xdr:from>
    <xdr:to>
      <xdr:col>4</xdr:col>
      <xdr:colOff>104775</xdr:colOff>
      <xdr:row>18</xdr:row>
      <xdr:rowOff>114300</xdr:rowOff>
    </xdr:to>
    <xdr:grpSp>
      <xdr:nvGrpSpPr>
        <xdr:cNvPr id="23" name="Group 830">
          <a:extLst>
            <a:ext uri="{FF2B5EF4-FFF2-40B4-BE49-F238E27FC236}">
              <a16:creationId xmlns:a16="http://schemas.microsoft.com/office/drawing/2014/main" id="{700F866C-DAA7-44A3-BB08-05B6B2F273D9}"/>
            </a:ext>
          </a:extLst>
        </xdr:cNvPr>
        <xdr:cNvGrpSpPr>
          <a:grpSpLocks/>
        </xdr:cNvGrpSpPr>
      </xdr:nvGrpSpPr>
      <xdr:grpSpPr bwMode="auto">
        <a:xfrm>
          <a:off x="337608" y="1869017"/>
          <a:ext cx="2254250" cy="2065866"/>
          <a:chOff x="32" y="188"/>
          <a:chExt cx="225" cy="225"/>
        </a:xfrm>
      </xdr:grpSpPr>
      <xdr:sp macro="" textlink="">
        <xdr:nvSpPr>
          <xdr:cNvPr id="24" name="AutoShape 31">
            <a:extLst>
              <a:ext uri="{FF2B5EF4-FFF2-40B4-BE49-F238E27FC236}">
                <a16:creationId xmlns:a16="http://schemas.microsoft.com/office/drawing/2014/main" id="{C429B1B9-A758-E318-8B43-04701CEB8036}"/>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25" name="Freeform 32">
            <a:extLst>
              <a:ext uri="{FF2B5EF4-FFF2-40B4-BE49-F238E27FC236}">
                <a16:creationId xmlns:a16="http://schemas.microsoft.com/office/drawing/2014/main" id="{5C369FFA-BF56-0BD5-DE93-1EC74473D52B}"/>
              </a:ext>
            </a:extLst>
          </xdr:cNvPr>
          <xdr:cNvSpPr>
            <a:spLocks/>
          </xdr:cNvSpPr>
        </xdr:nvSpPr>
        <xdr:spPr bwMode="gray">
          <a:xfrm>
            <a:off x="42" y="197"/>
            <a:ext cx="50" cy="33"/>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26" name="Group 826">
          <a:extLst>
            <a:ext uri="{FF2B5EF4-FFF2-40B4-BE49-F238E27FC236}">
              <a16:creationId xmlns:a16="http://schemas.microsoft.com/office/drawing/2014/main" id="{1CD5AEE5-01F7-48DE-9A51-D04F91AD068D}"/>
            </a:ext>
          </a:extLst>
        </xdr:cNvPr>
        <xdr:cNvGrpSpPr>
          <a:grpSpLocks/>
        </xdr:cNvGrpSpPr>
      </xdr:nvGrpSpPr>
      <xdr:grpSpPr bwMode="auto">
        <a:xfrm>
          <a:off x="5969000" y="3136900"/>
          <a:ext cx="1586442" cy="398992"/>
          <a:chOff x="578" y="328"/>
          <a:chExt cx="158" cy="43"/>
        </a:xfrm>
      </xdr:grpSpPr>
      <xdr:sp macro="" textlink="">
        <xdr:nvSpPr>
          <xdr:cNvPr id="27" name="AutoShape 30">
            <a:extLst>
              <a:ext uri="{FF2B5EF4-FFF2-40B4-BE49-F238E27FC236}">
                <a16:creationId xmlns:a16="http://schemas.microsoft.com/office/drawing/2014/main" id="{FFB6E1B2-46B2-C9B4-AACA-03816CD630CB}"/>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28" name="Group 823">
            <a:extLst>
              <a:ext uri="{FF2B5EF4-FFF2-40B4-BE49-F238E27FC236}">
                <a16:creationId xmlns:a16="http://schemas.microsoft.com/office/drawing/2014/main" id="{367F4754-A6C8-D0C3-5D38-F8A8E7116A71}"/>
              </a:ext>
            </a:extLst>
          </xdr:cNvPr>
          <xdr:cNvGrpSpPr>
            <a:grpSpLocks/>
          </xdr:cNvGrpSpPr>
        </xdr:nvGrpSpPr>
        <xdr:grpSpPr bwMode="auto">
          <a:xfrm>
            <a:off x="581" y="333"/>
            <a:ext cx="151" cy="35"/>
            <a:chOff x="582" y="333"/>
            <a:chExt cx="151" cy="35"/>
          </a:xfrm>
        </xdr:grpSpPr>
        <xdr:sp macro="" textlink="">
          <xdr:nvSpPr>
            <xdr:cNvPr id="29" name="AutoShape 31">
              <a:hlinkClick xmlns:r="http://schemas.openxmlformats.org/officeDocument/2006/relationships" r:id="rId10"/>
              <a:extLst>
                <a:ext uri="{FF2B5EF4-FFF2-40B4-BE49-F238E27FC236}">
                  <a16:creationId xmlns:a16="http://schemas.microsoft.com/office/drawing/2014/main" id="{833E9545-01F5-903E-4A59-6E6F48C41353}"/>
                </a:ext>
              </a:extLst>
            </xdr:cNvPr>
            <xdr:cNvSpPr>
              <a:spLocks noChangeArrowheads="1"/>
            </xdr:cNvSpPr>
          </xdr:nvSpPr>
          <xdr:spPr bwMode="gray">
            <a:xfrm>
              <a:off x="582" y="333"/>
              <a:ext cx="151" cy="35"/>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ru-RU" sz="1000" b="0" i="0" strike="noStrike">
                  <a:solidFill>
                    <a:srgbClr val="000000"/>
                  </a:solidFill>
                  <a:latin typeface="Arial"/>
                  <a:cs typeface="Arial"/>
                </a:rPr>
                <a:t>Действия</a:t>
              </a:r>
              <a:endParaRPr lang="en-ZA" sz="1000" b="0" i="0" strike="noStrike">
                <a:solidFill>
                  <a:srgbClr val="000000"/>
                </a:solidFill>
                <a:latin typeface="Arial"/>
                <a:cs typeface="Arial"/>
              </a:endParaRPr>
            </a:p>
          </xdr:txBody>
        </xdr:sp>
        <xdr:sp macro="" textlink="">
          <xdr:nvSpPr>
            <xdr:cNvPr id="30" name="Freeform 32">
              <a:extLst>
                <a:ext uri="{FF2B5EF4-FFF2-40B4-BE49-F238E27FC236}">
                  <a16:creationId xmlns:a16="http://schemas.microsoft.com/office/drawing/2014/main" id="{F9589955-0895-A39D-6E2C-CDB6F4F6CCC7}"/>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1</xdr:col>
      <xdr:colOff>514350</xdr:colOff>
      <xdr:row>15</xdr:row>
      <xdr:rowOff>133350</xdr:rowOff>
    </xdr:from>
    <xdr:to>
      <xdr:col>3</xdr:col>
      <xdr:colOff>495300</xdr:colOff>
      <xdr:row>17</xdr:row>
      <xdr:rowOff>95250</xdr:rowOff>
    </xdr:to>
    <xdr:grpSp>
      <xdr:nvGrpSpPr>
        <xdr:cNvPr id="31" name="Group 831">
          <a:extLst>
            <a:ext uri="{FF2B5EF4-FFF2-40B4-BE49-F238E27FC236}">
              <a16:creationId xmlns:a16="http://schemas.microsoft.com/office/drawing/2014/main" id="{67BE6CC2-ED5C-43D6-8D33-1DAFE408634B}"/>
            </a:ext>
          </a:extLst>
        </xdr:cNvPr>
        <xdr:cNvGrpSpPr>
          <a:grpSpLocks/>
        </xdr:cNvGrpSpPr>
      </xdr:nvGrpSpPr>
      <xdr:grpSpPr bwMode="auto">
        <a:xfrm>
          <a:off x="604308" y="3398308"/>
          <a:ext cx="1579034" cy="332317"/>
          <a:chOff x="56" y="259"/>
          <a:chExt cx="158" cy="40"/>
        </a:xfrm>
      </xdr:grpSpPr>
      <xdr:sp macro="" textlink="">
        <xdr:nvSpPr>
          <xdr:cNvPr id="32" name="AutoShape 30">
            <a:extLst>
              <a:ext uri="{FF2B5EF4-FFF2-40B4-BE49-F238E27FC236}">
                <a16:creationId xmlns:a16="http://schemas.microsoft.com/office/drawing/2014/main" id="{29E75C21-F09A-E88F-3C15-C25C9973FF6D}"/>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3" name="11 Grupo">
            <a:extLst>
              <a:ext uri="{FF2B5EF4-FFF2-40B4-BE49-F238E27FC236}">
                <a16:creationId xmlns:a16="http://schemas.microsoft.com/office/drawing/2014/main" id="{7ADD8C3C-E94B-7AA5-7A4D-0D9A2CE67A56}"/>
              </a:ext>
            </a:extLst>
          </xdr:cNvPr>
          <xdr:cNvGrpSpPr>
            <a:grpSpLocks/>
          </xdr:cNvGrpSpPr>
        </xdr:nvGrpSpPr>
        <xdr:grpSpPr bwMode="auto">
          <a:xfrm>
            <a:off x="60" y="263"/>
            <a:ext cx="151" cy="32"/>
            <a:chOff x="1104968" y="2771584"/>
            <a:chExt cx="3605494" cy="566957"/>
          </a:xfrm>
        </xdr:grpSpPr>
        <xdr:sp macro="" textlink="">
          <xdr:nvSpPr>
            <xdr:cNvPr id="34" name="AutoShape 31">
              <a:hlinkClick xmlns:r="http://schemas.openxmlformats.org/officeDocument/2006/relationships" r:id="rId11"/>
              <a:extLst>
                <a:ext uri="{FF2B5EF4-FFF2-40B4-BE49-F238E27FC236}">
                  <a16:creationId xmlns:a16="http://schemas.microsoft.com/office/drawing/2014/main" id="{012D14CF-300F-F48B-A75F-721174D070BC}"/>
                </a:ext>
              </a:extLst>
            </xdr:cNvPr>
            <xdr:cNvSpPr>
              <a:spLocks noChangeArrowheads="1"/>
            </xdr:cNvSpPr>
          </xdr:nvSpPr>
          <xdr:spPr bwMode="gray">
            <a:xfrm>
              <a:off x="1104968" y="2779458"/>
              <a:ext cx="3605494" cy="551208"/>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az-Cyrl-AZ" sz="1000" b="0" i="0" u="none" strike="noStrike" baseline="0">
                  <a:solidFill>
                    <a:srgbClr val="FFFFFF"/>
                  </a:solidFill>
                  <a:latin typeface="Arial"/>
                  <a:cs typeface="Arial"/>
                </a:rPr>
                <a:t>Сведения о гранте</a:t>
              </a:r>
            </a:p>
          </xdr:txBody>
        </xdr:sp>
        <xdr:sp macro="" textlink="">
          <xdr:nvSpPr>
            <xdr:cNvPr id="35" name="Freeform 32">
              <a:extLst>
                <a:ext uri="{FF2B5EF4-FFF2-40B4-BE49-F238E27FC236}">
                  <a16:creationId xmlns:a16="http://schemas.microsoft.com/office/drawing/2014/main" id="{13DB85C7-3708-ADCD-F407-D25FCC747DDD}"/>
                </a:ext>
              </a:extLst>
            </xdr:cNvPr>
            <xdr:cNvSpPr>
              <a:spLocks/>
            </xdr:cNvSpPr>
          </xdr:nvSpPr>
          <xdr:spPr bwMode="gray">
            <a:xfrm>
              <a:off x="1152723" y="2818830"/>
              <a:ext cx="358162" cy="27560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10</xdr:row>
      <xdr:rowOff>28575</xdr:rowOff>
    </xdr:from>
    <xdr:to>
      <xdr:col>3</xdr:col>
      <xdr:colOff>495300</xdr:colOff>
      <xdr:row>12</xdr:row>
      <xdr:rowOff>19050</xdr:rowOff>
    </xdr:to>
    <xdr:grpSp>
      <xdr:nvGrpSpPr>
        <xdr:cNvPr id="36" name="37 Grupo">
          <a:hlinkClick xmlns:r="http://schemas.openxmlformats.org/officeDocument/2006/relationships" r:id="rId12"/>
          <a:extLst>
            <a:ext uri="{FF2B5EF4-FFF2-40B4-BE49-F238E27FC236}">
              <a16:creationId xmlns:a16="http://schemas.microsoft.com/office/drawing/2014/main" id="{987D9118-E93F-48E2-8C69-8B76C194F3E7}"/>
            </a:ext>
          </a:extLst>
        </xdr:cNvPr>
        <xdr:cNvGrpSpPr>
          <a:grpSpLocks/>
        </xdr:cNvGrpSpPr>
      </xdr:nvGrpSpPr>
      <xdr:grpSpPr bwMode="auto">
        <a:xfrm>
          <a:off x="604308" y="2367492"/>
          <a:ext cx="1579034" cy="360891"/>
          <a:chOff x="1343025" y="2428876"/>
          <a:chExt cx="3240982" cy="617274"/>
        </a:xfrm>
      </xdr:grpSpPr>
      <xdr:sp macro="" textlink="">
        <xdr:nvSpPr>
          <xdr:cNvPr id="37" name="AutoShape 30">
            <a:extLst>
              <a:ext uri="{FF2B5EF4-FFF2-40B4-BE49-F238E27FC236}">
                <a16:creationId xmlns:a16="http://schemas.microsoft.com/office/drawing/2014/main" id="{DC7993E2-5E4C-C086-F8B0-94558F9108C5}"/>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38" name="13 Grupo">
            <a:extLst>
              <a:ext uri="{FF2B5EF4-FFF2-40B4-BE49-F238E27FC236}">
                <a16:creationId xmlns:a16="http://schemas.microsoft.com/office/drawing/2014/main" id="{43DABBB1-07BC-17F4-B432-0A263FB74114}"/>
              </a:ext>
            </a:extLst>
          </xdr:cNvPr>
          <xdr:cNvGrpSpPr>
            <a:grpSpLocks/>
          </xdr:cNvGrpSpPr>
        </xdr:nvGrpSpPr>
        <xdr:grpSpPr bwMode="auto">
          <a:xfrm>
            <a:off x="1419283" y="2495353"/>
            <a:ext cx="3097998" cy="503316"/>
            <a:chOff x="1104968" y="2771552"/>
            <a:chExt cx="3605494" cy="566957"/>
          </a:xfrm>
        </xdr:grpSpPr>
        <xdr:sp macro="" textlink="">
          <xdr:nvSpPr>
            <xdr:cNvPr id="39" name="AutoShape 31">
              <a:extLst>
                <a:ext uri="{FF2B5EF4-FFF2-40B4-BE49-F238E27FC236}">
                  <a16:creationId xmlns:a16="http://schemas.microsoft.com/office/drawing/2014/main" id="{D5C581B1-5C90-73E1-2619-AF669E62E2F1}"/>
                </a:ext>
              </a:extLst>
            </xdr:cNvPr>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az-Cyrl-AZ" sz="1000" b="0" i="0" u="none" strike="noStrike" baseline="0">
                  <a:solidFill>
                    <a:srgbClr val="FFFFFF"/>
                  </a:solidFill>
                  <a:latin typeface="Arial"/>
                  <a:cs typeface="Arial"/>
                </a:rPr>
                <a:t>Показатели</a:t>
              </a:r>
            </a:p>
          </xdr:txBody>
        </xdr:sp>
        <xdr:sp macro="" textlink="">
          <xdr:nvSpPr>
            <xdr:cNvPr id="40" name="Freeform 32">
              <a:extLst>
                <a:ext uri="{FF2B5EF4-FFF2-40B4-BE49-F238E27FC236}">
                  <a16:creationId xmlns:a16="http://schemas.microsoft.com/office/drawing/2014/main" id="{6BD2C75C-EC95-1E89-F602-CFEA9ED50A91}"/>
                </a:ext>
              </a:extLst>
            </xdr:cNvPr>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12</xdr:row>
      <xdr:rowOff>180975</xdr:rowOff>
    </xdr:from>
    <xdr:to>
      <xdr:col>3</xdr:col>
      <xdr:colOff>495300</xdr:colOff>
      <xdr:row>14</xdr:row>
      <xdr:rowOff>171450</xdr:rowOff>
    </xdr:to>
    <xdr:grpSp>
      <xdr:nvGrpSpPr>
        <xdr:cNvPr id="41" name="37 Grupo">
          <a:hlinkClick xmlns:r="http://schemas.openxmlformats.org/officeDocument/2006/relationships" r:id="rId13"/>
          <a:extLst>
            <a:ext uri="{FF2B5EF4-FFF2-40B4-BE49-F238E27FC236}">
              <a16:creationId xmlns:a16="http://schemas.microsoft.com/office/drawing/2014/main" id="{9D33F3F1-14A9-44BF-9466-07F7B23EB6AB}"/>
            </a:ext>
          </a:extLst>
        </xdr:cNvPr>
        <xdr:cNvGrpSpPr>
          <a:grpSpLocks/>
        </xdr:cNvGrpSpPr>
      </xdr:nvGrpSpPr>
      <xdr:grpSpPr bwMode="auto">
        <a:xfrm>
          <a:off x="604308" y="2890308"/>
          <a:ext cx="1579034" cy="360892"/>
          <a:chOff x="1343025" y="2428876"/>
          <a:chExt cx="3240982" cy="617274"/>
        </a:xfrm>
      </xdr:grpSpPr>
      <xdr:sp macro="" textlink="">
        <xdr:nvSpPr>
          <xdr:cNvPr id="42" name="AutoShape 30">
            <a:extLst>
              <a:ext uri="{FF2B5EF4-FFF2-40B4-BE49-F238E27FC236}">
                <a16:creationId xmlns:a16="http://schemas.microsoft.com/office/drawing/2014/main" id="{11EE7179-B2E4-A191-DA15-B3CDCDC6C409}"/>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sp>
      <xdr:grpSp>
        <xdr:nvGrpSpPr>
          <xdr:cNvPr id="43" name="13 Grupo">
            <a:extLst>
              <a:ext uri="{FF2B5EF4-FFF2-40B4-BE49-F238E27FC236}">
                <a16:creationId xmlns:a16="http://schemas.microsoft.com/office/drawing/2014/main" id="{E6479513-2407-0EFC-8B0B-8ED74A52C2BF}"/>
              </a:ext>
            </a:extLst>
          </xdr:cNvPr>
          <xdr:cNvGrpSpPr>
            <a:grpSpLocks/>
          </xdr:cNvGrpSpPr>
        </xdr:nvGrpSpPr>
        <xdr:grpSpPr bwMode="auto">
          <a:xfrm>
            <a:off x="1419283" y="2495353"/>
            <a:ext cx="3097998" cy="503316"/>
            <a:chOff x="1104968" y="2771552"/>
            <a:chExt cx="3605494" cy="566957"/>
          </a:xfrm>
        </xdr:grpSpPr>
        <xdr:sp macro="" textlink="">
          <xdr:nvSpPr>
            <xdr:cNvPr id="44" name="AutoShape 31">
              <a:hlinkClick xmlns:r="http://schemas.openxmlformats.org/officeDocument/2006/relationships" r:id="rId14"/>
              <a:extLst>
                <a:ext uri="{FF2B5EF4-FFF2-40B4-BE49-F238E27FC236}">
                  <a16:creationId xmlns:a16="http://schemas.microsoft.com/office/drawing/2014/main" id="{D9878A6C-6AC4-C822-DAE7-543F2F999A58}"/>
                </a:ext>
              </a:extLst>
            </xdr:cNvPr>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az-Cyrl-AZ" sz="1000" b="0" i="0" u="none" strike="noStrike" baseline="0">
                  <a:solidFill>
                    <a:srgbClr val="FFFFFF"/>
                  </a:solidFill>
                  <a:latin typeface="Arial"/>
                  <a:cs typeface="Arial"/>
                </a:rPr>
                <a:t>Ввод данных</a:t>
              </a:r>
            </a:p>
          </xdr:txBody>
        </xdr:sp>
        <xdr:sp macro="" textlink="">
          <xdr:nvSpPr>
            <xdr:cNvPr id="45" name="Freeform 32">
              <a:extLst>
                <a:ext uri="{FF2B5EF4-FFF2-40B4-BE49-F238E27FC236}">
                  <a16:creationId xmlns:a16="http://schemas.microsoft.com/office/drawing/2014/main" id="{45358BCA-371A-D5C4-20C9-DC826F0D864A}"/>
                </a:ext>
              </a:extLst>
            </xdr:cNvPr>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oneCellAnchor>
    <xdr:from>
      <xdr:col>1</xdr:col>
      <xdr:colOff>257175</xdr:colOff>
      <xdr:row>7</xdr:row>
      <xdr:rowOff>66675</xdr:rowOff>
    </xdr:from>
    <xdr:ext cx="2133600" cy="447675"/>
    <xdr:pic>
      <xdr:nvPicPr>
        <xdr:cNvPr id="46" name="Picture 2012">
          <a:extLst>
            <a:ext uri="{FF2B5EF4-FFF2-40B4-BE49-F238E27FC236}">
              <a16:creationId xmlns:a16="http://schemas.microsoft.com/office/drawing/2014/main" id="{ECC5D330-11F0-4AE7-B765-B1C2FC413EA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90600" y="1400175"/>
          <a:ext cx="21336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352425</xdr:colOff>
      <xdr:row>7</xdr:row>
      <xdr:rowOff>85725</xdr:rowOff>
    </xdr:from>
    <xdr:ext cx="1990725" cy="390525"/>
    <xdr:sp macro="" textlink="">
      <xdr:nvSpPr>
        <xdr:cNvPr id="47" name="Text Box 2013">
          <a:extLst>
            <a:ext uri="{FF2B5EF4-FFF2-40B4-BE49-F238E27FC236}">
              <a16:creationId xmlns:a16="http://schemas.microsoft.com/office/drawing/2014/main" id="{F0C00F40-C7A5-4048-99E1-9B3372794AA0}"/>
            </a:ext>
          </a:extLst>
        </xdr:cNvPr>
        <xdr:cNvSpPr txBox="1">
          <a:spLocks noChangeArrowheads="1"/>
        </xdr:cNvSpPr>
      </xdr:nvSpPr>
      <xdr:spPr bwMode="auto">
        <a:xfrm>
          <a:off x="1085850" y="1419225"/>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az-Cyrl-AZ" sz="1200" b="0" i="0" u="none" strike="noStrike" baseline="0">
              <a:solidFill>
                <a:srgbClr val="000000"/>
              </a:solidFill>
              <a:latin typeface="Arial"/>
              <a:cs typeface="Arial"/>
            </a:rPr>
            <a:t>Информация о гранте</a:t>
          </a:r>
          <a:endParaRPr lang="az-Cyrl-AZ" sz="1800" b="0" i="0" u="none" strike="noStrike" baseline="0">
            <a:solidFill>
              <a:srgbClr val="000000"/>
            </a:solidFill>
            <a:latin typeface="Arial"/>
            <a:cs typeface="Arial"/>
          </a:endParaRPr>
        </a:p>
        <a:p>
          <a:pPr algn="ctr" rtl="0">
            <a:defRPr sz="1000"/>
          </a:pPr>
          <a:endParaRPr lang="az-Cyrl-AZ" sz="1800" b="0" i="0" u="none" strike="noStrike" baseline="0">
            <a:solidFill>
              <a:srgbClr val="000000"/>
            </a:solidFill>
            <a:latin typeface="Arial"/>
            <a:cs typeface="Arial"/>
          </a:endParaRPr>
        </a:p>
      </xdr:txBody>
    </xdr:sp>
    <xdr:clientData/>
  </xdr:oneCellAnchor>
  <xdr:oneCellAnchor>
    <xdr:from>
      <xdr:col>4</xdr:col>
      <xdr:colOff>247650</xdr:colOff>
      <xdr:row>7</xdr:row>
      <xdr:rowOff>66675</xdr:rowOff>
    </xdr:from>
    <xdr:ext cx="2600325" cy="447675"/>
    <xdr:pic>
      <xdr:nvPicPr>
        <xdr:cNvPr id="48" name="Picture 2016">
          <a:extLst>
            <a:ext uri="{FF2B5EF4-FFF2-40B4-BE49-F238E27FC236}">
              <a16:creationId xmlns:a16="http://schemas.microsoft.com/office/drawing/2014/main" id="{AE568EEE-16E0-4AB4-A74D-66FE4D1D8C5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181350" y="1400175"/>
          <a:ext cx="26003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590550</xdr:colOff>
      <xdr:row>7</xdr:row>
      <xdr:rowOff>95250</xdr:rowOff>
    </xdr:from>
    <xdr:ext cx="1990725" cy="390525"/>
    <xdr:sp macro="" textlink="">
      <xdr:nvSpPr>
        <xdr:cNvPr id="49" name="Text Box 2017">
          <a:extLst>
            <a:ext uri="{FF2B5EF4-FFF2-40B4-BE49-F238E27FC236}">
              <a16:creationId xmlns:a16="http://schemas.microsoft.com/office/drawing/2014/main" id="{EC6F3D5F-34A6-4112-80AA-0B91E70BEEF1}"/>
            </a:ext>
          </a:extLst>
        </xdr:cNvPr>
        <xdr:cNvSpPr txBox="1">
          <a:spLocks noChangeArrowheads="1"/>
        </xdr:cNvSpPr>
      </xdr:nvSpPr>
      <xdr:spPr bwMode="auto">
        <a:xfrm>
          <a:off x="3524250" y="142875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ru-RU" sz="1200" b="0" i="0" strike="noStrike">
              <a:solidFill>
                <a:srgbClr val="000000"/>
              </a:solidFill>
              <a:latin typeface="Arial"/>
              <a:cs typeface="Arial"/>
            </a:rPr>
            <a:t>Показатели</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oneCellAnchor>
  <xdr:oneCellAnchor>
    <xdr:from>
      <xdr:col>7</xdr:col>
      <xdr:colOff>733425</xdr:colOff>
      <xdr:row>7</xdr:row>
      <xdr:rowOff>76200</xdr:rowOff>
    </xdr:from>
    <xdr:ext cx="2159000" cy="438150"/>
    <xdr:pic>
      <xdr:nvPicPr>
        <xdr:cNvPr id="50" name="Picture 2018">
          <a:extLst>
            <a:ext uri="{FF2B5EF4-FFF2-40B4-BE49-F238E27FC236}">
              <a16:creationId xmlns:a16="http://schemas.microsoft.com/office/drawing/2014/main" id="{7FF2DB73-00FF-44F9-9302-7B1B27C0018E}"/>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867400" y="1409700"/>
          <a:ext cx="21590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57150</xdr:colOff>
      <xdr:row>7</xdr:row>
      <xdr:rowOff>95250</xdr:rowOff>
    </xdr:from>
    <xdr:ext cx="1987550" cy="390525"/>
    <xdr:sp macro="" textlink="">
      <xdr:nvSpPr>
        <xdr:cNvPr id="51" name="Text Box 2019">
          <a:extLst>
            <a:ext uri="{FF2B5EF4-FFF2-40B4-BE49-F238E27FC236}">
              <a16:creationId xmlns:a16="http://schemas.microsoft.com/office/drawing/2014/main" id="{3CF83D0F-D616-49ED-ABCA-EC583C9E251C}"/>
            </a:ext>
          </a:extLst>
        </xdr:cNvPr>
        <xdr:cNvSpPr txBox="1">
          <a:spLocks noChangeArrowheads="1"/>
        </xdr:cNvSpPr>
      </xdr:nvSpPr>
      <xdr:spPr bwMode="auto">
        <a:xfrm>
          <a:off x="5924550" y="1428750"/>
          <a:ext cx="1987550"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ru-RU" sz="1200" b="0" i="0" strike="noStrike">
              <a:solidFill>
                <a:srgbClr val="000000"/>
              </a:solidFill>
              <a:latin typeface="Arial"/>
              <a:cs typeface="Arial"/>
            </a:rPr>
            <a:t>Отчеты</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942975</xdr:colOff>
      <xdr:row>1</xdr:row>
      <xdr:rowOff>9525</xdr:rowOff>
    </xdr:to>
    <xdr:sp macro="" textlink="">
      <xdr:nvSpPr>
        <xdr:cNvPr id="2" name="AutoShape 50">
          <a:hlinkClick xmlns:r="http://schemas.openxmlformats.org/officeDocument/2006/relationships" r:id="rId1"/>
          <a:extLst>
            <a:ext uri="{FF2B5EF4-FFF2-40B4-BE49-F238E27FC236}">
              <a16:creationId xmlns:a16="http://schemas.microsoft.com/office/drawing/2014/main" id="{B7726084-35CA-4373-A7F5-A99A4FA31855}"/>
            </a:ext>
          </a:extLst>
        </xdr:cNvPr>
        <xdr:cNvSpPr>
          <a:spLocks noChangeArrowheads="1"/>
        </xdr:cNvSpPr>
      </xdr:nvSpPr>
      <xdr:spPr bwMode="auto">
        <a:xfrm>
          <a:off x="0" y="0"/>
          <a:ext cx="733425" cy="200025"/>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ru-RU" sz="1000" b="0" i="0" strike="noStrike">
              <a:solidFill>
                <a:srgbClr val="000000"/>
              </a:solidFill>
              <a:latin typeface="Calibri"/>
            </a:rPr>
            <a:t>Меню</a:t>
          </a:r>
          <a:endParaRPr lang="en-US" sz="1000" b="0" i="0" strike="noStrike">
            <a:solidFill>
              <a:srgbClr val="000000"/>
            </a:solidFill>
            <a:latin typeface="Calibri"/>
          </a:endParaRPr>
        </a:p>
      </xdr:txBody>
    </xdr:sp>
    <xdr:clientData/>
  </xdr:twoCellAnchor>
  <xdr:twoCellAnchor>
    <xdr:from>
      <xdr:col>3</xdr:col>
      <xdr:colOff>38100</xdr:colOff>
      <xdr:row>63</xdr:row>
      <xdr:rowOff>144991</xdr:rowOff>
    </xdr:from>
    <xdr:to>
      <xdr:col>3</xdr:col>
      <xdr:colOff>885825</xdr:colOff>
      <xdr:row>63</xdr:row>
      <xdr:rowOff>144991</xdr:rowOff>
    </xdr:to>
    <xdr:cxnSp macro="">
      <xdr:nvCxnSpPr>
        <xdr:cNvPr id="3" name="AutoShape 101">
          <a:extLst>
            <a:ext uri="{FF2B5EF4-FFF2-40B4-BE49-F238E27FC236}">
              <a16:creationId xmlns:a16="http://schemas.microsoft.com/office/drawing/2014/main" id="{E885D209-D168-4A86-8B46-E18E6A5E7C34}"/>
            </a:ext>
          </a:extLst>
        </xdr:cNvPr>
        <xdr:cNvCxnSpPr>
          <a:cxnSpLocks noChangeShapeType="1"/>
        </xdr:cNvCxnSpPr>
      </xdr:nvCxnSpPr>
      <xdr:spPr bwMode="auto">
        <a:xfrm flipH="1">
          <a:off x="2238375" y="12146491"/>
          <a:ext cx="695325"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405342</xdr:colOff>
      <xdr:row>34</xdr:row>
      <xdr:rowOff>48683</xdr:rowOff>
    </xdr:from>
    <xdr:to>
      <xdr:col>11</xdr:col>
      <xdr:colOff>414867</xdr:colOff>
      <xdr:row>63</xdr:row>
      <xdr:rowOff>10583</xdr:rowOff>
    </xdr:to>
    <xdr:cxnSp macro="">
      <xdr:nvCxnSpPr>
        <xdr:cNvPr id="4" name="Straight Arrow Connector 9">
          <a:extLst>
            <a:ext uri="{FF2B5EF4-FFF2-40B4-BE49-F238E27FC236}">
              <a16:creationId xmlns:a16="http://schemas.microsoft.com/office/drawing/2014/main" id="{3CD511A0-9F9C-406A-AEA1-3BA691A15EB7}"/>
            </a:ext>
          </a:extLst>
        </xdr:cNvPr>
        <xdr:cNvCxnSpPr>
          <a:cxnSpLocks noChangeShapeType="1"/>
        </xdr:cNvCxnSpPr>
      </xdr:nvCxnSpPr>
      <xdr:spPr bwMode="auto">
        <a:xfrm flipH="1">
          <a:off x="8473017" y="6525683"/>
          <a:ext cx="9525" cy="5486400"/>
        </a:xfrm>
        <a:prstGeom prst="straightConnector1">
          <a:avLst/>
        </a:prstGeom>
        <a:noFill/>
        <a:ln w="9525" algn="ctr">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Combination\Dashboard_P23_TB&amp;HIV%20(2023)%20&#1076;&#1083;&#1103;%20&#1052;&#1072;&#1088;&#1072;&#1090;&#1073;&#1077;&#1082;&#1072;.xlsx" TargetMode="External"/><Relationship Id="rId1" Type="http://schemas.openxmlformats.org/officeDocument/2006/relationships/externalLinkPath" Target="https://undp.sharepoint.com/sites/GF-UNDPKyrgyzRepublic/Shared%20Documents/General/CCM%20Dashboard/HIV-TB/CCM%20Dashboard_P23_2023/Dashboard_P23_TB&amp;HIV%20(2023)%20&#1076;&#1083;&#1103;%20&#1052;&#1072;&#1088;&#1072;&#1090;&#1073;&#1077;&#1082;&#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Меню"/>
      <sheetName val="Ввод данных"/>
      <sheetName val="Показатели"/>
      <sheetName val="Сведения о гранте"/>
      <sheetName val="Финансирование"/>
      <sheetName val="Программа"/>
      <sheetName val="Управление"/>
      <sheetName val="Установки"/>
      <sheetName val="Акроним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9">
          <cell r="B9" t="str">
            <v>Пожалуйста выберите</v>
          </cell>
          <cell r="C9" t="str">
            <v>Пожалуйста выберите</v>
          </cell>
          <cell r="D9" t="str">
            <v>Пожалуйста выберите</v>
          </cell>
          <cell r="E9" t="str">
            <v>Пожалуйста выберите</v>
          </cell>
          <cell r="F9" t="str">
            <v>Пожалуйста выберите</v>
          </cell>
          <cell r="G9" t="str">
            <v>Пожалуйста выберите</v>
          </cell>
          <cell r="H9" t="str">
            <v>Пожалуйста выберите</v>
          </cell>
          <cell r="I9" t="str">
            <v>Пожалуйста выберите</v>
          </cell>
        </row>
        <row r="10">
          <cell r="B10" t="str">
            <v>ВИЧ / СПИД</v>
          </cell>
          <cell r="C10" t="str">
            <v>$</v>
          </cell>
          <cell r="D10" t="str">
            <v>Раунд 1</v>
          </cell>
          <cell r="E10" t="str">
            <v>Фаза 1</v>
          </cell>
          <cell r="F10" t="str">
            <v>P1</v>
          </cell>
          <cell r="G10" t="str">
            <v>A1</v>
          </cell>
          <cell r="H10" t="str">
            <v>CA (Crown Agents)</v>
          </cell>
          <cell r="I10" t="str">
            <v>Изониазид</v>
          </cell>
        </row>
        <row r="11">
          <cell r="B11" t="str">
            <v>МАЛЯРИЯ</v>
          </cell>
          <cell r="C11" t="str">
            <v>€</v>
          </cell>
          <cell r="D11" t="str">
            <v>Раунд 2</v>
          </cell>
          <cell r="E11" t="str">
            <v>Фаза 2</v>
          </cell>
          <cell r="F11" t="str">
            <v>P2</v>
          </cell>
          <cell r="G11" t="str">
            <v>A2</v>
          </cell>
          <cell r="H11" t="str">
            <v>DEL (Deloitte)</v>
          </cell>
          <cell r="I11" t="str">
            <v>Этамбутол</v>
          </cell>
        </row>
        <row r="12">
          <cell r="B12" t="str">
            <v>ТБ</v>
          </cell>
          <cell r="D12" t="str">
            <v>Раунд 3</v>
          </cell>
          <cell r="E12" t="str">
            <v>RCC</v>
          </cell>
          <cell r="F12" t="str">
            <v>P3</v>
          </cell>
          <cell r="G12" t="str">
            <v>B1</v>
          </cell>
          <cell r="H12" t="str">
            <v>DTT (DTT Emerging Markets)</v>
          </cell>
          <cell r="I12" t="str">
            <v>Рифампицин</v>
          </cell>
        </row>
        <row r="13">
          <cell r="B13" t="str">
            <v>ВИЧ/СПИД/ТБ</v>
          </cell>
          <cell r="D13" t="str">
            <v>Раунд 4</v>
          </cell>
          <cell r="F13" t="str">
            <v>P4</v>
          </cell>
          <cell r="G13" t="str">
            <v>B2</v>
          </cell>
          <cell r="H13" t="str">
            <v>FIN (Finconsult)</v>
          </cell>
          <cell r="I13" t="str">
            <v>Пиразинамид</v>
          </cell>
        </row>
        <row r="14">
          <cell r="B14" t="str">
            <v>УСЗ</v>
          </cell>
          <cell r="D14" t="str">
            <v>Раунд 5</v>
          </cell>
          <cell r="F14" t="str">
            <v>P5</v>
          </cell>
          <cell r="G14" t="str">
            <v>C</v>
          </cell>
          <cell r="H14" t="str">
            <v>GT (Grant Thornton)</v>
          </cell>
          <cell r="I14" t="str">
            <v>RDT</v>
          </cell>
        </row>
        <row r="15">
          <cell r="D15" t="str">
            <v>Раунд 6</v>
          </cell>
          <cell r="F15" t="str">
            <v>P6</v>
          </cell>
          <cell r="H15" t="str">
            <v>H-C (Hodar-Conseil)</v>
          </cell>
          <cell r="I15" t="str">
            <v>NVP</v>
          </cell>
        </row>
        <row r="16">
          <cell r="D16" t="str">
            <v>Раунд 7</v>
          </cell>
          <cell r="F16" t="str">
            <v>P7</v>
          </cell>
          <cell r="H16" t="str">
            <v>KPMG (KPMG)</v>
          </cell>
          <cell r="I16" t="str">
            <v>3TC</v>
          </cell>
        </row>
        <row r="17">
          <cell r="D17" t="str">
            <v>Раунд 8</v>
          </cell>
          <cell r="F17" t="str">
            <v>P8</v>
          </cell>
          <cell r="H17" t="str">
            <v>MSCI (MSCI)</v>
          </cell>
          <cell r="I17" t="str">
            <v>D4T</v>
          </cell>
        </row>
        <row r="18">
          <cell r="D18" t="str">
            <v>Раунд 9</v>
          </cell>
          <cell r="F18" t="str">
            <v>P9</v>
          </cell>
          <cell r="H18" t="str">
            <v>PwC (PricewaterhouseCoopers)</v>
          </cell>
          <cell r="I18" t="str">
            <v>AZT</v>
          </cell>
        </row>
        <row r="19">
          <cell r="D19" t="str">
            <v>Раунд 10</v>
          </cell>
          <cell r="F19" t="str">
            <v>P10</v>
          </cell>
          <cell r="H19" t="str">
            <v xml:space="preserve">STI (Swiss Tropical Institute), </v>
          </cell>
          <cell r="I19" t="str">
            <v>DDI</v>
          </cell>
        </row>
        <row r="20">
          <cell r="F20" t="str">
            <v>P11</v>
          </cell>
          <cell r="H20" t="str">
            <v>UNOPS</v>
          </cell>
          <cell r="I20" t="str">
            <v>EFV</v>
          </cell>
        </row>
        <row r="21">
          <cell r="F21" t="str">
            <v>P12</v>
          </cell>
          <cell r="I21" t="str">
            <v>AS/LF</v>
          </cell>
        </row>
        <row r="22">
          <cell r="I22" t="str">
            <v>AS/AQ</v>
          </cell>
        </row>
        <row r="23">
          <cell r="I23" t="str">
            <v>AS/MQ</v>
          </cell>
        </row>
        <row r="24">
          <cell r="I24" t="str">
            <v>Al/Lum</v>
          </cell>
        </row>
        <row r="26">
          <cell r="I26" t="str">
            <v>Пищевые добавки для ТБ</v>
          </cell>
        </row>
        <row r="27">
          <cell r="I27" t="str">
            <v>E-PAP</v>
          </cell>
        </row>
        <row r="28">
          <cell r="I28" t="str">
            <v>ZDV/3TC/NVP</v>
          </cell>
        </row>
        <row r="29">
          <cell r="I29" t="str">
            <v>ZDV/3TC</v>
          </cell>
        </row>
        <row r="30">
          <cell r="I30" t="str">
            <v>EFV</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1"/>
  </sheetPr>
  <dimension ref="B1:O22"/>
  <sheetViews>
    <sheetView showGridLines="0" showRowColHeaders="0" tabSelected="1" zoomScale="120" zoomScaleNormal="100" workbookViewId="0">
      <selection activeCell="B2" sqref="B2:M2"/>
    </sheetView>
  </sheetViews>
  <sheetFormatPr defaultColWidth="11" defaultRowHeight="14.5"/>
  <cols>
    <col min="1" max="1" width="1.26953125" customWidth="1"/>
    <col min="2" max="10" width="11.453125" customWidth="1"/>
    <col min="11" max="11" width="1.7265625" customWidth="1"/>
  </cols>
  <sheetData>
    <row r="1" spans="2:15" ht="25.5" customHeight="1"/>
    <row r="2" spans="2:15" ht="36">
      <c r="B2" s="632" t="str">
        <f>+"Dashboard:  "&amp;"  "&amp;IF(+'Data Input'!B4="Выберите","",'Data Input'!B4&amp;" - ")&amp;IF('Data Input'!F6="Выберите","",'Data Input'!F6)</f>
        <v>Dashboard:    Kyrgyzstan - ВИЧ/СПИД/ТБ</v>
      </c>
      <c r="C2" s="632"/>
      <c r="D2" s="632"/>
      <c r="E2" s="632"/>
      <c r="F2" s="632"/>
      <c r="G2" s="632"/>
      <c r="H2" s="632"/>
      <c r="I2" s="632"/>
      <c r="J2" s="632"/>
      <c r="K2" s="632"/>
      <c r="L2" s="632"/>
      <c r="M2" s="632"/>
      <c r="N2" s="1"/>
      <c r="O2" s="1"/>
    </row>
    <row r="4" spans="2:15" ht="21">
      <c r="B4" s="628" t="str">
        <f>+IF('Data Input'!F6="Выберите", "",'Data Input'!F6) &amp;"  "&amp;+IF('Data Input'!F8="Выберите", "", 'Data Input'!F8&amp;",  ")&amp;+IF('Data Input'!H8="Выберите","",'Data Input'!H8)</f>
        <v xml:space="preserve">ВИЧ/СПИД/ТБ  ,  </v>
      </c>
      <c r="C4" s="628"/>
      <c r="D4" s="628"/>
      <c r="E4" s="629"/>
      <c r="F4" s="113"/>
      <c r="G4" s="113"/>
      <c r="H4" s="112" t="str">
        <f>+'Data Input'!A6&amp;" "&amp;+'Data Input'!B6</f>
        <v>Grant # KGZ-C-UNDP</v>
      </c>
      <c r="I4" s="112"/>
      <c r="J4" s="112"/>
      <c r="K4" s="113"/>
      <c r="L4" s="113"/>
    </row>
    <row r="22" spans="2:12" ht="26">
      <c r="B22" s="630"/>
      <c r="C22" s="631"/>
      <c r="D22" s="631"/>
      <c r="E22" s="631"/>
      <c r="F22" s="631"/>
      <c r="G22" s="631"/>
      <c r="H22" s="631"/>
      <c r="I22" s="631"/>
      <c r="J22" s="631"/>
      <c r="K22" s="631"/>
      <c r="L22" s="631"/>
    </row>
  </sheetData>
  <mergeCells count="3">
    <mergeCell ref="B4:E4"/>
    <mergeCell ref="B22:L22"/>
    <mergeCell ref="B2:M2"/>
  </mergeCells>
  <phoneticPr fontId="31" type="noConversion"/>
  <pageMargins left="0.70866141732283472" right="0.70866141732283472" top="0.74803149606299213" bottom="0.74803149606299213" header="0.31496062992125984" footer="0.31496062992125984"/>
  <pageSetup paperSize="8" orientation="landscape" r:id="rId1"/>
  <headerFooter>
    <oddFooter>&amp;L&amp;F&amp;C&amp;A&amp;R&amp;D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9DBBE-6F7D-40FF-BED7-540993A12950}">
  <sheetPr>
    <tabColor rgb="FFFFC000"/>
  </sheetPr>
  <dimension ref="A1:V76"/>
  <sheetViews>
    <sheetView showGridLines="0" zoomScale="85" zoomScaleNormal="85" workbookViewId="0">
      <pane ySplit="2" topLeftCell="A3" activePane="bottomLeft" state="frozen"/>
      <selection activeCell="E22" sqref="E22"/>
      <selection pane="bottomLeft" activeCell="M43" sqref="M43:O43"/>
    </sheetView>
  </sheetViews>
  <sheetFormatPr defaultColWidth="11" defaultRowHeight="14.5"/>
  <cols>
    <col min="1" max="1" width="2.7265625" customWidth="1"/>
    <col min="2" max="2" width="21.453125" customWidth="1"/>
    <col min="3" max="3" width="11.453125" customWidth="1"/>
    <col min="4" max="4" width="4.54296875" customWidth="1"/>
    <col min="5" max="5" width="16.453125" customWidth="1"/>
    <col min="6" max="6" width="15.7265625" customWidth="1"/>
    <col min="7" max="7" width="37.26953125" customWidth="1"/>
    <col min="8" max="8" width="17.26953125" customWidth="1"/>
    <col min="9" max="9" width="44.26953125" customWidth="1"/>
    <col min="10" max="10" width="14.26953125" customWidth="1"/>
    <col min="11" max="11" width="16" customWidth="1"/>
    <col min="12" max="12" width="20.453125" customWidth="1"/>
    <col min="13" max="13" width="49.453125" customWidth="1"/>
    <col min="14" max="14" width="2.54296875" customWidth="1"/>
    <col min="15" max="15" width="3" customWidth="1"/>
    <col min="16" max="16" width="2.54296875" customWidth="1"/>
    <col min="17" max="17" width="16.26953125" customWidth="1"/>
    <col min="18" max="18" width="28" customWidth="1"/>
    <col min="19" max="19" width="26.7265625" customWidth="1"/>
    <col min="20" max="20" width="14.7265625" customWidth="1"/>
    <col min="21" max="21" width="16" customWidth="1"/>
    <col min="22" max="22" width="11.453125" hidden="1" customWidth="1"/>
    <col min="23" max="23" width="15.54296875" customWidth="1"/>
    <col min="24" max="24" width="11.453125" customWidth="1"/>
    <col min="25" max="25" width="2.26953125" customWidth="1"/>
    <col min="26" max="26" width="1.26953125" customWidth="1"/>
    <col min="27" max="27" width="3.26953125" customWidth="1"/>
    <col min="28" max="28" width="17" customWidth="1"/>
    <col min="29" max="29" width="15" customWidth="1"/>
    <col min="30" max="30" width="11.453125" customWidth="1"/>
    <col min="31" max="31" width="13.54296875" customWidth="1"/>
    <col min="32" max="32" width="16.7265625" customWidth="1"/>
    <col min="33" max="33" width="11.453125" customWidth="1"/>
    <col min="34" max="34" width="2" customWidth="1"/>
    <col min="35" max="35" width="3.26953125" customWidth="1"/>
    <col min="36" max="36" width="2.26953125" customWidth="1"/>
    <col min="37" max="37" width="40.7265625" customWidth="1"/>
    <col min="38" max="38" width="15.453125" customWidth="1"/>
  </cols>
  <sheetData>
    <row r="1" spans="2:15" ht="34.5" customHeight="1"/>
    <row r="2" spans="2:15" ht="36" customHeight="1">
      <c r="B2" s="790" t="str">
        <f>+"Панель показателей: "&amp;" "&amp;+IF('Ввод данных'!B4="Выберите","",'Ввод данных'!B4&amp;" - ")&amp;+IF('Ввод данных'!F6="Выберите","",'Ввод данных'!F6)</f>
        <v>Панель показателей:  Кыргызстан - ВИЧ/СПИД/ТБ</v>
      </c>
      <c r="C2" s="790"/>
      <c r="D2" s="790"/>
      <c r="E2" s="790"/>
      <c r="F2" s="790"/>
      <c r="G2" s="790"/>
      <c r="H2" s="790"/>
      <c r="I2" s="790"/>
      <c r="J2" s="790"/>
      <c r="K2" s="790"/>
      <c r="L2" s="790"/>
      <c r="M2" s="790"/>
    </row>
    <row r="3" spans="2:15" ht="15.75" customHeight="1">
      <c r="B3" s="105"/>
      <c r="C3" s="105"/>
      <c r="D3" s="105"/>
      <c r="E3" s="105"/>
      <c r="F3" s="105"/>
      <c r="G3" s="105"/>
      <c r="H3" s="105"/>
      <c r="I3" s="105"/>
      <c r="J3" s="105"/>
      <c r="K3" s="106"/>
      <c r="L3" s="106"/>
    </row>
    <row r="5" spans="2:15" ht="23.5">
      <c r="B5" s="791" t="s">
        <v>772</v>
      </c>
      <c r="C5" s="791"/>
      <c r="D5" s="791"/>
      <c r="E5" s="791"/>
      <c r="F5" s="791"/>
      <c r="G5" s="791"/>
      <c r="H5" s="791"/>
      <c r="I5" s="791"/>
      <c r="J5" s="791"/>
      <c r="K5" s="791"/>
      <c r="L5" s="791"/>
      <c r="M5" s="791"/>
      <c r="N5" s="791"/>
      <c r="O5" s="791"/>
    </row>
    <row r="7" spans="2:15" s="28" customFormat="1" ht="21">
      <c r="B7" s="792" t="s">
        <v>759</v>
      </c>
      <c r="C7" s="793"/>
      <c r="D7" s="794"/>
      <c r="E7" s="792" t="s">
        <v>669</v>
      </c>
      <c r="F7" s="793"/>
      <c r="G7" s="793"/>
      <c r="H7" s="793"/>
      <c r="I7" s="794"/>
      <c r="J7" s="792" t="s">
        <v>668</v>
      </c>
      <c r="K7" s="793"/>
      <c r="L7" s="794"/>
      <c r="M7" s="792" t="s">
        <v>667</v>
      </c>
      <c r="N7" s="793"/>
      <c r="O7" s="794"/>
    </row>
    <row r="8" spans="2:15" ht="89.65" customHeight="1">
      <c r="B8" s="769" t="str">
        <f>+'Ввод данных'!A27</f>
        <v>F1: Бюджет и выплаты Глобальным фондом</v>
      </c>
      <c r="C8" s="798"/>
      <c r="D8" s="799"/>
      <c r="E8" s="1019" t="s">
        <v>771</v>
      </c>
      <c r="F8" s="1020"/>
      <c r="G8" s="1020"/>
      <c r="H8" s="1020"/>
      <c r="I8" s="1021"/>
      <c r="J8" s="759" t="s">
        <v>770</v>
      </c>
      <c r="K8" s="760"/>
      <c r="L8" s="761"/>
      <c r="M8" s="759" t="s">
        <v>767</v>
      </c>
      <c r="N8" s="760"/>
      <c r="O8" s="761"/>
    </row>
    <row r="9" spans="2:15" ht="85.15" customHeight="1">
      <c r="B9" s="800" t="str">
        <f>+'Ввод данных'!A36</f>
        <v>F2: Бюджет и фактические расходы согласно задачам гранта</v>
      </c>
      <c r="C9" s="801"/>
      <c r="D9" s="802"/>
      <c r="E9" s="1018" t="s">
        <v>769</v>
      </c>
      <c r="F9" s="776"/>
      <c r="G9" s="776"/>
      <c r="H9" s="776"/>
      <c r="I9" s="777"/>
      <c r="J9" s="759" t="s">
        <v>768</v>
      </c>
      <c r="K9" s="760"/>
      <c r="L9" s="761"/>
      <c r="M9" s="759" t="s">
        <v>767</v>
      </c>
      <c r="N9" s="760"/>
      <c r="O9" s="761"/>
    </row>
    <row r="10" spans="2:15" ht="229.5" customHeight="1">
      <c r="B10" s="800" t="str">
        <f>+'Ввод данных'!A66</f>
        <v>F3: Выплаты и расходы</v>
      </c>
      <c r="C10" s="801"/>
      <c r="D10" s="802"/>
      <c r="E10" s="1018" t="s">
        <v>766</v>
      </c>
      <c r="F10" s="776"/>
      <c r="G10" s="776"/>
      <c r="H10" s="776"/>
      <c r="I10" s="777"/>
      <c r="J10" s="759" t="s">
        <v>765</v>
      </c>
      <c r="K10" s="760"/>
      <c r="L10" s="761"/>
      <c r="M10" s="759" t="s">
        <v>764</v>
      </c>
      <c r="N10" s="760"/>
      <c r="O10" s="761"/>
    </row>
    <row r="11" spans="2:15" ht="271.14999999999998" customHeight="1">
      <c r="B11" s="800" t="str">
        <f>+'Ввод данных'!A75</f>
        <v>F4: Последний отчетный и платежный цикл ОР</v>
      </c>
      <c r="C11" s="804"/>
      <c r="D11" s="805"/>
      <c r="E11" s="1018" t="s">
        <v>763</v>
      </c>
      <c r="F11" s="776"/>
      <c r="G11" s="776"/>
      <c r="H11" s="776"/>
      <c r="I11" s="777"/>
      <c r="J11" s="759" t="s">
        <v>762</v>
      </c>
      <c r="K11" s="760"/>
      <c r="L11" s="761"/>
      <c r="M11" s="759" t="s">
        <v>761</v>
      </c>
      <c r="N11" s="760"/>
      <c r="O11" s="761"/>
    </row>
    <row r="12" spans="2:15">
      <c r="B12" s="758"/>
      <c r="C12" s="758"/>
      <c r="D12" s="758"/>
      <c r="E12" s="816"/>
      <c r="F12" s="816"/>
      <c r="G12" s="816"/>
      <c r="H12" s="816"/>
      <c r="I12" s="816"/>
      <c r="J12" s="816"/>
      <c r="K12" s="816"/>
      <c r="L12" s="816"/>
      <c r="M12" s="816"/>
      <c r="N12" s="816"/>
      <c r="O12" s="816"/>
    </row>
    <row r="13" spans="2:15">
      <c r="B13" s="757"/>
      <c r="C13" s="757"/>
      <c r="D13" s="757"/>
      <c r="E13" s="762"/>
      <c r="F13" s="762"/>
      <c r="G13" s="762"/>
      <c r="H13" s="762"/>
      <c r="I13" s="762"/>
      <c r="J13" s="762"/>
      <c r="K13" s="762"/>
      <c r="L13" s="762"/>
      <c r="M13" s="762"/>
      <c r="N13" s="762"/>
      <c r="O13" s="762"/>
    </row>
    <row r="14" spans="2:15">
      <c r="B14" s="757"/>
      <c r="C14" s="757"/>
      <c r="D14" s="757"/>
      <c r="E14" s="762"/>
      <c r="F14" s="762"/>
      <c r="G14" s="762"/>
      <c r="H14" s="762"/>
      <c r="I14" s="762"/>
      <c r="J14" s="762"/>
      <c r="K14" s="762"/>
      <c r="L14" s="762"/>
      <c r="M14" s="762"/>
      <c r="N14" s="762"/>
      <c r="O14" s="762"/>
    </row>
    <row r="15" spans="2:15">
      <c r="B15" s="757"/>
      <c r="C15" s="757"/>
      <c r="D15" s="757"/>
      <c r="E15" s="762"/>
      <c r="F15" s="762"/>
      <c r="G15" s="762"/>
      <c r="H15" s="762"/>
      <c r="I15" s="762"/>
      <c r="J15" s="762"/>
      <c r="K15" s="762"/>
      <c r="L15" s="762"/>
      <c r="M15" s="762"/>
      <c r="N15" s="762"/>
      <c r="O15" s="762"/>
    </row>
    <row r="16" spans="2:15" ht="23.5">
      <c r="B16" s="815" t="s">
        <v>760</v>
      </c>
      <c r="C16" s="815"/>
      <c r="D16" s="815"/>
      <c r="E16" s="815"/>
      <c r="F16" s="815"/>
      <c r="G16" s="815"/>
      <c r="H16" s="815"/>
      <c r="I16" s="815"/>
      <c r="J16" s="815"/>
      <c r="K16" s="815"/>
      <c r="L16" s="815"/>
      <c r="M16" s="815"/>
      <c r="N16" s="815"/>
      <c r="O16" s="815"/>
    </row>
    <row r="17" spans="1:15">
      <c r="B17" s="424"/>
      <c r="C17" s="424"/>
      <c r="D17" s="424"/>
      <c r="E17" s="424"/>
      <c r="F17" s="424"/>
      <c r="G17" s="424"/>
      <c r="H17" s="424"/>
      <c r="I17" s="424"/>
      <c r="J17" s="424"/>
      <c r="K17" s="424"/>
      <c r="L17" s="424"/>
      <c r="M17" s="424"/>
      <c r="N17" s="424"/>
      <c r="O17" s="424"/>
    </row>
    <row r="18" spans="1:15" ht="21">
      <c r="B18" s="784" t="s">
        <v>759</v>
      </c>
      <c r="C18" s="785"/>
      <c r="D18" s="786"/>
      <c r="E18" s="784" t="s">
        <v>669</v>
      </c>
      <c r="F18" s="785"/>
      <c r="G18" s="785"/>
      <c r="H18" s="785"/>
      <c r="I18" s="786"/>
      <c r="J18" s="784" t="s">
        <v>668</v>
      </c>
      <c r="K18" s="785"/>
      <c r="L18" s="786"/>
      <c r="M18" s="784" t="s">
        <v>758</v>
      </c>
      <c r="N18" s="785"/>
      <c r="O18" s="786"/>
    </row>
    <row r="19" spans="1:15" ht="79.5" customHeight="1">
      <c r="B19" s="769" t="str">
        <f>+'Ввод данных'!A86</f>
        <v>M1: Статус Предварительных условий (ПУ) и Действий с установленным сроком исполнения (ДУС)</v>
      </c>
      <c r="C19" s="770"/>
      <c r="D19" s="771"/>
      <c r="E19" s="1018" t="s">
        <v>757</v>
      </c>
      <c r="F19" s="788"/>
      <c r="G19" s="788"/>
      <c r="H19" s="788"/>
      <c r="I19" s="789"/>
      <c r="J19" s="772" t="s">
        <v>756</v>
      </c>
      <c r="K19" s="773"/>
      <c r="L19" s="774"/>
      <c r="M19" s="772" t="s">
        <v>755</v>
      </c>
      <c r="N19" s="773"/>
      <c r="O19" s="774"/>
    </row>
    <row r="20" spans="1:15" ht="82.5" customHeight="1">
      <c r="B20" s="800" t="str">
        <f>+'Ввод данных'!A95</f>
        <v>M2: Статус ключевых руководящих должностей в структуре ОР</v>
      </c>
      <c r="C20" s="804"/>
      <c r="D20" s="805"/>
      <c r="E20" s="1018" t="s">
        <v>754</v>
      </c>
      <c r="F20" s="776"/>
      <c r="G20" s="776"/>
      <c r="H20" s="776"/>
      <c r="I20" s="777"/>
      <c r="J20" s="772" t="s">
        <v>753</v>
      </c>
      <c r="K20" s="773"/>
      <c r="L20" s="774"/>
      <c r="M20" s="772" t="s">
        <v>752</v>
      </c>
      <c r="N20" s="773"/>
      <c r="O20" s="774"/>
    </row>
    <row r="21" spans="1:15" ht="148.5" customHeight="1">
      <c r="B21" s="769" t="str">
        <f>+'Ввод данных'!A102</f>
        <v xml:space="preserve">M3: Контрактные соглашения (СР) </v>
      </c>
      <c r="C21" s="770"/>
      <c r="D21" s="771"/>
      <c r="E21" s="772" t="s">
        <v>751</v>
      </c>
      <c r="F21" s="776"/>
      <c r="G21" s="776"/>
      <c r="H21" s="776"/>
      <c r="I21" s="777"/>
      <c r="J21" s="772" t="s">
        <v>750</v>
      </c>
      <c r="K21" s="773"/>
      <c r="L21" s="774"/>
      <c r="M21" s="772" t="s">
        <v>749</v>
      </c>
      <c r="N21" s="773"/>
      <c r="O21" s="774"/>
    </row>
    <row r="22" spans="1:15" ht="57.75" customHeight="1">
      <c r="B22" s="769" t="str">
        <f>+'Ввод данных'!A108</f>
        <v>M4: Количество полных отчетов, полученных к установленному сроку</v>
      </c>
      <c r="C22" s="770"/>
      <c r="D22" s="771"/>
      <c r="E22" s="772" t="s">
        <v>748</v>
      </c>
      <c r="F22" s="773"/>
      <c r="G22" s="773"/>
      <c r="H22" s="773"/>
      <c r="I22" s="774"/>
      <c r="J22" s="772" t="s">
        <v>747</v>
      </c>
      <c r="K22" s="773"/>
      <c r="L22" s="774"/>
      <c r="M22" s="772" t="s">
        <v>746</v>
      </c>
      <c r="N22" s="773"/>
      <c r="O22" s="774"/>
    </row>
    <row r="23" spans="1:15" ht="157.5" customHeight="1">
      <c r="B23" s="822" t="str">
        <f>'Ввод данных'!A116</f>
        <v>M5: Бюджет и закупки товаров медицинского назначения, медицинского оборудования,  лекарственных средств и фармацевтических препаратов</v>
      </c>
      <c r="C23" s="823"/>
      <c r="D23" s="824"/>
      <c r="E23" s="806" t="s">
        <v>745</v>
      </c>
      <c r="F23" s="807"/>
      <c r="G23" s="807"/>
      <c r="H23" s="807"/>
      <c r="I23" s="808"/>
      <c r="J23" s="763" t="s">
        <v>744</v>
      </c>
      <c r="K23" s="764"/>
      <c r="L23" s="765"/>
      <c r="M23" s="763" t="s">
        <v>743</v>
      </c>
      <c r="N23" s="764"/>
      <c r="O23" s="765"/>
    </row>
    <row r="24" spans="1:15" ht="72.75" customHeight="1">
      <c r="B24" s="825"/>
      <c r="C24" s="826"/>
      <c r="D24" s="827"/>
      <c r="E24" s="1022" t="s">
        <v>742</v>
      </c>
      <c r="F24" s="820"/>
      <c r="G24" s="820"/>
      <c r="H24" s="820"/>
      <c r="I24" s="821"/>
      <c r="J24" s="766"/>
      <c r="K24" s="767"/>
      <c r="L24" s="768"/>
      <c r="M24" s="766"/>
      <c r="N24" s="767"/>
      <c r="O24" s="768"/>
    </row>
    <row r="25" spans="1:15" ht="173.25" customHeight="1">
      <c r="B25" s="769" t="str">
        <f>+'Ввод данных'!A129</f>
        <v>M6: Разница между текущим и резервным запасами</v>
      </c>
      <c r="C25" s="770"/>
      <c r="D25" s="771"/>
      <c r="E25" s="781" t="s">
        <v>741</v>
      </c>
      <c r="F25" s="817"/>
      <c r="G25" s="817"/>
      <c r="H25" s="817"/>
      <c r="I25" s="818"/>
      <c r="J25" s="781" t="s">
        <v>740</v>
      </c>
      <c r="K25" s="782"/>
      <c r="L25" s="783"/>
      <c r="M25" s="778" t="s">
        <v>739</v>
      </c>
      <c r="N25" s="779"/>
      <c r="O25" s="780"/>
    </row>
    <row r="27" spans="1:15" hidden="1"/>
    <row r="29" spans="1:15" ht="18.5" hidden="1">
      <c r="B29" s="121"/>
    </row>
    <row r="30" spans="1:15" ht="23.5">
      <c r="B30" s="791" t="s">
        <v>738</v>
      </c>
      <c r="C30" s="791"/>
      <c r="D30" s="791"/>
      <c r="E30" s="791"/>
      <c r="F30" s="791"/>
      <c r="G30" s="791"/>
      <c r="H30" s="791"/>
      <c r="I30" s="791"/>
      <c r="J30" s="791"/>
      <c r="K30" s="791"/>
      <c r="L30" s="791"/>
      <c r="M30" s="791"/>
      <c r="N30" s="791"/>
      <c r="O30" s="791"/>
    </row>
    <row r="32" spans="1:15" ht="28.5" customHeight="1">
      <c r="A32" s="19"/>
      <c r="B32" s="809" t="s">
        <v>737</v>
      </c>
      <c r="C32" s="810"/>
      <c r="D32" s="811"/>
      <c r="E32" s="812" t="s">
        <v>694</v>
      </c>
      <c r="F32" s="813"/>
      <c r="G32" s="813"/>
      <c r="H32" s="813"/>
      <c r="I32" s="814"/>
      <c r="J32" s="812" t="s">
        <v>668</v>
      </c>
      <c r="K32" s="813"/>
      <c r="L32" s="814"/>
      <c r="M32" s="812" t="s">
        <v>667</v>
      </c>
      <c r="N32" s="813"/>
      <c r="O32" s="814"/>
    </row>
    <row r="33" spans="1:19" ht="101.25" customHeight="1">
      <c r="A33" s="19"/>
      <c r="B33" s="723" t="s">
        <v>736</v>
      </c>
      <c r="C33" s="724"/>
      <c r="D33" s="725"/>
      <c r="E33" s="732" t="s">
        <v>735</v>
      </c>
      <c r="F33" s="737"/>
      <c r="G33" s="737"/>
      <c r="H33" s="737"/>
      <c r="I33" s="738"/>
      <c r="J33" s="720" t="s">
        <v>734</v>
      </c>
      <c r="K33" s="721"/>
      <c r="L33" s="722"/>
      <c r="M33" s="720" t="s">
        <v>704</v>
      </c>
      <c r="N33" s="721"/>
      <c r="O33" s="722"/>
    </row>
    <row r="34" spans="1:19" ht="61.5" customHeight="1">
      <c r="A34" s="19"/>
      <c r="B34" s="844" t="s">
        <v>733</v>
      </c>
      <c r="C34" s="844"/>
      <c r="D34" s="844"/>
      <c r="E34" s="845" t="s">
        <v>732</v>
      </c>
      <c r="F34" s="846"/>
      <c r="G34" s="846"/>
      <c r="H34" s="846"/>
      <c r="I34" s="847"/>
      <c r="J34" s="720" t="s">
        <v>731</v>
      </c>
      <c r="K34" s="721"/>
      <c r="L34" s="722"/>
      <c r="M34" s="720" t="s">
        <v>700</v>
      </c>
      <c r="N34" s="721"/>
      <c r="O34" s="722"/>
    </row>
    <row r="35" spans="1:19" ht="90" customHeight="1">
      <c r="A35" s="19"/>
      <c r="B35" s="729" t="s">
        <v>730</v>
      </c>
      <c r="C35" s="735"/>
      <c r="D35" s="736"/>
      <c r="E35" s="732" t="s">
        <v>729</v>
      </c>
      <c r="F35" s="737"/>
      <c r="G35" s="737"/>
      <c r="H35" s="737"/>
      <c r="I35" s="738"/>
      <c r="J35" s="720" t="s">
        <v>728</v>
      </c>
      <c r="K35" s="721"/>
      <c r="L35" s="722"/>
      <c r="M35" s="720" t="s">
        <v>700</v>
      </c>
      <c r="N35" s="721"/>
      <c r="O35" s="722"/>
    </row>
    <row r="36" spans="1:19" ht="157.5" customHeight="1">
      <c r="A36" s="19"/>
      <c r="B36" s="831" t="s">
        <v>727</v>
      </c>
      <c r="C36" s="832"/>
      <c r="D36" s="833"/>
      <c r="E36" s="720" t="s">
        <v>726</v>
      </c>
      <c r="F36" s="721"/>
      <c r="G36" s="721"/>
      <c r="H36" s="721"/>
      <c r="I36" s="722"/>
      <c r="J36" s="720" t="s">
        <v>725</v>
      </c>
      <c r="K36" s="721"/>
      <c r="L36" s="722"/>
      <c r="M36" s="720" t="s">
        <v>724</v>
      </c>
      <c r="N36" s="721"/>
      <c r="O36" s="722"/>
      <c r="Q36" s="717"/>
      <c r="R36" s="718"/>
      <c r="S36" s="719"/>
    </row>
    <row r="37" spans="1:19" ht="108.75" customHeight="1">
      <c r="A37" s="19"/>
      <c r="B37" s="723" t="s">
        <v>723</v>
      </c>
      <c r="C37" s="724"/>
      <c r="D37" s="725"/>
      <c r="E37" s="732" t="s">
        <v>722</v>
      </c>
      <c r="F37" s="733"/>
      <c r="G37" s="733"/>
      <c r="H37" s="733"/>
      <c r="I37" s="734"/>
      <c r="J37" s="720" t="s">
        <v>721</v>
      </c>
      <c r="K37" s="721"/>
      <c r="L37" s="722"/>
      <c r="M37" s="720" t="s">
        <v>704</v>
      </c>
      <c r="N37" s="721"/>
      <c r="O37" s="722"/>
    </row>
    <row r="38" spans="1:19" ht="90" customHeight="1">
      <c r="A38" s="19"/>
      <c r="B38" s="723" t="s">
        <v>720</v>
      </c>
      <c r="C38" s="724"/>
      <c r="D38" s="725"/>
      <c r="E38" s="834" t="s">
        <v>719</v>
      </c>
      <c r="F38" s="835"/>
      <c r="G38" s="835"/>
      <c r="H38" s="835"/>
      <c r="I38" s="836"/>
      <c r="J38" s="720" t="s">
        <v>718</v>
      </c>
      <c r="K38" s="721"/>
      <c r="L38" s="722"/>
      <c r="M38" s="720" t="s">
        <v>704</v>
      </c>
      <c r="N38" s="721"/>
      <c r="O38" s="722"/>
    </row>
    <row r="39" spans="1:19" ht="87" customHeight="1">
      <c r="A39" s="19"/>
      <c r="B39" s="723" t="s">
        <v>717</v>
      </c>
      <c r="C39" s="724"/>
      <c r="D39" s="725"/>
      <c r="E39" s="726" t="s">
        <v>716</v>
      </c>
      <c r="F39" s="727"/>
      <c r="G39" s="727"/>
      <c r="H39" s="727"/>
      <c r="I39" s="728"/>
      <c r="J39" s="720" t="s">
        <v>715</v>
      </c>
      <c r="K39" s="721"/>
      <c r="L39" s="722"/>
      <c r="M39" s="720" t="s">
        <v>714</v>
      </c>
      <c r="N39" s="721"/>
      <c r="O39" s="722"/>
    </row>
    <row r="40" spans="1:19" ht="101.15" customHeight="1">
      <c r="A40" s="19"/>
      <c r="B40" s="729" t="s">
        <v>713</v>
      </c>
      <c r="C40" s="730"/>
      <c r="D40" s="731"/>
      <c r="E40" s="732" t="s">
        <v>712</v>
      </c>
      <c r="F40" s="733"/>
      <c r="G40" s="733"/>
      <c r="H40" s="733"/>
      <c r="I40" s="734"/>
      <c r="J40" s="720" t="s">
        <v>711</v>
      </c>
      <c r="K40" s="721"/>
      <c r="L40" s="722"/>
      <c r="M40" s="720" t="s">
        <v>704</v>
      </c>
      <c r="N40" s="721"/>
      <c r="O40" s="722"/>
    </row>
    <row r="41" spans="1:19" ht="96" customHeight="1">
      <c r="A41" s="19"/>
      <c r="B41" s="729" t="s">
        <v>710</v>
      </c>
      <c r="C41" s="730"/>
      <c r="D41" s="731"/>
      <c r="E41" s="732" t="s">
        <v>709</v>
      </c>
      <c r="F41" s="733"/>
      <c r="G41" s="733"/>
      <c r="H41" s="733"/>
      <c r="I41" s="734"/>
      <c r="J41" s="720" t="s">
        <v>708</v>
      </c>
      <c r="K41" s="721"/>
      <c r="L41" s="722"/>
      <c r="M41" s="720" t="s">
        <v>704</v>
      </c>
      <c r="N41" s="721"/>
      <c r="O41" s="722"/>
    </row>
    <row r="42" spans="1:19" ht="102.65" customHeight="1">
      <c r="A42" s="19"/>
      <c r="B42" s="729" t="s">
        <v>707</v>
      </c>
      <c r="C42" s="735"/>
      <c r="D42" s="736"/>
      <c r="E42" s="732" t="s">
        <v>706</v>
      </c>
      <c r="F42" s="733"/>
      <c r="G42" s="733"/>
      <c r="H42" s="733"/>
      <c r="I42" s="734"/>
      <c r="J42" s="720" t="s">
        <v>705</v>
      </c>
      <c r="K42" s="721"/>
      <c r="L42" s="722"/>
      <c r="M42" s="720" t="s">
        <v>704</v>
      </c>
      <c r="N42" s="721"/>
      <c r="O42" s="722"/>
    </row>
    <row r="43" spans="1:19" ht="203.25" customHeight="1">
      <c r="A43" s="19"/>
      <c r="B43" s="729" t="s">
        <v>703</v>
      </c>
      <c r="C43" s="735"/>
      <c r="D43" s="736"/>
      <c r="E43" s="732" t="s">
        <v>702</v>
      </c>
      <c r="F43" s="733"/>
      <c r="G43" s="733"/>
      <c r="H43" s="733"/>
      <c r="I43" s="734"/>
      <c r="J43" s="720" t="s">
        <v>701</v>
      </c>
      <c r="K43" s="721"/>
      <c r="L43" s="722"/>
      <c r="M43" s="720" t="s">
        <v>700</v>
      </c>
      <c r="N43" s="721"/>
      <c r="O43" s="722"/>
    </row>
    <row r="44" spans="1:19" ht="84.75" customHeight="1">
      <c r="A44" s="19"/>
      <c r="B44" s="729" t="s">
        <v>699</v>
      </c>
      <c r="C44" s="735"/>
      <c r="D44" s="736"/>
      <c r="E44" s="732" t="s">
        <v>698</v>
      </c>
      <c r="F44" s="737"/>
      <c r="G44" s="737"/>
      <c r="H44" s="737"/>
      <c r="I44" s="738"/>
      <c r="J44" s="720" t="s">
        <v>697</v>
      </c>
      <c r="K44" s="721"/>
      <c r="L44" s="722"/>
      <c r="M44" s="720" t="s">
        <v>696</v>
      </c>
      <c r="N44" s="721"/>
      <c r="O44" s="722"/>
    </row>
    <row r="45" spans="1:19" ht="27" customHeight="1">
      <c r="A45" s="19"/>
      <c r="B45" s="739" t="s">
        <v>695</v>
      </c>
      <c r="C45" s="740"/>
      <c r="D45" s="741"/>
      <c r="E45" s="742" t="s">
        <v>694</v>
      </c>
      <c r="F45" s="743"/>
      <c r="G45" s="743"/>
      <c r="H45" s="743"/>
      <c r="I45" s="744"/>
      <c r="J45" s="742" t="s">
        <v>693</v>
      </c>
      <c r="K45" s="743"/>
      <c r="L45" s="744"/>
      <c r="M45" s="742" t="s">
        <v>667</v>
      </c>
      <c r="N45" s="743"/>
      <c r="O45" s="744"/>
    </row>
    <row r="46" spans="1:19" ht="93.4" customHeight="1">
      <c r="A46" s="19"/>
      <c r="B46" s="748" t="s">
        <v>692</v>
      </c>
      <c r="C46" s="749"/>
      <c r="D46" s="750"/>
      <c r="E46" s="720" t="s">
        <v>691</v>
      </c>
      <c r="F46" s="752"/>
      <c r="G46" s="752"/>
      <c r="H46" s="752"/>
      <c r="I46" s="753"/>
      <c r="J46" s="720" t="s">
        <v>690</v>
      </c>
      <c r="K46" s="721"/>
      <c r="L46" s="722"/>
      <c r="M46" s="720" t="s">
        <v>689</v>
      </c>
      <c r="N46" s="721"/>
      <c r="O46" s="722"/>
    </row>
    <row r="47" spans="1:19" ht="79.150000000000006" customHeight="1">
      <c r="A47" s="19"/>
      <c r="B47" s="748" t="s">
        <v>688</v>
      </c>
      <c r="C47" s="749"/>
      <c r="D47" s="750"/>
      <c r="E47" s="720" t="s">
        <v>687</v>
      </c>
      <c r="F47" s="752"/>
      <c r="G47" s="752"/>
      <c r="H47" s="752"/>
      <c r="I47" s="753"/>
      <c r="J47" s="720" t="s">
        <v>683</v>
      </c>
      <c r="K47" s="721"/>
      <c r="L47" s="722"/>
      <c r="M47" s="720" t="s">
        <v>686</v>
      </c>
      <c r="N47" s="721"/>
      <c r="O47" s="722"/>
    </row>
    <row r="48" spans="1:19" ht="69" customHeight="1">
      <c r="A48" s="19"/>
      <c r="B48" s="751" t="s">
        <v>685</v>
      </c>
      <c r="C48" s="752"/>
      <c r="D48" s="753"/>
      <c r="E48" s="720" t="s">
        <v>684</v>
      </c>
      <c r="F48" s="721"/>
      <c r="G48" s="721"/>
      <c r="H48" s="721"/>
      <c r="I48" s="722"/>
      <c r="J48" s="720" t="s">
        <v>683</v>
      </c>
      <c r="K48" s="721"/>
      <c r="L48" s="722"/>
      <c r="M48" s="720" t="s">
        <v>682</v>
      </c>
      <c r="N48" s="721"/>
      <c r="O48" s="722"/>
    </row>
    <row r="49" spans="1:15" ht="106.9" customHeight="1">
      <c r="A49" s="19"/>
      <c r="B49" s="751" t="s">
        <v>681</v>
      </c>
      <c r="C49" s="752"/>
      <c r="D49" s="753"/>
      <c r="E49" s="720" t="s">
        <v>680</v>
      </c>
      <c r="F49" s="721"/>
      <c r="G49" s="721"/>
      <c r="H49" s="721"/>
      <c r="I49" s="722"/>
      <c r="J49" s="720" t="s">
        <v>679</v>
      </c>
      <c r="K49" s="721"/>
      <c r="L49" s="722"/>
      <c r="M49" s="720" t="s">
        <v>678</v>
      </c>
      <c r="N49" s="721"/>
      <c r="O49" s="722"/>
    </row>
    <row r="50" spans="1:15" ht="142.5" customHeight="1">
      <c r="A50" s="19"/>
      <c r="B50" s="751" t="s">
        <v>677</v>
      </c>
      <c r="C50" s="752"/>
      <c r="D50" s="753"/>
      <c r="E50" s="754" t="s">
        <v>676</v>
      </c>
      <c r="F50" s="755"/>
      <c r="G50" s="755"/>
      <c r="H50" s="755"/>
      <c r="I50" s="756"/>
      <c r="J50" s="837" t="s">
        <v>675</v>
      </c>
      <c r="K50" s="838"/>
      <c r="L50" s="839"/>
      <c r="M50" s="720" t="s">
        <v>674</v>
      </c>
      <c r="N50" s="721"/>
      <c r="O50" s="722"/>
    </row>
    <row r="51" spans="1:15" ht="183.4" customHeight="1">
      <c r="A51" s="19"/>
      <c r="B51" s="751" t="s">
        <v>673</v>
      </c>
      <c r="C51" s="752"/>
      <c r="D51" s="753"/>
      <c r="E51" s="720" t="s">
        <v>672</v>
      </c>
      <c r="F51" s="721"/>
      <c r="G51" s="721"/>
      <c r="H51" s="721"/>
      <c r="I51" s="722"/>
      <c r="J51" s="720"/>
      <c r="K51" s="721"/>
      <c r="L51" s="722"/>
      <c r="M51" s="720" t="s">
        <v>671</v>
      </c>
      <c r="N51" s="721"/>
      <c r="O51" s="722"/>
    </row>
    <row r="52" spans="1:15" ht="2.25" hidden="1" customHeight="1">
      <c r="A52" s="19"/>
      <c r="B52" s="828"/>
      <c r="C52" s="829"/>
      <c r="D52" s="830"/>
      <c r="E52" s="720"/>
      <c r="F52" s="721"/>
      <c r="G52" s="721"/>
      <c r="H52" s="721"/>
      <c r="I52" s="722"/>
      <c r="J52" s="720"/>
      <c r="K52" s="721"/>
      <c r="L52" s="722"/>
      <c r="M52" s="720"/>
      <c r="N52" s="721"/>
      <c r="O52" s="722"/>
    </row>
    <row r="53" spans="1:15" ht="27" customHeight="1">
      <c r="A53" s="19"/>
      <c r="B53" s="828"/>
      <c r="C53" s="829"/>
      <c r="D53" s="830"/>
      <c r="E53" s="732"/>
      <c r="F53" s="737"/>
      <c r="G53" s="737"/>
      <c r="H53" s="737"/>
      <c r="I53" s="738"/>
      <c r="J53" s="720"/>
      <c r="K53" s="721"/>
      <c r="L53" s="722"/>
      <c r="M53" s="720"/>
      <c r="N53" s="721"/>
      <c r="O53" s="722"/>
    </row>
    <row r="54" spans="1:15" ht="14.25" customHeight="1">
      <c r="A54" s="19"/>
      <c r="B54" s="828"/>
      <c r="C54" s="851"/>
      <c r="D54" s="852"/>
      <c r="E54" s="732"/>
      <c r="F54" s="840"/>
      <c r="G54" s="840"/>
      <c r="H54" s="840"/>
      <c r="I54" s="841"/>
      <c r="J54" s="720"/>
      <c r="K54" s="842"/>
      <c r="L54" s="843"/>
      <c r="M54" s="425"/>
      <c r="N54" s="426"/>
      <c r="O54" s="427"/>
    </row>
    <row r="55" spans="1:15" ht="119.25" hidden="1" customHeight="1">
      <c r="A55" s="19"/>
      <c r="B55" s="828"/>
      <c r="C55" s="851"/>
      <c r="D55" s="852"/>
      <c r="E55" s="732"/>
      <c r="F55" s="840"/>
      <c r="G55" s="840"/>
      <c r="H55" s="840"/>
      <c r="I55" s="841"/>
      <c r="J55" s="720"/>
      <c r="K55" s="842"/>
      <c r="L55" s="843"/>
      <c r="M55" s="720"/>
      <c r="N55" s="842"/>
      <c r="O55" s="843"/>
    </row>
    <row r="56" spans="1:15" ht="88.5" hidden="1" customHeight="1">
      <c r="A56" s="19"/>
      <c r="B56" s="828"/>
      <c r="C56" s="851"/>
      <c r="D56" s="852"/>
      <c r="E56" s="732"/>
      <c r="F56" s="840"/>
      <c r="G56" s="840"/>
      <c r="H56" s="840"/>
      <c r="I56" s="841"/>
      <c r="J56" s="720"/>
      <c r="K56" s="842"/>
      <c r="L56" s="843"/>
      <c r="M56" s="425"/>
      <c r="N56" s="426"/>
      <c r="O56" s="427"/>
    </row>
    <row r="57" spans="1:15" ht="30" customHeight="1">
      <c r="B57" s="745" t="s">
        <v>670</v>
      </c>
      <c r="C57" s="746"/>
      <c r="D57" s="747"/>
      <c r="E57" s="742" t="s">
        <v>669</v>
      </c>
      <c r="F57" s="743"/>
      <c r="G57" s="743"/>
      <c r="H57" s="743"/>
      <c r="I57" s="744"/>
      <c r="J57" s="742" t="s">
        <v>668</v>
      </c>
      <c r="K57" s="743"/>
      <c r="L57" s="744"/>
      <c r="M57" s="742" t="s">
        <v>667</v>
      </c>
      <c r="N57" s="743"/>
      <c r="O57" s="744"/>
    </row>
    <row r="58" spans="1:15" ht="33.75" customHeight="1">
      <c r="B58" s="428"/>
      <c r="C58" s="423"/>
      <c r="D58" s="423"/>
      <c r="E58" s="429"/>
      <c r="F58" s="430"/>
      <c r="G58" s="430"/>
      <c r="H58" s="430"/>
      <c r="I58" s="430"/>
      <c r="J58" s="429"/>
      <c r="K58" s="429"/>
      <c r="L58" s="431"/>
      <c r="M58" s="432"/>
      <c r="N58" s="429"/>
      <c r="O58" s="431"/>
    </row>
    <row r="59" spans="1:15" ht="15.75" customHeight="1">
      <c r="B59" s="853" t="s">
        <v>666</v>
      </c>
      <c r="C59" s="854"/>
      <c r="D59" s="854"/>
      <c r="E59" s="854"/>
      <c r="F59" s="854"/>
      <c r="G59" s="854"/>
      <c r="H59" s="854"/>
      <c r="I59" s="854"/>
      <c r="J59" s="854"/>
      <c r="K59" s="854"/>
      <c r="L59" s="855"/>
      <c r="M59" s="848" t="s">
        <v>665</v>
      </c>
      <c r="N59" s="849"/>
      <c r="O59" s="850"/>
    </row>
    <row r="60" spans="1:15">
      <c r="D60" s="107"/>
    </row>
    <row r="62" spans="1:15">
      <c r="D62" s="107"/>
    </row>
    <row r="63" spans="1:15">
      <c r="D63" s="107"/>
    </row>
    <row r="76" spans="1:1">
      <c r="A76" s="109"/>
    </row>
  </sheetData>
  <mergeCells count="174">
    <mergeCell ref="B35:D35"/>
    <mergeCell ref="J51:L51"/>
    <mergeCell ref="B49:D49"/>
    <mergeCell ref="E49:I49"/>
    <mergeCell ref="J49:L49"/>
    <mergeCell ref="J44:L44"/>
    <mergeCell ref="J50:L50"/>
    <mergeCell ref="B46:D46"/>
    <mergeCell ref="J48:L48"/>
    <mergeCell ref="B43:D43"/>
    <mergeCell ref="E43:I43"/>
    <mergeCell ref="J43:L43"/>
    <mergeCell ref="E35:I35"/>
    <mergeCell ref="J35:L35"/>
    <mergeCell ref="B51:D51"/>
    <mergeCell ref="E51:I51"/>
    <mergeCell ref="M59:O59"/>
    <mergeCell ref="M57:O57"/>
    <mergeCell ref="J53:L53"/>
    <mergeCell ref="M52:O52"/>
    <mergeCell ref="J52:L52"/>
    <mergeCell ref="B57:D57"/>
    <mergeCell ref="M53:O53"/>
    <mergeCell ref="E57:I57"/>
    <mergeCell ref="J57:L57"/>
    <mergeCell ref="B54:D54"/>
    <mergeCell ref="E56:I56"/>
    <mergeCell ref="M55:O55"/>
    <mergeCell ref="E55:I55"/>
    <mergeCell ref="B55:D55"/>
    <mergeCell ref="B56:D56"/>
    <mergeCell ref="J56:L56"/>
    <mergeCell ref="E54:I54"/>
    <mergeCell ref="J54:L54"/>
    <mergeCell ref="J55:L55"/>
    <mergeCell ref="B59:L59"/>
    <mergeCell ref="B53:D53"/>
    <mergeCell ref="B52:D52"/>
    <mergeCell ref="E52:I52"/>
    <mergeCell ref="E53:I53"/>
    <mergeCell ref="J34:L34"/>
    <mergeCell ref="B20:D20"/>
    <mergeCell ref="E20:I20"/>
    <mergeCell ref="E25:I25"/>
    <mergeCell ref="E24:I24"/>
    <mergeCell ref="B22:D22"/>
    <mergeCell ref="B23:D24"/>
    <mergeCell ref="J13:L13"/>
    <mergeCell ref="E13:I13"/>
    <mergeCell ref="B34:D34"/>
    <mergeCell ref="E34:I34"/>
    <mergeCell ref="J20:L20"/>
    <mergeCell ref="J18:L18"/>
    <mergeCell ref="B16:O16"/>
    <mergeCell ref="J19:L19"/>
    <mergeCell ref="M15:O15"/>
    <mergeCell ref="M13:O13"/>
    <mergeCell ref="J14:L14"/>
    <mergeCell ref="M14:O14"/>
    <mergeCell ref="M23:O24"/>
    <mergeCell ref="B25:D25"/>
    <mergeCell ref="M21:O21"/>
    <mergeCell ref="B30:O30"/>
    <mergeCell ref="B32:D32"/>
    <mergeCell ref="E32:I32"/>
    <mergeCell ref="J32:L32"/>
    <mergeCell ref="M32:O32"/>
    <mergeCell ref="E33:I33"/>
    <mergeCell ref="B33:D33"/>
    <mergeCell ref="E23:I23"/>
    <mergeCell ref="E22:I22"/>
    <mergeCell ref="M33:O33"/>
    <mergeCell ref="J22:L22"/>
    <mergeCell ref="J33:L33"/>
    <mergeCell ref="B2:M2"/>
    <mergeCell ref="B5:O5"/>
    <mergeCell ref="M8:O8"/>
    <mergeCell ref="J8:L8"/>
    <mergeCell ref="E7:I7"/>
    <mergeCell ref="B7:D7"/>
    <mergeCell ref="E8:I8"/>
    <mergeCell ref="J7:L7"/>
    <mergeCell ref="M7:O7"/>
    <mergeCell ref="B8:D8"/>
    <mergeCell ref="M20:O20"/>
    <mergeCell ref="E15:I15"/>
    <mergeCell ref="B15:D15"/>
    <mergeCell ref="B13:D13"/>
    <mergeCell ref="B12:D12"/>
    <mergeCell ref="J11:L11"/>
    <mergeCell ref="E14:I14"/>
    <mergeCell ref="M9:O9"/>
    <mergeCell ref="B9:D9"/>
    <mergeCell ref="E9:I9"/>
    <mergeCell ref="M18:O18"/>
    <mergeCell ref="M34:O34"/>
    <mergeCell ref="J9:L9"/>
    <mergeCell ref="J10:L10"/>
    <mergeCell ref="E10:I10"/>
    <mergeCell ref="M10:O10"/>
    <mergeCell ref="B10:D10"/>
    <mergeCell ref="M11:O11"/>
    <mergeCell ref="J12:L12"/>
    <mergeCell ref="M12:O12"/>
    <mergeCell ref="E12:I12"/>
    <mergeCell ref="B11:D11"/>
    <mergeCell ref="E11:I11"/>
    <mergeCell ref="B18:D18"/>
    <mergeCell ref="B19:D19"/>
    <mergeCell ref="B14:D14"/>
    <mergeCell ref="J21:L21"/>
    <mergeCell ref="E18:I18"/>
    <mergeCell ref="J15:L15"/>
    <mergeCell ref="E19:I19"/>
    <mergeCell ref="M22:O22"/>
    <mergeCell ref="B21:D21"/>
    <mergeCell ref="E21:I21"/>
    <mergeCell ref="M19:O19"/>
    <mergeCell ref="J23:L24"/>
    <mergeCell ref="M51:O51"/>
    <mergeCell ref="B45:D45"/>
    <mergeCell ref="E45:I45"/>
    <mergeCell ref="J45:L45"/>
    <mergeCell ref="M45:O45"/>
    <mergeCell ref="M46:O46"/>
    <mergeCell ref="B47:D47"/>
    <mergeCell ref="M25:O25"/>
    <mergeCell ref="J25:L25"/>
    <mergeCell ref="E46:I46"/>
    <mergeCell ref="J46:L46"/>
    <mergeCell ref="M35:O35"/>
    <mergeCell ref="M47:O47"/>
    <mergeCell ref="B48:D48"/>
    <mergeCell ref="E47:I47"/>
    <mergeCell ref="J47:L47"/>
    <mergeCell ref="E48:I48"/>
    <mergeCell ref="M48:O48"/>
    <mergeCell ref="M50:O50"/>
    <mergeCell ref="B50:D50"/>
    <mergeCell ref="E50:I50"/>
    <mergeCell ref="M49:O49"/>
    <mergeCell ref="M44:O44"/>
    <mergeCell ref="M38:O38"/>
    <mergeCell ref="B42:D42"/>
    <mergeCell ref="M42:O42"/>
    <mergeCell ref="M43:O43"/>
    <mergeCell ref="B44:D44"/>
    <mergeCell ref="E44:I44"/>
    <mergeCell ref="J41:L41"/>
    <mergeCell ref="M41:O41"/>
    <mergeCell ref="B39:D39"/>
    <mergeCell ref="E39:I39"/>
    <mergeCell ref="J39:L39"/>
    <mergeCell ref="M39:O39"/>
    <mergeCell ref="M40:O40"/>
    <mergeCell ref="B41:D41"/>
    <mergeCell ref="E41:I41"/>
    <mergeCell ref="E42:I42"/>
    <mergeCell ref="J42:L42"/>
    <mergeCell ref="B37:D37"/>
    <mergeCell ref="E37:I37"/>
    <mergeCell ref="J37:L37"/>
    <mergeCell ref="B40:D40"/>
    <mergeCell ref="E40:I40"/>
    <mergeCell ref="J40:L40"/>
    <mergeCell ref="M37:O37"/>
    <mergeCell ref="Q36:S36"/>
    <mergeCell ref="M36:O36"/>
    <mergeCell ref="B36:D36"/>
    <mergeCell ref="E36:I36"/>
    <mergeCell ref="J36:L36"/>
    <mergeCell ref="B38:D38"/>
    <mergeCell ref="E38:I38"/>
    <mergeCell ref="J38:L38"/>
  </mergeCells>
  <pageMargins left="0.70866141732283472" right="0.70866141732283472" top="0.74803149606299213" bottom="0.74803149606299213" header="0.31496062992125984" footer="0.31496062992125984"/>
  <pageSetup paperSize="8" orientation="landscape" r:id="rId1"/>
  <headerFooter alignWithMargins="0">
    <oddFooter>&amp;L&amp;F&amp;C&amp;A&amp;RV1.0          &amp;D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41F1-1F19-40C5-975C-D3BEB582AAFD}">
  <sheetPr>
    <tabColor indexed="51"/>
  </sheetPr>
  <dimension ref="A1:X17"/>
  <sheetViews>
    <sheetView showGridLines="0" zoomScale="90" zoomScaleNormal="110" zoomScaleSheetLayoutView="100" workbookViewId="0">
      <selection activeCell="I11" sqref="I11:J11"/>
    </sheetView>
  </sheetViews>
  <sheetFormatPr defaultColWidth="11.453125" defaultRowHeight="14.5"/>
  <cols>
    <col min="1" max="1" width="21.26953125" customWidth="1"/>
    <col min="2" max="2" width="19.54296875" customWidth="1"/>
    <col min="3" max="3" width="20.54296875" customWidth="1"/>
    <col min="4" max="4" width="20.453125" customWidth="1"/>
    <col min="5" max="5" width="10.7265625" customWidth="1"/>
    <col min="6" max="6" width="17.453125" customWidth="1"/>
    <col min="7" max="7" width="15.54296875" customWidth="1"/>
    <col min="8" max="8" width="20.26953125" bestFit="1" customWidth="1"/>
    <col min="9" max="9" width="9.453125" customWidth="1"/>
    <col min="10" max="10" width="10.26953125" customWidth="1"/>
    <col min="11" max="11" width="11.453125" customWidth="1"/>
    <col min="12" max="12" width="8.26953125" customWidth="1"/>
    <col min="13" max="13" width="9.7265625" customWidth="1"/>
    <col min="14" max="14" width="8.54296875" customWidth="1"/>
    <col min="15" max="15" width="7.26953125" customWidth="1"/>
  </cols>
  <sheetData>
    <row r="1" spans="1:24" ht="21" customHeight="1">
      <c r="G1" s="130"/>
    </row>
    <row r="2" spans="1:24" ht="25.5" customHeight="1"/>
    <row r="3" spans="1:24" ht="36">
      <c r="B3" s="1028" t="str">
        <f>+"Панель показателей: "&amp;" "&amp;+IF('Ввод данных'!B4="Выберите","",'Ввод данных'!B4&amp;" - ")&amp;+IF('Ввод данных'!F6="Выберите","",'Ввод данных'!F6)</f>
        <v>Панель показателей:  Кыргызстан - ВИЧ/СПИД/ТБ</v>
      </c>
      <c r="C3" s="1028"/>
      <c r="D3" s="1028"/>
      <c r="E3" s="1028"/>
      <c r="F3" s="1028"/>
      <c r="G3" s="1028"/>
      <c r="H3" s="1028"/>
      <c r="I3" s="1028"/>
      <c r="J3" s="1028"/>
      <c r="K3" s="609"/>
      <c r="L3" s="609"/>
      <c r="M3" s="609"/>
      <c r="N3" s="3"/>
      <c r="O3" s="3"/>
      <c r="P3" s="3"/>
      <c r="Q3" s="3"/>
      <c r="R3" s="3"/>
      <c r="S3" s="3"/>
      <c r="T3" s="3"/>
    </row>
    <row r="4" spans="1:24" ht="15" customHeight="1">
      <c r="L4" s="3"/>
      <c r="M4" s="3"/>
      <c r="N4" s="3"/>
      <c r="O4" s="3"/>
      <c r="P4" s="3"/>
      <c r="Q4" s="3"/>
      <c r="R4" s="3"/>
      <c r="S4" s="3"/>
      <c r="T4" s="3"/>
    </row>
    <row r="5" spans="1:24">
      <c r="L5" s="3"/>
      <c r="M5" s="3"/>
      <c r="N5" s="3"/>
      <c r="O5" s="3"/>
      <c r="P5" s="3"/>
      <c r="Q5" s="3"/>
      <c r="R5" s="3"/>
      <c r="S5" s="3"/>
      <c r="T5" s="3"/>
    </row>
    <row r="6" spans="1:24" ht="32.25" customHeight="1">
      <c r="A6" s="608" t="s">
        <v>963</v>
      </c>
      <c r="B6" s="1029" t="str">
        <f>+IF('Ввод данных'!B4="Выберите","",'Ввод данных'!B4)</f>
        <v>Кыргызстан</v>
      </c>
      <c r="C6" s="1029"/>
      <c r="D6" s="1032" t="s">
        <v>962</v>
      </c>
      <c r="E6" s="1032"/>
      <c r="F6" s="1033" t="str">
        <f>+'Ввод данных'!F4</f>
        <v>«Эффективный контроль за ВИЧ-инфекцией и туберкулезом в Кыргызской Республике»</v>
      </c>
      <c r="G6" s="1033"/>
      <c r="H6" s="1033"/>
      <c r="I6" s="1033"/>
      <c r="J6" s="1033"/>
      <c r="K6" s="32"/>
      <c r="L6" s="52"/>
      <c r="M6" s="32"/>
      <c r="N6" s="32"/>
      <c r="O6" s="32"/>
      <c r="P6" s="33"/>
      <c r="Q6" s="12"/>
      <c r="R6" s="12"/>
      <c r="S6" s="12"/>
      <c r="T6" s="12"/>
      <c r="U6" s="12"/>
    </row>
    <row r="7" spans="1:24" ht="8.25" customHeight="1">
      <c r="B7" s="607"/>
      <c r="C7" s="605"/>
      <c r="D7" s="605"/>
      <c r="E7" s="606"/>
      <c r="F7" s="606"/>
      <c r="G7" s="605"/>
      <c r="H7" s="605"/>
      <c r="K7" s="32"/>
      <c r="L7" s="32"/>
      <c r="M7" s="32"/>
      <c r="N7" s="32"/>
      <c r="O7" s="32"/>
      <c r="P7" s="33"/>
      <c r="Q7" s="12"/>
      <c r="R7" s="12"/>
      <c r="S7" s="12"/>
      <c r="T7" s="12"/>
      <c r="U7" s="12"/>
    </row>
    <row r="8" spans="1:24" ht="3.75" customHeight="1">
      <c r="C8" s="600"/>
      <c r="D8" s="600"/>
      <c r="E8" s="600"/>
      <c r="F8" s="600"/>
      <c r="G8" s="600"/>
      <c r="H8" s="600"/>
      <c r="I8" s="600"/>
      <c r="J8" s="600"/>
      <c r="K8" s="32"/>
      <c r="L8" s="32"/>
      <c r="M8" s="32"/>
      <c r="N8" s="32"/>
      <c r="O8" s="34"/>
      <c r="P8" s="33"/>
      <c r="Q8" s="34"/>
      <c r="R8" s="35"/>
      <c r="S8" s="12"/>
      <c r="T8" s="12"/>
      <c r="U8" s="12"/>
    </row>
    <row r="9" spans="1:24" ht="15.5">
      <c r="A9" s="596" t="s">
        <v>959</v>
      </c>
      <c r="B9" s="604" t="str">
        <f>+IF('Ввод данных'!F6="Please Select","",'Ввод данных'!F6)</f>
        <v>ВИЧ/СПИД/ТБ</v>
      </c>
      <c r="C9" s="598" t="s">
        <v>971</v>
      </c>
      <c r="D9" s="603" t="str">
        <f>+'Ввод данных'!B6</f>
        <v>KGZ-C-UNDP</v>
      </c>
      <c r="E9" s="1031" t="s">
        <v>970</v>
      </c>
      <c r="F9" s="1031"/>
      <c r="G9" s="602">
        <f>+IF(ISBLANK('Ввод данных'!B10),"",'Ввод данных'!B10)</f>
        <v>44197</v>
      </c>
      <c r="H9" s="601" t="s">
        <v>969</v>
      </c>
      <c r="I9" s="1030" t="str">
        <f>+IF(ISBLANK('Ввод данных'!H6),"",'Ввод данных'!H6)</f>
        <v xml:space="preserve">34061297
</v>
      </c>
      <c r="J9" s="1030"/>
      <c r="K9" s="32"/>
      <c r="L9" s="32"/>
      <c r="M9" s="32"/>
      <c r="N9" s="32"/>
      <c r="O9" s="34"/>
      <c r="P9" s="33"/>
      <c r="Q9" s="34"/>
      <c r="R9" s="35"/>
      <c r="S9" s="12"/>
      <c r="T9" s="588"/>
      <c r="U9" s="588"/>
      <c r="V9" s="600"/>
      <c r="W9" s="600"/>
      <c r="X9" s="600"/>
    </row>
    <row r="10" spans="1:24" ht="15.75" customHeight="1">
      <c r="A10" s="596" t="s">
        <v>956</v>
      </c>
      <c r="B10" s="599">
        <f>+IF('Ввод данных'!F8="Please Select","",'Ввод данных'!F8)</f>
        <v>0</v>
      </c>
      <c r="C10" s="598" t="s">
        <v>955</v>
      </c>
      <c r="D10" s="597">
        <f>+IF('Ввод данных'!H8="Please Select","",'Ввод данных'!H8)</f>
        <v>0</v>
      </c>
      <c r="E10" s="1024" t="s">
        <v>957</v>
      </c>
      <c r="F10" s="858"/>
      <c r="G10" s="1023" t="str">
        <f>+'Ввод данных'!B8</f>
        <v>ПРООН</v>
      </c>
      <c r="H10" s="1023"/>
      <c r="I10" s="1023"/>
      <c r="J10" s="1023"/>
      <c r="K10" s="12"/>
      <c r="L10" s="12"/>
      <c r="M10" s="32"/>
      <c r="N10" s="12"/>
      <c r="O10" s="34"/>
      <c r="P10" s="33"/>
      <c r="Q10" s="588"/>
      <c r="R10" s="35"/>
      <c r="S10" s="12"/>
      <c r="T10" s="588"/>
      <c r="U10" s="588"/>
    </row>
    <row r="11" spans="1:24" ht="31.5" customHeight="1">
      <c r="A11" s="596" t="s">
        <v>968</v>
      </c>
      <c r="B11" s="595" t="str">
        <f>+'Ввод данных'!B16</f>
        <v>P3</v>
      </c>
      <c r="C11" s="594" t="s">
        <v>948</v>
      </c>
      <c r="D11" s="593">
        <f>+IF(ISBLANK('Ввод данных'!D16),"",'Ввод данных'!D16)</f>
        <v>44927</v>
      </c>
      <c r="E11" s="1031" t="s">
        <v>51</v>
      </c>
      <c r="F11" s="1031"/>
      <c r="G11" s="593">
        <f>+IF(ISBLANK('Ввод данных'!F16),"",'Ввод данных'!F16)</f>
        <v>45291</v>
      </c>
      <c r="H11" s="592" t="s">
        <v>52</v>
      </c>
      <c r="I11" s="1025" t="str">
        <f>+IF('Ввод данных'!B12="Пожалуйста Выберите","",'Ввод данных'!B12)</f>
        <v>C</v>
      </c>
      <c r="J11" s="1025"/>
      <c r="K11" s="53"/>
      <c r="L11" s="12"/>
      <c r="M11" s="32"/>
      <c r="N11" s="12"/>
      <c r="O11" s="12"/>
      <c r="P11" s="33"/>
      <c r="Q11" s="588"/>
      <c r="R11" s="35"/>
      <c r="S11" s="12"/>
      <c r="T11" s="589"/>
      <c r="U11" s="588"/>
    </row>
    <row r="12" spans="1:24" ht="31.5" customHeight="1">
      <c r="A12" s="591" t="s">
        <v>953</v>
      </c>
      <c r="B12" s="1023" t="str">
        <f>+IF('Ввод данных'!F10="Пожалуйста Выберите","",'Ввод данных'!F10)</f>
        <v>UNOPS</v>
      </c>
      <c r="C12" s="1023"/>
      <c r="D12" s="1023"/>
      <c r="E12" s="1026" t="s">
        <v>967</v>
      </c>
      <c r="F12" s="1026"/>
      <c r="G12" s="1023" t="str">
        <f>+'Ввод данных'!F12</f>
        <v>Корина Максим</v>
      </c>
      <c r="H12" s="1023"/>
      <c r="I12" s="1023"/>
      <c r="J12" s="1023"/>
      <c r="K12" s="12"/>
      <c r="L12" s="12"/>
      <c r="M12" s="32"/>
      <c r="N12" s="12"/>
      <c r="O12" s="12"/>
      <c r="P12" s="33"/>
      <c r="Q12" s="588"/>
      <c r="R12" s="35"/>
      <c r="S12" s="12"/>
      <c r="T12" s="588"/>
      <c r="U12" s="590"/>
      <c r="V12" s="588"/>
      <c r="W12" s="589"/>
      <c r="X12" s="588"/>
    </row>
    <row r="13" spans="1:24" ht="27.75" customHeight="1">
      <c r="A13" s="587" t="s">
        <v>966</v>
      </c>
      <c r="B13" s="1023" t="str">
        <f>+'Ввод данных'!C18</f>
        <v>ПРООН</v>
      </c>
      <c r="C13" s="1023"/>
      <c r="D13" s="1023"/>
      <c r="E13" s="1026" t="s">
        <v>965</v>
      </c>
      <c r="F13" s="1026"/>
      <c r="G13" s="1027">
        <f>+IF(ISBLANK('Ввод данных'!I16),"",'Ввод данных'!I16)</f>
        <v>45484</v>
      </c>
      <c r="H13" s="858"/>
      <c r="I13" s="858"/>
      <c r="J13" s="858"/>
      <c r="K13" s="12"/>
      <c r="L13" s="586"/>
      <c r="M13" s="586"/>
      <c r="N13" s="586"/>
      <c r="O13" s="12"/>
      <c r="P13" s="586"/>
      <c r="Q13" s="586"/>
      <c r="R13" s="35"/>
      <c r="S13" s="12"/>
      <c r="T13" s="586"/>
      <c r="U13" s="585"/>
    </row>
    <row r="14" spans="1:24">
      <c r="A14" s="584"/>
      <c r="B14" s="584"/>
      <c r="C14" s="581"/>
      <c r="D14" s="581"/>
      <c r="E14" s="581"/>
      <c r="F14" s="581"/>
      <c r="L14" s="581"/>
      <c r="M14" s="581"/>
      <c r="N14" s="581"/>
      <c r="O14" s="581"/>
      <c r="P14" s="581"/>
      <c r="Q14" s="581"/>
      <c r="R14" s="581"/>
      <c r="S14" s="581"/>
      <c r="T14" s="581"/>
      <c r="U14" s="581"/>
    </row>
    <row r="15" spans="1:24">
      <c r="A15" s="581"/>
      <c r="B15" s="581"/>
      <c r="C15" s="581"/>
      <c r="D15" s="581"/>
      <c r="E15" s="581"/>
      <c r="F15" s="581"/>
      <c r="L15" s="581"/>
      <c r="M15" s="581"/>
      <c r="N15" s="581"/>
      <c r="O15" s="581"/>
      <c r="P15" s="581"/>
      <c r="Q15" s="581"/>
      <c r="R15" s="581"/>
      <c r="S15" s="581"/>
      <c r="T15" s="581"/>
      <c r="U15" s="581"/>
    </row>
    <row r="16" spans="1:24">
      <c r="A16" s="581"/>
      <c r="B16" s="581"/>
      <c r="C16" s="583"/>
      <c r="D16" s="581"/>
      <c r="E16" s="582"/>
      <c r="L16" s="581"/>
      <c r="M16" s="581"/>
      <c r="N16" s="581"/>
      <c r="O16" s="581"/>
      <c r="P16" s="581"/>
      <c r="Q16" s="581"/>
      <c r="R16" s="581"/>
      <c r="S16" s="581"/>
      <c r="T16" s="581"/>
      <c r="U16" s="581"/>
    </row>
    <row r="17" spans="1:5">
      <c r="A17" s="581"/>
      <c r="B17" s="581"/>
      <c r="C17" s="581"/>
      <c r="D17" s="581"/>
      <c r="E17" s="581"/>
    </row>
  </sheetData>
  <sheetProtection password="CFC9" sheet="1"/>
  <dataConsolidate/>
  <mergeCells count="16">
    <mergeCell ref="B3:J3"/>
    <mergeCell ref="B12:D12"/>
    <mergeCell ref="B6:C6"/>
    <mergeCell ref="I9:J9"/>
    <mergeCell ref="E11:F11"/>
    <mergeCell ref="E12:F12"/>
    <mergeCell ref="D6:E6"/>
    <mergeCell ref="F6:J6"/>
    <mergeCell ref="E9:F9"/>
    <mergeCell ref="G10:J10"/>
    <mergeCell ref="B13:D13"/>
    <mergeCell ref="E10:F10"/>
    <mergeCell ref="I11:J11"/>
    <mergeCell ref="G12:J12"/>
    <mergeCell ref="E13:F13"/>
    <mergeCell ref="G13:J13"/>
  </mergeCells>
  <conditionalFormatting sqref="I11:J11">
    <cfRule type="cellIs" dxfId="29" priority="1" stopIfTrue="1" operator="equal">
      <formula>"C"</formula>
    </cfRule>
    <cfRule type="cellIs" dxfId="28" priority="2" stopIfTrue="1" operator="equal">
      <formula>"B2"</formula>
    </cfRule>
    <cfRule type="cellIs" dxfId="27" priority="3" stopIfTrue="1" operator="equal">
      <formula>"B1"</formula>
    </cfRule>
  </conditionalFormatting>
  <dataValidations count="1">
    <dataValidation type="list" allowBlank="1" showInputMessage="1" showErrorMessage="1" sqref="G7" xr:uid="{00000000-0002-0000-0300-000000000000}">
      <formula1>$K$8:$K$9</formula1>
    </dataValidation>
  </dataValidations>
  <pageMargins left="0.70866141732283472" right="0.70866141732283472" top="0.74803149606299213" bottom="0.74803149606299213" header="0.31496062992125984" footer="0.31496062992125984"/>
  <pageSetup paperSize="8" scale="92" orientation="landscape" r:id="rId1"/>
  <headerFooter>
    <oddFooter>&amp;L&amp;F&amp;C&amp;A&amp;RV1.0          &amp;D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C5B-8B30-40A0-90F3-2FF7B9B81F04}">
  <sheetPr>
    <tabColor indexed="41"/>
  </sheetPr>
  <dimension ref="B1:Q36"/>
  <sheetViews>
    <sheetView showGridLines="0" zoomScale="110" zoomScaleNormal="110" workbookViewId="0">
      <selection activeCell="C4" sqref="C4:D4"/>
    </sheetView>
  </sheetViews>
  <sheetFormatPr defaultColWidth="11" defaultRowHeight="14.5"/>
  <cols>
    <col min="1" max="1" width="3.7265625" customWidth="1"/>
    <col min="2" max="2" width="11.7265625" customWidth="1"/>
    <col min="3" max="3" width="5.26953125" customWidth="1"/>
    <col min="4" max="4" width="12.453125" customWidth="1"/>
    <col min="5" max="5" width="11.453125" customWidth="1"/>
    <col min="6" max="6" width="14.26953125" customWidth="1"/>
    <col min="7" max="9" width="3.7265625" customWidth="1"/>
    <col min="10" max="10" width="10.26953125" customWidth="1"/>
    <col min="11" max="11" width="14.7265625" customWidth="1"/>
    <col min="12" max="12" width="12" customWidth="1"/>
    <col min="13" max="13" width="11.7265625" customWidth="1"/>
  </cols>
  <sheetData>
    <row r="1" spans="2:17" ht="30.75" customHeight="1"/>
    <row r="2" spans="2:17" ht="27.75" customHeight="1">
      <c r="B2" s="894" t="str">
        <f>+"Панель показателей:  "&amp;"  "&amp;IF(+'Ввод данных'!B4="Выберите","",'Ввод данных'!B4&amp;" - ")&amp;IF('Ввод данных'!F6="Выберите","",'Ввод данных'!F6)</f>
        <v>Панель показателей:    Кыргызстан - ВИЧ/СПИД/ТБ</v>
      </c>
      <c r="C2" s="894"/>
      <c r="D2" s="894"/>
      <c r="E2" s="894"/>
      <c r="F2" s="894"/>
      <c r="G2" s="894"/>
      <c r="H2" s="894"/>
      <c r="I2" s="894"/>
      <c r="J2" s="894"/>
      <c r="K2" s="894"/>
      <c r="L2" s="894"/>
      <c r="M2" s="894"/>
      <c r="N2" s="523"/>
      <c r="O2" s="523"/>
      <c r="P2" s="523"/>
      <c r="Q2" s="523"/>
    </row>
    <row r="3" spans="2:17">
      <c r="B3" s="198">
        <f>+IF('Ввод данных'!F8="Выберите","",'Ввод данных'!F8)</f>
        <v>0</v>
      </c>
      <c r="C3" s="886"/>
      <c r="D3" s="886"/>
      <c r="E3" s="885"/>
      <c r="F3" s="885"/>
      <c r="G3" s="885"/>
      <c r="H3" s="885"/>
      <c r="I3" s="885"/>
      <c r="J3" s="885"/>
      <c r="K3" s="883" t="str">
        <f>+'Ввод данных'!A16</f>
        <v>Отчетный период</v>
      </c>
      <c r="L3" s="883"/>
      <c r="M3" s="93" t="str">
        <f>+'Ввод данных'!B16</f>
        <v>P3</v>
      </c>
      <c r="N3" s="53"/>
    </row>
    <row r="4" spans="2:17" ht="22">
      <c r="B4" s="205" t="str">
        <f>+'Ввод данных'!A12</f>
        <v>Последняя оценка:</v>
      </c>
      <c r="C4" s="1034" t="str">
        <f>+IF('Ввод данных'!B12="Выберите","",'Ввод данных'!B12)</f>
        <v>C</v>
      </c>
      <c r="D4" s="1034"/>
      <c r="E4" s="885" t="str">
        <f>+'Ввод данных'!B8</f>
        <v>ПРООН</v>
      </c>
      <c r="F4" s="885"/>
      <c r="G4" s="885"/>
      <c r="H4" s="885"/>
      <c r="I4" s="885"/>
      <c r="J4" s="885"/>
      <c r="K4" s="883" t="str">
        <f>+'Ввод данных'!C16</f>
        <v>с:</v>
      </c>
      <c r="L4" s="884"/>
      <c r="M4" s="94">
        <f>+IF(ISBLANK('Ввод данных'!D16),"",'Ввод данных'!D16)</f>
        <v>44927</v>
      </c>
    </row>
    <row r="5" spans="2:17" ht="18.75" customHeight="1">
      <c r="B5" s="84"/>
      <c r="C5" s="84"/>
      <c r="D5" s="882" t="str">
        <f>+'Ввод данных'!F4</f>
        <v>«Эффективный контроль за ВИЧ-инфекцией и туберкулезом в Кыргызской Республике»</v>
      </c>
      <c r="E5" s="882"/>
      <c r="F5" s="882"/>
      <c r="G5" s="882"/>
      <c r="H5" s="882"/>
      <c r="I5" s="882"/>
      <c r="J5" s="882"/>
      <c r="K5" s="882"/>
      <c r="L5" s="84" t="str">
        <f>+'Ввод данных'!E16</f>
        <v>до:</v>
      </c>
      <c r="M5" s="94">
        <f>+IF(ISBLANK('Ввод данных'!F16),"",'Ввод данных'!F16)</f>
        <v>45291</v>
      </c>
    </row>
    <row r="6" spans="2:17" ht="18.5">
      <c r="B6" s="15"/>
      <c r="C6" s="84"/>
      <c r="D6" s="611"/>
      <c r="E6" s="888" t="s">
        <v>976</v>
      </c>
      <c r="F6" s="888"/>
      <c r="G6" s="888"/>
      <c r="H6" s="888"/>
      <c r="I6" s="888"/>
      <c r="J6" s="888"/>
    </row>
    <row r="7" spans="2:17" ht="10.5" customHeight="1">
      <c r="B7" s="15"/>
      <c r="C7" s="84"/>
      <c r="D7" s="610"/>
      <c r="E7" s="86"/>
      <c r="F7" s="86"/>
      <c r="G7" s="86"/>
      <c r="H7" s="86"/>
      <c r="I7" s="86"/>
      <c r="J7" s="86"/>
      <c r="K7" s="389"/>
      <c r="L7" s="389"/>
      <c r="M7" s="83"/>
    </row>
    <row r="8" spans="2:17">
      <c r="B8" s="97" t="str">
        <f>+'Ввод данных'!A27&amp; " - в ("&amp;'Ввод данных'!C26&amp;")  "&amp;+K3&amp;" "&amp;+M3</f>
        <v>F1: Бюджет и выплаты Глобальным фондом - в ($)  Отчетный период P3</v>
      </c>
      <c r="C8" s="87"/>
      <c r="J8" s="97" t="str">
        <f>+'Ввод данных'!A66&amp; " - в ("&amp;'Ввод данных'!C26&amp;")         "&amp;+K3&amp;" "&amp;+M3</f>
        <v>F3: Выплаты и расходы - в ($)         Отчетный период P3</v>
      </c>
    </row>
    <row r="9" spans="2:17" ht="21.75" customHeight="1">
      <c r="B9" s="163" t="s">
        <v>973</v>
      </c>
      <c r="C9" s="1035" t="s">
        <v>1036</v>
      </c>
      <c r="D9" s="875"/>
      <c r="E9" s="875"/>
      <c r="F9" s="876"/>
      <c r="J9" s="164" t="s">
        <v>973</v>
      </c>
      <c r="K9" s="874" t="s">
        <v>975</v>
      </c>
      <c r="L9" s="875"/>
      <c r="M9" s="876"/>
    </row>
    <row r="22" spans="2:13" ht="17.25" customHeight="1">
      <c r="B22" s="97" t="str">
        <f>+'Ввод данных'!A36&amp; " - в ("&amp;'Ввод данных'!C26&amp;")  "&amp;+K3&amp;" "&amp;+M3</f>
        <v>F2: Бюджет и фактические расходы согласно задачам гранта - в ($)  Отчетный период P3</v>
      </c>
      <c r="J22" s="97" t="str">
        <f>+'Ввод данных'!A75&amp;"      "&amp;+K3&amp;" "&amp;+M3</f>
        <v>F4: Последний отчетный и платежный цикл ОР      Отчетный период P3</v>
      </c>
    </row>
    <row r="23" spans="2:13" ht="25.5" customHeight="1">
      <c r="B23" s="163" t="s">
        <v>973</v>
      </c>
      <c r="C23" s="874" t="s">
        <v>974</v>
      </c>
      <c r="D23" s="875"/>
      <c r="E23" s="875"/>
      <c r="F23" s="876"/>
      <c r="G23" s="175"/>
      <c r="H23" s="175"/>
      <c r="I23" s="175"/>
      <c r="J23" s="163" t="s">
        <v>973</v>
      </c>
      <c r="K23" s="874" t="s">
        <v>972</v>
      </c>
      <c r="L23" s="1036"/>
      <c r="M23" s="1037"/>
    </row>
    <row r="24" spans="2:13" ht="15" thickBot="1">
      <c r="B24" s="104"/>
      <c r="C24" s="104"/>
      <c r="D24" s="104"/>
      <c r="E24" s="104"/>
      <c r="F24" s="104"/>
      <c r="G24" s="104"/>
      <c r="H24" s="104"/>
      <c r="I24" s="104"/>
      <c r="J24" s="104"/>
      <c r="K24" s="104"/>
      <c r="L24" s="104"/>
      <c r="M24" s="104"/>
    </row>
    <row r="25" spans="2:13" ht="29.25" customHeight="1" thickBot="1">
      <c r="G25" s="155"/>
      <c r="H25" s="155"/>
      <c r="I25" s="155"/>
      <c r="J25" s="889" t="s">
        <v>869</v>
      </c>
      <c r="K25" s="890"/>
      <c r="L25" s="890"/>
      <c r="M25" s="891"/>
    </row>
    <row r="26" spans="2:13" ht="24.5">
      <c r="J26" s="892"/>
      <c r="K26" s="893"/>
      <c r="L26" s="144" t="s">
        <v>868</v>
      </c>
      <c r="M26" s="145" t="s">
        <v>867</v>
      </c>
    </row>
    <row r="27" spans="2:13" ht="23.25" customHeight="1">
      <c r="G27" s="156"/>
      <c r="H27" s="156"/>
      <c r="I27" s="156"/>
      <c r="J27" s="877" t="str">
        <f>'Ввод данных'!A79</f>
        <v xml:space="preserve">Сколько дней понадобилось для подачи ИОР/ЗПС в офис МАФ </v>
      </c>
      <c r="K27" s="878"/>
      <c r="L27" s="146">
        <f>+'Ввод данных'!C79</f>
        <v>60</v>
      </c>
      <c r="M27" s="143">
        <f>+'Ввод данных'!D79</f>
        <v>60</v>
      </c>
    </row>
    <row r="28" spans="2:13" ht="21" customHeight="1">
      <c r="G28" s="156"/>
      <c r="H28" s="156"/>
      <c r="I28" s="156"/>
      <c r="J28" s="877" t="str">
        <f>'Ввод данных'!A80</f>
        <v xml:space="preserve">Спустя сколько дней ОР получил платеж </v>
      </c>
      <c r="K28" s="878"/>
      <c r="L28" s="146" t="str">
        <f>+'Ввод данных'!C80</f>
        <v>н/п</v>
      </c>
      <c r="M28" s="143" t="str">
        <f>+'Ввод данных'!D80</f>
        <v>н/п</v>
      </c>
    </row>
    <row r="29" spans="2:13" ht="21" customHeight="1" thickBot="1">
      <c r="G29" s="156"/>
      <c r="H29" s="156"/>
      <c r="I29" s="156"/>
      <c r="J29" s="879" t="str">
        <f>'Ввод данных'!A81</f>
        <v>Спустя сколько дней суб-реципиенты получили платежи</v>
      </c>
      <c r="K29" s="880"/>
      <c r="L29" s="147" t="str">
        <f>+'Ввод данных'!C81</f>
        <v>н/п</v>
      </c>
      <c r="M29" s="148" t="str">
        <f>+'Ввод данных'!D81</f>
        <v>н/п</v>
      </c>
    </row>
    <row r="31" spans="2:13">
      <c r="D31" s="116"/>
    </row>
    <row r="32" spans="2:13">
      <c r="D32" s="116"/>
    </row>
    <row r="34" spans="2:2">
      <c r="B34" s="100" t="s">
        <v>53</v>
      </c>
    </row>
    <row r="35" spans="2:2">
      <c r="B35" s="110"/>
    </row>
    <row r="36" spans="2:2">
      <c r="B36" s="100" t="s">
        <v>54</v>
      </c>
    </row>
  </sheetData>
  <sheetProtection password="CFC9" sheet="1"/>
  <mergeCells count="18">
    <mergeCell ref="C9:F9"/>
    <mergeCell ref="K23:M23"/>
    <mergeCell ref="C23:F23"/>
    <mergeCell ref="K9:M9"/>
    <mergeCell ref="J29:K29"/>
    <mergeCell ref="B2:M2"/>
    <mergeCell ref="D5:K5"/>
    <mergeCell ref="K4:L4"/>
    <mergeCell ref="K3:L3"/>
    <mergeCell ref="E3:J3"/>
    <mergeCell ref="C3:D3"/>
    <mergeCell ref="C4:D4"/>
    <mergeCell ref="E4:J4"/>
    <mergeCell ref="E6:J6"/>
    <mergeCell ref="J28:K28"/>
    <mergeCell ref="J25:M25"/>
    <mergeCell ref="J26:K26"/>
    <mergeCell ref="J27:K27"/>
  </mergeCells>
  <conditionalFormatting sqref="C4:D4">
    <cfRule type="cellIs" dxfId="26" priority="3" stopIfTrue="1" operator="equal">
      <formula>"C"</formula>
    </cfRule>
    <cfRule type="cellIs" dxfId="25" priority="4" stopIfTrue="1" operator="equal">
      <formula>"B2"</formula>
    </cfRule>
    <cfRule type="cellIs" dxfId="24" priority="5" stopIfTrue="1" operator="equal">
      <formula>"B1"</formula>
    </cfRule>
  </conditionalFormatting>
  <conditionalFormatting sqref="M27:M29">
    <cfRule type="expression" dxfId="23" priority="1" stopIfTrue="1">
      <formula>$M27&gt;$L27</formula>
    </cfRule>
    <cfRule type="expression" dxfId="22" priority="2" stopIfTrue="1">
      <formula>$M27&lt;=$L27</formula>
    </cfRule>
  </conditionalFormatting>
  <pageMargins left="0.70866141732283472" right="0.70866141732283472" top="0.74803149606299213" bottom="0.74803149606299213" header="0.31496062992125984" footer="0.31496062992125984"/>
  <pageSetup paperSize="8" scale="97" orientation="landscape" r:id="rId1"/>
  <headerFooter>
    <oddFooter>&amp;L&amp;F&amp;C&amp;A&amp;RV1.0          &amp;D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AB24-F983-4166-8BC5-DEDDE293DDF6}">
  <sheetPr>
    <tabColor indexed="41"/>
  </sheetPr>
  <dimension ref="B1:AI71"/>
  <sheetViews>
    <sheetView showGridLines="0" zoomScale="85" zoomScaleNormal="85" workbookViewId="0">
      <selection activeCell="C4" sqref="C4:D4"/>
    </sheetView>
  </sheetViews>
  <sheetFormatPr defaultColWidth="11" defaultRowHeight="14.5"/>
  <cols>
    <col min="1" max="1" width="3.453125" customWidth="1"/>
    <col min="2" max="2" width="14.26953125" customWidth="1"/>
    <col min="3" max="3" width="16.26953125" customWidth="1"/>
    <col min="4" max="4" width="26.26953125" customWidth="1"/>
    <col min="5" max="5" width="14.453125" customWidth="1"/>
    <col min="6" max="6" width="11.54296875" customWidth="1"/>
    <col min="7" max="7" width="5.7265625" customWidth="1"/>
    <col min="8" max="8" width="6.26953125" customWidth="1"/>
    <col min="9" max="9" width="6" customWidth="1"/>
    <col min="10" max="10" width="5.54296875" customWidth="1"/>
    <col min="11" max="11" width="39.7265625" customWidth="1"/>
    <col min="12" max="12" width="12.26953125" customWidth="1"/>
    <col min="13" max="13" width="5" customWidth="1"/>
    <col min="14" max="14" width="6.54296875" customWidth="1"/>
    <col min="15" max="15" width="4.26953125" customWidth="1"/>
    <col min="16" max="16" width="10.7265625" customWidth="1"/>
    <col min="17" max="17" width="63.54296875" customWidth="1"/>
    <col min="18" max="18" width="155.26953125" customWidth="1"/>
    <col min="19" max="19" width="21.453125" customWidth="1"/>
  </cols>
  <sheetData>
    <row r="1" spans="2:35" ht="26.25" customHeight="1"/>
    <row r="2" spans="2:35" ht="21.75" customHeight="1">
      <c r="B2" s="894" t="str">
        <f>+"Панель показателей:  "&amp;"  "&amp;IF(+'Ввод данных'!B4="Выберите","",'Ввод данных'!B4&amp;" - ")&amp;IF('Ввод данных'!F6="Выберите","",'Ввод данных'!F6)</f>
        <v>Панель показателей:    Кыргызстан - ВИЧ/СПИД/ТБ</v>
      </c>
      <c r="C2" s="894"/>
      <c r="D2" s="894"/>
      <c r="E2" s="894"/>
      <c r="F2" s="894"/>
      <c r="G2" s="894"/>
      <c r="H2" s="894"/>
      <c r="I2" s="894"/>
      <c r="J2" s="894"/>
      <c r="K2" s="894"/>
      <c r="L2" s="894"/>
      <c r="M2" s="894"/>
      <c r="N2" s="894"/>
      <c r="O2" s="894"/>
      <c r="P2" s="894"/>
      <c r="Q2" s="894"/>
    </row>
    <row r="3" spans="2:35" ht="18.5">
      <c r="B3" s="84">
        <f>+IF('Ввод данных'!F8="Выберите","",'Ввод данных'!F8)</f>
        <v>0</v>
      </c>
      <c r="C3" s="886">
        <f>+IF('Ввод данных'!H8="Выберите","",'Ввод данных'!H8)</f>
        <v>0</v>
      </c>
      <c r="D3" s="886"/>
      <c r="E3" s="885"/>
      <c r="F3" s="885"/>
      <c r="G3" s="885"/>
      <c r="H3" s="885"/>
      <c r="I3" s="628"/>
      <c r="J3" s="628"/>
      <c r="K3" s="628"/>
      <c r="O3" s="883" t="str">
        <f>+'Ввод данных'!A16</f>
        <v>Отчетный период</v>
      </c>
      <c r="P3" s="883"/>
      <c r="Q3" s="93" t="str">
        <f>+'Ввод данных'!B16</f>
        <v>P3</v>
      </c>
    </row>
    <row r="4" spans="2:35">
      <c r="B4" s="207" t="str">
        <f>+'Ввод данных'!A12</f>
        <v>Последняя оценка:</v>
      </c>
      <c r="C4" s="896" t="str">
        <f>+IF('Ввод данных'!B12="Выберите","",'Ввод данных'!B12)</f>
        <v>C</v>
      </c>
      <c r="D4" s="896"/>
      <c r="E4" s="885" t="str">
        <f>+'Ввод данных'!B8</f>
        <v>ПРООН</v>
      </c>
      <c r="F4" s="885"/>
      <c r="G4" s="885"/>
      <c r="H4" s="885"/>
      <c r="I4" s="885"/>
      <c r="J4" s="885"/>
      <c r="K4" s="885"/>
      <c r="L4" s="885"/>
      <c r="O4" s="15"/>
      <c r="P4" s="84" t="str">
        <f>+'Ввод данных'!C16</f>
        <v>с:</v>
      </c>
      <c r="Q4" s="440">
        <v>44927</v>
      </c>
      <c r="Y4" s="12"/>
      <c r="Z4" s="12"/>
      <c r="AA4" s="12"/>
      <c r="AB4" s="12"/>
      <c r="AC4" s="12"/>
    </row>
    <row r="5" spans="2:35" ht="15.75" customHeight="1">
      <c r="B5" s="84"/>
      <c r="C5" s="84"/>
      <c r="D5" s="885" t="str">
        <f>+'Ввод данных'!F4</f>
        <v>«Эффективный контроль за ВИЧ-инфекцией и туберкулезом в Кыргызской Республике»</v>
      </c>
      <c r="E5" s="885"/>
      <c r="F5" s="885"/>
      <c r="G5" s="885"/>
      <c r="H5" s="885"/>
      <c r="I5" s="885"/>
      <c r="J5" s="885"/>
      <c r="K5" s="885"/>
      <c r="L5" s="885"/>
      <c r="M5" s="885"/>
      <c r="N5" s="885"/>
      <c r="P5" s="84" t="str">
        <f>+'Ввод данных'!E16</f>
        <v>до:</v>
      </c>
      <c r="Q5" s="440">
        <v>45291</v>
      </c>
      <c r="S5" s="109"/>
      <c r="T5" s="109"/>
      <c r="U5" s="109"/>
      <c r="V5" s="109"/>
      <c r="W5" s="109"/>
      <c r="X5" s="109"/>
      <c r="Y5" s="12"/>
      <c r="Z5" s="12"/>
      <c r="AA5" s="12" t="s">
        <v>55</v>
      </c>
      <c r="AB5" s="12"/>
      <c r="AC5" s="12" t="s">
        <v>56</v>
      </c>
      <c r="AD5" s="109"/>
      <c r="AE5" s="109"/>
      <c r="AF5" s="109"/>
      <c r="AG5" s="109"/>
      <c r="AH5" s="109"/>
      <c r="AI5" s="109"/>
    </row>
    <row r="6" spans="2:35" ht="15.75" customHeight="1">
      <c r="B6" s="84"/>
      <c r="C6" s="84"/>
      <c r="D6" s="390"/>
      <c r="E6" s="897" t="s">
        <v>57</v>
      </c>
      <c r="F6" s="898"/>
      <c r="G6" s="898"/>
      <c r="H6" s="898"/>
      <c r="I6" s="898"/>
      <c r="J6" s="898"/>
      <c r="K6" s="898"/>
      <c r="L6" s="898"/>
      <c r="O6" s="95"/>
      <c r="P6" s="282"/>
      <c r="S6" s="109"/>
      <c r="T6" s="109"/>
      <c r="U6" s="109"/>
      <c r="V6" s="109"/>
      <c r="W6" s="109"/>
      <c r="X6" s="109"/>
      <c r="Y6" s="12"/>
      <c r="Z6" s="12"/>
      <c r="AA6" s="12"/>
      <c r="AB6" s="12"/>
      <c r="AC6" s="12"/>
      <c r="AD6" s="109"/>
      <c r="AE6" s="109"/>
      <c r="AF6" s="109"/>
      <c r="AG6" s="109"/>
      <c r="AH6" s="109"/>
      <c r="AI6" s="109"/>
    </row>
    <row r="7" spans="2:35" ht="3" customHeight="1">
      <c r="B7" s="84"/>
      <c r="C7" s="84"/>
      <c r="D7" s="390"/>
      <c r="E7" s="390"/>
      <c r="F7" s="390"/>
      <c r="G7" s="390"/>
      <c r="H7" s="390"/>
      <c r="I7" s="390"/>
      <c r="J7" s="390"/>
      <c r="K7" s="390"/>
      <c r="L7" s="390"/>
      <c r="O7" s="95"/>
      <c r="P7" s="94"/>
      <c r="Q7" s="94"/>
      <c r="S7" s="109"/>
      <c r="T7" s="109"/>
      <c r="U7" s="109"/>
      <c r="V7" s="109"/>
      <c r="W7" s="109"/>
      <c r="X7" s="109"/>
      <c r="Y7" s="12"/>
      <c r="Z7" s="12"/>
      <c r="AA7" s="12"/>
      <c r="AB7" s="12"/>
      <c r="AC7" s="12"/>
      <c r="AD7" s="109"/>
      <c r="AE7" s="109"/>
      <c r="AF7" s="109"/>
      <c r="AG7" s="109"/>
      <c r="AH7" s="109"/>
      <c r="AI7" s="109"/>
    </row>
    <row r="8" spans="2:35" ht="60.75" customHeight="1">
      <c r="B8" s="899" t="s">
        <v>736</v>
      </c>
      <c r="C8" s="899"/>
      <c r="D8" s="899"/>
      <c r="E8" s="899"/>
      <c r="F8" s="899" t="s">
        <v>733</v>
      </c>
      <c r="G8" s="899"/>
      <c r="H8" s="899"/>
      <c r="I8" s="899"/>
      <c r="J8" s="899"/>
      <c r="K8" s="899"/>
      <c r="L8" s="899" t="s">
        <v>730</v>
      </c>
      <c r="M8" s="899"/>
      <c r="N8" s="899"/>
      <c r="O8" s="899"/>
      <c r="P8" s="899"/>
      <c r="Q8" s="899"/>
      <c r="S8" s="109"/>
      <c r="T8" s="109"/>
      <c r="U8" s="109"/>
      <c r="V8" s="109"/>
      <c r="W8" s="109"/>
      <c r="X8" s="109"/>
      <c r="Y8" s="12"/>
      <c r="Z8" s="12"/>
      <c r="AA8" s="12"/>
      <c r="AB8" s="12"/>
      <c r="AC8" s="12"/>
      <c r="AD8" s="109"/>
      <c r="AE8" s="109"/>
      <c r="AF8" s="109"/>
      <c r="AG8" s="109"/>
      <c r="AH8" s="109"/>
      <c r="AI8" s="109"/>
    </row>
    <row r="9" spans="2:35" ht="219.65" customHeight="1" thickBot="1">
      <c r="B9" s="418" t="s">
        <v>1005</v>
      </c>
      <c r="C9" s="900" t="s">
        <v>1007</v>
      </c>
      <c r="D9" s="901"/>
      <c r="E9" s="901"/>
      <c r="F9" s="419" t="s">
        <v>1005</v>
      </c>
      <c r="G9" s="904" t="s">
        <v>1006</v>
      </c>
      <c r="H9" s="905"/>
      <c r="I9" s="905"/>
      <c r="J9" s="905"/>
      <c r="K9" s="906"/>
      <c r="L9" s="419" t="s">
        <v>1005</v>
      </c>
      <c r="M9" s="904" t="s">
        <v>1004</v>
      </c>
      <c r="N9" s="905"/>
      <c r="O9" s="905"/>
      <c r="P9" s="905"/>
      <c r="Q9" s="906"/>
      <c r="R9" s="218"/>
      <c r="S9" s="318"/>
      <c r="T9" s="109"/>
      <c r="U9" s="109"/>
      <c r="V9" s="109"/>
      <c r="W9" s="109"/>
      <c r="X9" s="109"/>
      <c r="Y9" s="109"/>
      <c r="Z9" s="109"/>
      <c r="AA9" s="109"/>
      <c r="AB9" s="109"/>
      <c r="AC9" s="109"/>
      <c r="AD9" s="109"/>
      <c r="AE9" s="109"/>
      <c r="AF9" s="109"/>
      <c r="AG9" s="109"/>
      <c r="AH9" s="109"/>
      <c r="AI9" s="109"/>
    </row>
    <row r="10" spans="2:35" ht="18.75" customHeight="1">
      <c r="B10" s="84"/>
      <c r="C10" s="84"/>
      <c r="D10" s="390"/>
      <c r="E10" s="390"/>
      <c r="F10" s="390"/>
      <c r="G10" s="390"/>
      <c r="H10" s="390"/>
      <c r="I10" s="390"/>
      <c r="J10" s="390"/>
      <c r="K10" s="390"/>
      <c r="L10" s="390"/>
      <c r="O10" s="95"/>
      <c r="P10" s="94"/>
      <c r="S10" s="109"/>
      <c r="T10" s="109"/>
      <c r="U10" s="109"/>
      <c r="V10" s="109"/>
      <c r="W10" s="109"/>
      <c r="X10" s="109"/>
      <c r="Y10" s="109"/>
      <c r="Z10" s="109"/>
      <c r="AA10" s="109"/>
      <c r="AB10" s="109"/>
      <c r="AC10" s="109"/>
      <c r="AD10" s="109"/>
      <c r="AE10" s="109"/>
      <c r="AF10" s="109"/>
      <c r="AG10" s="109"/>
      <c r="AH10" s="109"/>
      <c r="AI10" s="109"/>
    </row>
    <row r="11" spans="2:35" ht="18.75" customHeight="1">
      <c r="B11" s="84"/>
      <c r="C11" s="84"/>
      <c r="D11" s="390"/>
      <c r="E11" s="390"/>
      <c r="F11" s="390"/>
      <c r="G11" s="390"/>
      <c r="H11" s="390"/>
      <c r="I11" s="390"/>
      <c r="J11" s="390"/>
      <c r="K11" s="390"/>
      <c r="L11" s="390"/>
      <c r="O11" s="95"/>
      <c r="P11" s="94"/>
      <c r="S11" s="109"/>
      <c r="T11" s="109"/>
      <c r="U11" s="109"/>
      <c r="V11" s="109"/>
      <c r="W11" s="109"/>
      <c r="X11" s="109"/>
      <c r="Y11" s="109"/>
      <c r="Z11" s="109"/>
      <c r="AA11" s="109"/>
      <c r="AB11" s="109"/>
      <c r="AC11" s="109"/>
      <c r="AD11" s="109"/>
      <c r="AE11" s="109"/>
      <c r="AF11" s="109"/>
      <c r="AG11" s="109"/>
      <c r="AH11" s="109"/>
      <c r="AI11" s="109"/>
    </row>
    <row r="12" spans="2:35" ht="18.75" customHeight="1">
      <c r="B12" s="84"/>
      <c r="C12" s="84"/>
      <c r="D12" s="390"/>
      <c r="E12" s="390"/>
      <c r="F12" s="390"/>
      <c r="G12" s="390"/>
      <c r="H12" s="390"/>
      <c r="I12" s="390"/>
      <c r="J12" s="390"/>
      <c r="K12" s="390"/>
      <c r="L12" s="390"/>
      <c r="O12" s="95"/>
      <c r="P12" s="94"/>
      <c r="S12" s="109"/>
      <c r="T12" s="109"/>
      <c r="U12" s="109"/>
      <c r="V12" s="109"/>
      <c r="W12" s="109"/>
      <c r="X12" s="109"/>
      <c r="Y12" s="109"/>
      <c r="Z12" s="109"/>
      <c r="AA12" s="109"/>
      <c r="AB12" s="109"/>
      <c r="AC12" s="109"/>
      <c r="AD12" s="109"/>
      <c r="AE12" s="109"/>
      <c r="AF12" s="109"/>
      <c r="AG12" s="109"/>
      <c r="AH12" s="109"/>
      <c r="AI12" s="109"/>
    </row>
    <row r="13" spans="2:35" ht="18.75" customHeight="1">
      <c r="B13" s="84"/>
      <c r="C13" s="84"/>
      <c r="D13" s="390"/>
      <c r="E13" s="390"/>
      <c r="F13" s="390"/>
      <c r="G13" s="390"/>
      <c r="H13" s="390"/>
      <c r="I13" s="390"/>
      <c r="J13" s="390"/>
      <c r="K13" s="390"/>
      <c r="L13" s="390"/>
      <c r="O13" s="95"/>
      <c r="P13" s="94"/>
      <c r="S13" s="109"/>
      <c r="T13" s="109"/>
      <c r="U13" s="109"/>
      <c r="V13" s="109"/>
      <c r="W13" s="109"/>
      <c r="X13" s="109"/>
      <c r="Y13" s="109"/>
      <c r="Z13" s="109"/>
      <c r="AA13" s="109"/>
      <c r="AB13" s="109"/>
      <c r="AC13" s="109"/>
      <c r="AD13" s="109"/>
      <c r="AE13" s="109"/>
      <c r="AF13" s="109"/>
      <c r="AG13" s="109"/>
      <c r="AH13" s="109"/>
      <c r="AI13" s="109"/>
    </row>
    <row r="14" spans="2:35" ht="18.75" customHeight="1">
      <c r="B14" s="84"/>
      <c r="C14" s="84"/>
      <c r="D14" s="390"/>
      <c r="E14" s="390"/>
      <c r="F14" s="390"/>
      <c r="G14" s="390"/>
      <c r="H14" s="390"/>
      <c r="I14" s="390"/>
      <c r="J14" s="390"/>
      <c r="K14" s="390"/>
      <c r="L14" s="390"/>
      <c r="O14" s="95"/>
      <c r="P14" s="94"/>
      <c r="S14" s="109"/>
      <c r="T14" s="109"/>
      <c r="U14" s="109"/>
      <c r="V14" s="109"/>
      <c r="W14" s="109"/>
      <c r="X14" s="109"/>
      <c r="Y14" s="109"/>
      <c r="Z14" s="109"/>
      <c r="AA14" s="109"/>
      <c r="AB14" s="109"/>
      <c r="AC14" s="109"/>
      <c r="AD14" s="109"/>
      <c r="AE14" s="109"/>
      <c r="AF14" s="109"/>
      <c r="AG14" s="109"/>
      <c r="AH14" s="109"/>
      <c r="AI14" s="109"/>
    </row>
    <row r="15" spans="2:35" ht="18.75" customHeight="1">
      <c r="B15" s="84"/>
      <c r="C15" s="84"/>
      <c r="D15" s="390"/>
      <c r="E15" s="390"/>
      <c r="F15" s="390"/>
      <c r="G15" s="390"/>
      <c r="H15" s="390"/>
      <c r="I15" s="390"/>
      <c r="J15" s="390"/>
      <c r="K15" s="390"/>
      <c r="L15" s="390"/>
      <c r="O15" s="95"/>
      <c r="P15" s="94"/>
      <c r="S15" s="109"/>
      <c r="T15" s="109"/>
      <c r="U15" s="109"/>
      <c r="V15" s="109"/>
      <c r="W15" s="109"/>
      <c r="X15" s="109"/>
      <c r="Y15" s="109"/>
      <c r="Z15" s="109"/>
      <c r="AA15" s="109"/>
      <c r="AB15" s="109"/>
      <c r="AC15" s="109"/>
      <c r="AD15" s="109"/>
      <c r="AE15" s="109"/>
      <c r="AF15" s="109"/>
      <c r="AG15" s="109"/>
      <c r="AH15" s="109"/>
      <c r="AI15" s="109"/>
    </row>
    <row r="16" spans="2:35" ht="18.75" customHeight="1">
      <c r="B16" s="84"/>
      <c r="C16" s="84"/>
      <c r="D16" s="390"/>
      <c r="E16" s="390"/>
      <c r="F16" s="390"/>
      <c r="G16" s="390"/>
      <c r="H16" s="390"/>
      <c r="I16" s="390"/>
      <c r="J16" s="390"/>
      <c r="K16" s="390"/>
      <c r="L16" s="390"/>
      <c r="O16" s="95"/>
      <c r="P16" s="94"/>
      <c r="S16" s="109"/>
      <c r="T16" s="109"/>
      <c r="U16" s="109"/>
      <c r="V16" s="109"/>
      <c r="W16" s="109"/>
      <c r="X16" s="109"/>
      <c r="Y16" s="109"/>
      <c r="Z16" s="109"/>
      <c r="AA16" s="109"/>
      <c r="AB16" s="109"/>
      <c r="AC16" s="109"/>
      <c r="AD16" s="109"/>
      <c r="AE16" s="109"/>
      <c r="AF16" s="109"/>
      <c r="AG16" s="109"/>
      <c r="AH16" s="109"/>
      <c r="AI16" s="109"/>
    </row>
    <row r="17" spans="2:35" ht="18.75" customHeight="1">
      <c r="B17" s="84"/>
      <c r="C17" s="84"/>
      <c r="D17" s="390"/>
      <c r="E17" s="390"/>
      <c r="F17" s="390"/>
      <c r="G17" s="390"/>
      <c r="H17" s="390"/>
      <c r="I17" s="390"/>
      <c r="J17" s="390"/>
      <c r="K17" s="390"/>
      <c r="L17" s="390"/>
      <c r="O17" s="95"/>
      <c r="P17" s="94"/>
      <c r="S17" s="109"/>
      <c r="T17" s="109"/>
      <c r="U17" s="109"/>
      <c r="V17" s="109"/>
      <c r="W17" s="109"/>
      <c r="X17" s="109"/>
      <c r="Y17" s="109"/>
      <c r="Z17" s="109"/>
      <c r="AA17" s="109"/>
      <c r="AB17" s="109"/>
      <c r="AC17" s="109"/>
      <c r="AD17" s="109"/>
      <c r="AE17" s="109"/>
      <c r="AF17" s="109"/>
      <c r="AG17" s="109"/>
      <c r="AH17" s="109"/>
      <c r="AI17" s="109"/>
    </row>
    <row r="18" spans="2:35" ht="18.75" customHeight="1">
      <c r="B18" s="84"/>
      <c r="C18" s="84"/>
      <c r="D18" s="390"/>
      <c r="E18" s="390"/>
      <c r="F18" s="390"/>
      <c r="G18" s="390"/>
      <c r="H18" s="390"/>
      <c r="I18" s="390"/>
      <c r="J18" s="390"/>
      <c r="K18" s="390"/>
      <c r="L18" s="390"/>
      <c r="O18" s="95"/>
      <c r="P18" s="94"/>
      <c r="S18" s="109"/>
      <c r="T18" s="109"/>
      <c r="U18" s="109"/>
      <c r="V18" s="109"/>
      <c r="W18" s="109"/>
      <c r="X18" s="109"/>
      <c r="Y18" s="109"/>
      <c r="Z18" s="109"/>
      <c r="AA18" s="109"/>
      <c r="AB18" s="109"/>
      <c r="AC18" s="109"/>
      <c r="AD18" s="109"/>
      <c r="AE18" s="109"/>
      <c r="AF18" s="109"/>
      <c r="AG18" s="109"/>
      <c r="AH18" s="109"/>
      <c r="AI18" s="109"/>
    </row>
    <row r="19" spans="2:35" ht="17.25" customHeight="1">
      <c r="B19" s="84"/>
      <c r="C19" s="84"/>
      <c r="D19" s="390"/>
      <c r="E19" s="390"/>
      <c r="F19" s="390"/>
      <c r="G19" s="390"/>
      <c r="H19" s="390"/>
      <c r="I19" s="390"/>
      <c r="J19" s="390"/>
      <c r="K19" s="390"/>
      <c r="L19" s="390"/>
      <c r="O19" s="95"/>
      <c r="P19" s="94"/>
      <c r="S19" s="109"/>
      <c r="T19" s="109"/>
      <c r="U19" s="109"/>
      <c r="V19" s="109"/>
      <c r="W19" s="109"/>
      <c r="X19" s="109"/>
      <c r="Y19" s="109"/>
      <c r="Z19" s="109"/>
      <c r="AA19" s="109"/>
      <c r="AB19" s="109"/>
      <c r="AC19" s="109"/>
      <c r="AD19" s="109"/>
      <c r="AE19" s="109"/>
      <c r="AF19" s="109"/>
      <c r="AG19" s="109"/>
      <c r="AH19" s="109"/>
      <c r="AI19" s="109"/>
    </row>
    <row r="20" spans="2:35" ht="6" customHeight="1">
      <c r="B20" s="15"/>
      <c r="C20" s="84"/>
      <c r="D20" s="611"/>
      <c r="E20" s="907"/>
      <c r="F20" s="907"/>
      <c r="G20" s="907"/>
      <c r="H20" s="907"/>
      <c r="I20" s="907"/>
      <c r="J20" s="907"/>
      <c r="K20" s="907"/>
      <c r="S20" s="109"/>
      <c r="T20" s="109"/>
      <c r="U20" s="109"/>
      <c r="V20" s="109"/>
      <c r="W20" s="109"/>
      <c r="X20" s="109"/>
      <c r="Y20" s="109"/>
      <c r="Z20" s="109"/>
      <c r="AA20" s="109"/>
      <c r="AB20" s="109"/>
      <c r="AC20" s="109"/>
      <c r="AD20" s="109"/>
      <c r="AE20" s="109"/>
      <c r="AF20" s="109"/>
      <c r="AG20" s="109"/>
      <c r="AH20" s="109"/>
      <c r="AI20" s="109"/>
    </row>
    <row r="21" spans="2:35" ht="45" customHeight="1">
      <c r="B21" s="911" t="s">
        <v>984</v>
      </c>
      <c r="C21" s="911"/>
      <c r="D21" s="911"/>
      <c r="E21" s="395" t="s">
        <v>774</v>
      </c>
      <c r="F21" s="395" t="s">
        <v>773</v>
      </c>
      <c r="G21" s="1042" t="s">
        <v>58</v>
      </c>
      <c r="H21" s="1043"/>
      <c r="I21" s="1079" t="s">
        <v>59</v>
      </c>
      <c r="J21" s="1080"/>
      <c r="K21" s="620" t="s">
        <v>60</v>
      </c>
      <c r="L21" s="976" t="s">
        <v>1003</v>
      </c>
      <c r="M21" s="977"/>
      <c r="N21" s="977"/>
      <c r="O21" s="977"/>
      <c r="P21" s="977"/>
      <c r="Q21" s="978"/>
      <c r="S21" s="43" t="s">
        <v>61</v>
      </c>
      <c r="T21" s="616">
        <v>0</v>
      </c>
      <c r="U21" s="613">
        <v>0.3</v>
      </c>
      <c r="V21" s="613">
        <v>0.6</v>
      </c>
      <c r="W21" s="613">
        <v>0.9</v>
      </c>
      <c r="X21" s="613">
        <v>1</v>
      </c>
      <c r="Y21" s="12"/>
      <c r="Z21" s="12"/>
      <c r="AA21" s="43" t="s">
        <v>61</v>
      </c>
      <c r="AB21" s="616">
        <v>0</v>
      </c>
      <c r="AC21" s="613">
        <v>0.2</v>
      </c>
      <c r="AD21" s="613">
        <v>0.4</v>
      </c>
      <c r="AE21" s="613">
        <v>0.6</v>
      </c>
      <c r="AF21" s="613">
        <v>0.8</v>
      </c>
      <c r="AG21" s="12"/>
      <c r="AH21" s="12"/>
      <c r="AI21" s="12"/>
    </row>
    <row r="22" spans="2:35" ht="132" customHeight="1">
      <c r="B22" s="912" t="s">
        <v>736</v>
      </c>
      <c r="C22" s="913"/>
      <c r="D22" s="914"/>
      <c r="E22" s="420">
        <v>0.8</v>
      </c>
      <c r="F22" s="464">
        <v>0.79320000000000002</v>
      </c>
      <c r="G22" s="1038">
        <v>0.99</v>
      </c>
      <c r="H22" s="1039"/>
      <c r="I22" s="1039"/>
      <c r="J22" s="1039"/>
      <c r="K22" s="1040"/>
      <c r="L22" s="1041" t="s">
        <v>1002</v>
      </c>
      <c r="M22" s="1041"/>
      <c r="N22" s="1041"/>
      <c r="O22" s="1041"/>
      <c r="P22" s="1041"/>
      <c r="Q22" s="1041"/>
      <c r="S22" s="43" t="s">
        <v>62</v>
      </c>
      <c r="T22" s="613">
        <v>0.3</v>
      </c>
      <c r="U22" s="613">
        <v>0.6</v>
      </c>
      <c r="V22" s="613">
        <v>0.9</v>
      </c>
      <c r="W22" s="613">
        <v>1</v>
      </c>
      <c r="X22" s="613">
        <v>2</v>
      </c>
      <c r="Y22" s="12"/>
      <c r="Z22" s="12"/>
      <c r="AA22" s="43" t="s">
        <v>62</v>
      </c>
      <c r="AB22" s="613">
        <v>0.2</v>
      </c>
      <c r="AC22" s="613">
        <v>0.4</v>
      </c>
      <c r="AD22" s="613">
        <v>0.6</v>
      </c>
      <c r="AE22" s="613">
        <v>0.8</v>
      </c>
      <c r="AF22" s="613">
        <v>1</v>
      </c>
      <c r="AG22" s="12"/>
      <c r="AH22" s="12"/>
      <c r="AI22" s="12"/>
    </row>
    <row r="23" spans="2:35" ht="144.65" customHeight="1">
      <c r="B23" s="984" t="s">
        <v>733</v>
      </c>
      <c r="C23" s="984"/>
      <c r="D23" s="984"/>
      <c r="E23" s="421" t="s">
        <v>63</v>
      </c>
      <c r="F23" s="464">
        <v>0.89039999999999997</v>
      </c>
      <c r="G23" s="1038">
        <v>0.99</v>
      </c>
      <c r="H23" s="1039"/>
      <c r="I23" s="1039"/>
      <c r="J23" s="1039"/>
      <c r="K23" s="1040"/>
      <c r="L23" s="1041" t="s">
        <v>1001</v>
      </c>
      <c r="M23" s="1041"/>
      <c r="N23" s="1041"/>
      <c r="O23" s="1041"/>
      <c r="P23" s="1041"/>
      <c r="Q23" s="1041"/>
      <c r="S23" s="46"/>
      <c r="T23" s="615" t="str">
        <f>"de "&amp;T21&amp;" a "&amp;T22</f>
        <v>de 0 a 0.3</v>
      </c>
      <c r="U23" s="615" t="str">
        <f>"de "&amp;U21&amp;" a "&amp;U22</f>
        <v>de 0.3 a 0.6</v>
      </c>
      <c r="V23" s="615" t="str">
        <f>"de "&amp;V21&amp;" a "&amp;V22</f>
        <v>de 0.6 a 0.9</v>
      </c>
      <c r="W23" s="615" t="str">
        <f>"de "&amp;W21&amp;" a "&amp;W22</f>
        <v>de 0.9 a 1</v>
      </c>
      <c r="X23" s="615" t="str">
        <f>"de "&amp;X21&amp;" a "&amp;X22</f>
        <v>de 1 a 2</v>
      </c>
      <c r="Y23" s="12"/>
      <c r="Z23" s="12" t="s">
        <v>64</v>
      </c>
      <c r="AA23" s="46" t="s">
        <v>56</v>
      </c>
      <c r="AB23" s="615" t="str">
        <f>"de "&amp;AB21&amp;" a "&amp;AB22</f>
        <v>de 0 a 0.2</v>
      </c>
      <c r="AC23" s="615" t="str">
        <f>"de "&amp;AC21&amp;" a "&amp;AC22</f>
        <v>de 0.2 a 0.4</v>
      </c>
      <c r="AD23" s="615" t="str">
        <f>"de "&amp;AD21&amp;" a "&amp;AD22</f>
        <v>de 0.4 a 0.6</v>
      </c>
      <c r="AE23" s="615" t="str">
        <f>"de "&amp;AE21&amp;" a "&amp;AE22</f>
        <v>de 0.6 a 0.8</v>
      </c>
      <c r="AF23" s="615" t="str">
        <f>"de "&amp;AF21&amp;" a "&amp;AF22</f>
        <v>de 0.8 a 1</v>
      </c>
      <c r="AG23" s="12"/>
      <c r="AH23" s="12"/>
      <c r="AI23" s="12"/>
    </row>
    <row r="24" spans="2:35" ht="265.14999999999998" customHeight="1">
      <c r="B24" s="908" t="s">
        <v>730</v>
      </c>
      <c r="C24" s="909"/>
      <c r="D24" s="910"/>
      <c r="E24" s="420">
        <v>0.9</v>
      </c>
      <c r="F24" s="464">
        <v>0.57750000000000001</v>
      </c>
      <c r="G24" s="1038">
        <v>0.64</v>
      </c>
      <c r="H24" s="1039"/>
      <c r="I24" s="1039"/>
      <c r="J24" s="1039"/>
      <c r="K24" s="1040"/>
      <c r="L24" s="1050" t="s">
        <v>1000</v>
      </c>
      <c r="M24" s="1051"/>
      <c r="N24" s="1051"/>
      <c r="O24" s="1051"/>
      <c r="P24" s="1051"/>
      <c r="Q24" s="1052"/>
      <c r="S24" s="46"/>
      <c r="T24" s="615"/>
      <c r="U24" s="615"/>
      <c r="V24" s="615"/>
      <c r="W24" s="615"/>
      <c r="X24" s="615"/>
      <c r="Y24" s="12"/>
      <c r="Z24" s="12"/>
      <c r="AA24" s="46"/>
      <c r="AB24" s="615"/>
      <c r="AC24" s="615"/>
      <c r="AD24" s="615"/>
      <c r="AE24" s="615"/>
      <c r="AF24" s="615"/>
      <c r="AG24" s="12"/>
      <c r="AH24" s="12"/>
      <c r="AI24" s="12"/>
    </row>
    <row r="25" spans="2:35" ht="224.65" customHeight="1">
      <c r="B25" s="912" t="s">
        <v>727</v>
      </c>
      <c r="C25" s="913"/>
      <c r="D25" s="914"/>
      <c r="E25" s="522">
        <v>0.8</v>
      </c>
      <c r="F25" s="464">
        <v>0.48609999999999998</v>
      </c>
      <c r="G25" s="1044">
        <v>0.61</v>
      </c>
      <c r="H25" s="1045"/>
      <c r="I25" s="1045"/>
      <c r="J25" s="1045"/>
      <c r="K25" s="1046"/>
      <c r="L25" s="1047" t="s">
        <v>999</v>
      </c>
      <c r="M25" s="1047"/>
      <c r="N25" s="1047"/>
      <c r="O25" s="1047"/>
      <c r="P25" s="1047"/>
      <c r="Q25" s="1047"/>
      <c r="R25" s="464"/>
      <c r="S25" s="46"/>
      <c r="T25" s="613" t="e">
        <f>IF($K23&gt;T$21,IF($K23&lt;=T$22,$K23,NA()),NA())</f>
        <v>#N/A</v>
      </c>
      <c r="U25" s="613" t="e">
        <f>IF($K23&gt;U$21,IF($K23&lt;=U$22,$K23,NA()),NA())</f>
        <v>#N/A</v>
      </c>
      <c r="V25" s="613" t="e">
        <f>IF($K23&gt;V$21,IF($K23&lt;=V$22,$K23,NA()),NA())</f>
        <v>#N/A</v>
      </c>
      <c r="W25" s="613" t="e">
        <f>IF($K23&gt;W$21,IF($K23&lt;=W$22,$K23,NA()),NA())</f>
        <v>#N/A</v>
      </c>
      <c r="X25" s="613" t="e">
        <f>IF($K23&gt;X$21,IF($K23&lt;=X$22,1,1),NA())</f>
        <v>#N/A</v>
      </c>
      <c r="Y25" s="12"/>
      <c r="Z25" s="92" t="e">
        <v>#REF!</v>
      </c>
      <c r="AA25" s="613" t="e">
        <f>+IF(Z25="A1",1,IF(Z25="A2",0.8,IF(Z25="B1",0.6,IF(Z25="B2",0.4,0.2))))</f>
        <v>#REF!</v>
      </c>
      <c r="AB25" s="613" t="e">
        <f t="shared" ref="AB25:AF26" si="0">IF($AA25&gt;AB$21,IF($AA25&lt;=AB$22,$AA25,NA()),NA())</f>
        <v>#REF!</v>
      </c>
      <c r="AC25" s="613" t="e">
        <f t="shared" si="0"/>
        <v>#REF!</v>
      </c>
      <c r="AD25" s="613" t="e">
        <f t="shared" si="0"/>
        <v>#REF!</v>
      </c>
      <c r="AE25" s="613" t="e">
        <f t="shared" si="0"/>
        <v>#REF!</v>
      </c>
      <c r="AF25" s="613" t="e">
        <f t="shared" si="0"/>
        <v>#REF!</v>
      </c>
      <c r="AG25" s="12"/>
      <c r="AH25" s="12"/>
      <c r="AI25" s="12"/>
    </row>
    <row r="26" spans="2:35" ht="120" customHeight="1">
      <c r="B26" s="912" t="s">
        <v>723</v>
      </c>
      <c r="C26" s="913"/>
      <c r="D26" s="914"/>
      <c r="E26" s="522">
        <v>0.70630000000000004</v>
      </c>
      <c r="F26" s="464">
        <v>1.1123000000000001</v>
      </c>
      <c r="G26" s="1044">
        <v>1.2</v>
      </c>
      <c r="H26" s="1045"/>
      <c r="I26" s="1045"/>
      <c r="J26" s="1045"/>
      <c r="K26" s="1046"/>
      <c r="L26" s="1047" t="s">
        <v>998</v>
      </c>
      <c r="M26" s="1047"/>
      <c r="N26" s="1047"/>
      <c r="O26" s="1047"/>
      <c r="P26" s="1047"/>
      <c r="Q26" s="1047"/>
      <c r="R26" s="318"/>
      <c r="S26" s="46"/>
      <c r="T26" s="613" t="e">
        <f>IF(#REF!&gt;T$21,IF(#REF!&lt;=T$22,#REF!,NA()),NA())</f>
        <v>#REF!</v>
      </c>
      <c r="U26" s="613" t="e">
        <f>IF(#REF!&gt;U$21,IF(#REF!&lt;=U$22,#REF!,NA()),NA())</f>
        <v>#REF!</v>
      </c>
      <c r="V26" s="613" t="e">
        <f>IF(#REF!&gt;V$21,IF(#REF!&lt;=V$22,#REF!,NA()),NA())</f>
        <v>#REF!</v>
      </c>
      <c r="W26" s="613" t="e">
        <f>IF(#REF!&gt;W$21,IF(#REF!&lt;=W$22,#REF!,NA()),NA())</f>
        <v>#REF!</v>
      </c>
      <c r="X26" s="613" t="e">
        <f>IF(#REF!&gt;X$21,IF(#REF!&lt;=X$22,1,NA()),NA())</f>
        <v>#REF!</v>
      </c>
      <c r="Y26" s="12"/>
      <c r="Z26" s="92" t="e">
        <v>#REF!</v>
      </c>
      <c r="AA26" s="613" t="e">
        <f>+IF(Z26="A1",1,IF(Z26="A2",0.8,IF(Z26="B1",0.6,IF(Z26="B2",0.4,0.2))))</f>
        <v>#REF!</v>
      </c>
      <c r="AB26" s="613" t="e">
        <f t="shared" si="0"/>
        <v>#REF!</v>
      </c>
      <c r="AC26" s="613" t="e">
        <f t="shared" si="0"/>
        <v>#REF!</v>
      </c>
      <c r="AD26" s="613" t="e">
        <f t="shared" si="0"/>
        <v>#REF!</v>
      </c>
      <c r="AE26" s="613" t="e">
        <f t="shared" si="0"/>
        <v>#REF!</v>
      </c>
      <c r="AF26" s="613" t="e">
        <f t="shared" si="0"/>
        <v>#REF!</v>
      </c>
      <c r="AG26" s="12"/>
      <c r="AH26" s="12"/>
      <c r="AI26" s="12"/>
    </row>
    <row r="27" spans="2:35" ht="127.9" customHeight="1">
      <c r="B27" s="912" t="s">
        <v>720</v>
      </c>
      <c r="C27" s="913"/>
      <c r="D27" s="914"/>
      <c r="E27" s="522">
        <v>0.80249999999999999</v>
      </c>
      <c r="F27" s="464">
        <v>0.81840000000000002</v>
      </c>
      <c r="G27" s="1038">
        <v>1.02</v>
      </c>
      <c r="H27" s="1039"/>
      <c r="I27" s="1039"/>
      <c r="J27" s="1039"/>
      <c r="K27" s="1040"/>
      <c r="L27" s="1041" t="s">
        <v>997</v>
      </c>
      <c r="M27" s="1041"/>
      <c r="N27" s="1041"/>
      <c r="O27" s="1041"/>
      <c r="P27" s="1041"/>
      <c r="Q27" s="1041"/>
      <c r="R27" s="318"/>
      <c r="S27" s="46"/>
      <c r="T27" s="613"/>
      <c r="U27" s="613"/>
      <c r="V27" s="613"/>
      <c r="W27" s="613"/>
      <c r="X27" s="613"/>
      <c r="Y27" s="12"/>
      <c r="Z27" s="92"/>
      <c r="AA27" s="619"/>
      <c r="AB27" s="619"/>
      <c r="AC27" s="619"/>
      <c r="AD27" s="619"/>
      <c r="AE27" s="619"/>
      <c r="AF27" s="619"/>
      <c r="AG27" s="12"/>
      <c r="AH27" s="12"/>
      <c r="AI27" s="12"/>
    </row>
    <row r="28" spans="2:35" ht="120" customHeight="1">
      <c r="B28" s="912" t="s">
        <v>717</v>
      </c>
      <c r="C28" s="913"/>
      <c r="D28" s="914"/>
      <c r="E28" s="420">
        <v>0.8</v>
      </c>
      <c r="F28" s="464">
        <v>0.93630000000000002</v>
      </c>
      <c r="G28" s="1038">
        <v>1.17</v>
      </c>
      <c r="H28" s="1039"/>
      <c r="I28" s="1039"/>
      <c r="J28" s="1039"/>
      <c r="K28" s="1040"/>
      <c r="L28" s="1049" t="s">
        <v>996</v>
      </c>
      <c r="M28" s="1053"/>
      <c r="N28" s="1053"/>
      <c r="O28" s="1053"/>
      <c r="P28" s="1053"/>
      <c r="Q28" s="1054"/>
      <c r="R28" s="318"/>
      <c r="S28" s="46"/>
      <c r="T28" s="613" t="e">
        <f t="shared" ref="T28:W29" si="1">IF($K25&gt;T$21,IF($K25&lt;=T$22,$K25,NA()),NA())</f>
        <v>#N/A</v>
      </c>
      <c r="U28" s="613" t="e">
        <f t="shared" si="1"/>
        <v>#N/A</v>
      </c>
      <c r="V28" s="613" t="e">
        <f t="shared" si="1"/>
        <v>#N/A</v>
      </c>
      <c r="W28" s="613" t="e">
        <f t="shared" si="1"/>
        <v>#N/A</v>
      </c>
      <c r="X28" s="613" t="e">
        <f>IF($K25&gt;X$21,IF($K25&lt;=X$22,1,NA()),NA())</f>
        <v>#N/A</v>
      </c>
      <c r="Y28" s="12"/>
      <c r="Z28" s="12"/>
      <c r="AA28" s="12"/>
      <c r="AB28" s="12"/>
      <c r="AC28" s="12"/>
      <c r="AD28" s="12"/>
      <c r="AE28" s="12"/>
      <c r="AF28" s="12"/>
      <c r="AG28" s="12"/>
      <c r="AH28" s="12"/>
      <c r="AI28" s="12"/>
    </row>
    <row r="29" spans="2:35" ht="125.65" customHeight="1">
      <c r="B29" s="908" t="s">
        <v>713</v>
      </c>
      <c r="C29" s="909"/>
      <c r="D29" s="910"/>
      <c r="E29" s="522">
        <v>0.71040000000000003</v>
      </c>
      <c r="F29" s="464">
        <v>0.7077</v>
      </c>
      <c r="G29" s="1055">
        <v>1.02</v>
      </c>
      <c r="H29" s="928"/>
      <c r="I29" s="928"/>
      <c r="J29" s="928"/>
      <c r="K29" s="929"/>
      <c r="L29" s="1049" t="s">
        <v>995</v>
      </c>
      <c r="M29" s="925"/>
      <c r="N29" s="925"/>
      <c r="O29" s="925"/>
      <c r="P29" s="925"/>
      <c r="Q29" s="926"/>
      <c r="R29" s="318"/>
      <c r="S29" s="46"/>
      <c r="T29" s="613" t="e">
        <f t="shared" si="1"/>
        <v>#N/A</v>
      </c>
      <c r="U29" s="613" t="e">
        <f t="shared" si="1"/>
        <v>#N/A</v>
      </c>
      <c r="V29" s="613" t="e">
        <f t="shared" si="1"/>
        <v>#N/A</v>
      </c>
      <c r="W29" s="613" t="e">
        <f t="shared" si="1"/>
        <v>#N/A</v>
      </c>
      <c r="X29" s="613" t="e">
        <f>IF($K26&gt;X$21,IF($K26&lt;=X$22,1,NA()),NA())</f>
        <v>#N/A</v>
      </c>
      <c r="Y29" s="12"/>
      <c r="Z29" s="12"/>
      <c r="AA29" s="12"/>
      <c r="AB29" s="12"/>
      <c r="AC29" s="12"/>
      <c r="AD29" s="12"/>
      <c r="AE29" s="12"/>
      <c r="AF29" s="12"/>
      <c r="AG29" s="12"/>
      <c r="AH29" s="12"/>
      <c r="AI29" s="12"/>
    </row>
    <row r="30" spans="2:35" ht="111" customHeight="1">
      <c r="B30" s="908" t="s">
        <v>710</v>
      </c>
      <c r="C30" s="909"/>
      <c r="D30" s="910"/>
      <c r="E30" s="421">
        <v>70.39</v>
      </c>
      <c r="F30" s="464">
        <v>0.65749999999999997</v>
      </c>
      <c r="G30" s="1063">
        <v>0.93400000000000005</v>
      </c>
      <c r="H30" s="935"/>
      <c r="I30" s="935"/>
      <c r="J30" s="935"/>
      <c r="K30" s="936"/>
      <c r="L30" s="1048" t="s">
        <v>994</v>
      </c>
      <c r="M30" s="938"/>
      <c r="N30" s="938"/>
      <c r="O30" s="938"/>
      <c r="P30" s="938"/>
      <c r="Q30" s="939"/>
      <c r="R30" s="318"/>
      <c r="S30" s="46"/>
      <c r="T30" s="613"/>
      <c r="U30" s="613"/>
      <c r="V30" s="613"/>
      <c r="W30" s="613"/>
      <c r="X30" s="613"/>
      <c r="Y30" s="12"/>
      <c r="Z30" s="12"/>
      <c r="AA30" s="12"/>
      <c r="AB30" s="12"/>
      <c r="AC30" s="12"/>
      <c r="AD30" s="12"/>
      <c r="AE30" s="12"/>
      <c r="AF30" s="12"/>
      <c r="AG30" s="12"/>
      <c r="AH30" s="12"/>
      <c r="AI30" s="12"/>
    </row>
    <row r="31" spans="2:35" ht="178.5" customHeight="1">
      <c r="B31" s="908" t="s">
        <v>707</v>
      </c>
      <c r="C31" s="909"/>
      <c r="D31" s="910"/>
      <c r="E31" s="522">
        <v>0.71009999999999995</v>
      </c>
      <c r="F31" s="464">
        <v>0.62080000000000002</v>
      </c>
      <c r="G31" s="1056">
        <v>0.87</v>
      </c>
      <c r="H31" s="1057"/>
      <c r="I31" s="1057"/>
      <c r="J31" s="1057"/>
      <c r="K31" s="1058"/>
      <c r="L31" s="1049" t="s">
        <v>993</v>
      </c>
      <c r="M31" s="925"/>
      <c r="N31" s="925"/>
      <c r="O31" s="925"/>
      <c r="P31" s="925"/>
      <c r="Q31" s="926"/>
      <c r="R31" s="618"/>
      <c r="S31" s="46"/>
      <c r="T31" s="613"/>
      <c r="U31" s="613"/>
      <c r="V31" s="613"/>
      <c r="W31" s="613"/>
      <c r="X31" s="613"/>
      <c r="Y31" s="12"/>
      <c r="Z31" s="12"/>
      <c r="AA31" s="12"/>
      <c r="AB31" s="12"/>
      <c r="AC31" s="12"/>
      <c r="AD31" s="12"/>
      <c r="AE31" s="12"/>
      <c r="AF31" s="12"/>
      <c r="AG31" s="12"/>
      <c r="AH31" s="12"/>
      <c r="AI31" s="12"/>
    </row>
    <row r="32" spans="2:35" ht="152.65" customHeight="1">
      <c r="B32" s="908" t="s">
        <v>703</v>
      </c>
      <c r="C32" s="909"/>
      <c r="D32" s="910"/>
      <c r="E32" s="420">
        <v>1</v>
      </c>
      <c r="F32" s="420">
        <v>1</v>
      </c>
      <c r="G32" s="1038">
        <v>1.74</v>
      </c>
      <c r="H32" s="1039"/>
      <c r="I32" s="1039"/>
      <c r="J32" s="1039"/>
      <c r="K32" s="1040"/>
      <c r="L32" s="1081" t="s">
        <v>992</v>
      </c>
      <c r="M32" s="1081"/>
      <c r="N32" s="1081"/>
      <c r="O32" s="1081"/>
      <c r="P32" s="1081"/>
      <c r="Q32" s="1081"/>
      <c r="R32" s="318"/>
      <c r="S32" s="46"/>
      <c r="T32" s="613" t="e">
        <f t="shared" ref="T32:W33" si="2">IF($K28&gt;T$21,IF($K28&lt;=T$22,$K28,NA()),NA())</f>
        <v>#N/A</v>
      </c>
      <c r="U32" s="613" t="e">
        <f t="shared" si="2"/>
        <v>#N/A</v>
      </c>
      <c r="V32" s="613" t="e">
        <f t="shared" si="2"/>
        <v>#N/A</v>
      </c>
      <c r="W32" s="613" t="e">
        <f t="shared" si="2"/>
        <v>#N/A</v>
      </c>
      <c r="X32" s="613" t="e">
        <f>IF($K28&gt;X$21,IF($K28&lt;=X$22,1,NA()),NA())</f>
        <v>#N/A</v>
      </c>
      <c r="Y32" s="12"/>
      <c r="Z32" s="12"/>
      <c r="AA32" s="12"/>
      <c r="AB32" s="12"/>
      <c r="AC32" s="12"/>
      <c r="AD32" s="12"/>
      <c r="AE32" s="12"/>
      <c r="AF32" s="12"/>
      <c r="AG32" s="12"/>
      <c r="AH32" s="12"/>
      <c r="AI32" s="12"/>
    </row>
    <row r="33" spans="2:35" ht="54.4" customHeight="1">
      <c r="B33" s="908" t="s">
        <v>789</v>
      </c>
      <c r="C33" s="909"/>
      <c r="D33" s="910"/>
      <c r="E33" s="420">
        <v>0.96</v>
      </c>
      <c r="F33" s="522">
        <v>0.99129999999999996</v>
      </c>
      <c r="G33" s="1038">
        <v>1.03</v>
      </c>
      <c r="H33" s="1039"/>
      <c r="I33" s="1039"/>
      <c r="J33" s="1039"/>
      <c r="K33" s="1040"/>
      <c r="L33" s="1049" t="s">
        <v>991</v>
      </c>
      <c r="M33" s="1053"/>
      <c r="N33" s="1053"/>
      <c r="O33" s="1053"/>
      <c r="P33" s="1053"/>
      <c r="Q33" s="1054"/>
      <c r="R33" s="318"/>
      <c r="S33" s="46"/>
      <c r="T33" s="613" t="e">
        <f t="shared" si="2"/>
        <v>#N/A</v>
      </c>
      <c r="U33" s="613" t="e">
        <f t="shared" si="2"/>
        <v>#N/A</v>
      </c>
      <c r="V33" s="613" t="e">
        <f t="shared" si="2"/>
        <v>#N/A</v>
      </c>
      <c r="W33" s="613" t="e">
        <f t="shared" si="2"/>
        <v>#N/A</v>
      </c>
      <c r="X33" s="613" t="e">
        <f>IF($K29&gt;X$21,IF($K29&lt;=X$22,1,NA()),NA())</f>
        <v>#N/A</v>
      </c>
      <c r="Y33" s="12"/>
      <c r="Z33" s="12"/>
      <c r="AA33" s="12"/>
      <c r="AB33" s="12"/>
      <c r="AC33" s="12"/>
      <c r="AD33" s="12"/>
      <c r="AE33" s="12"/>
      <c r="AF33" s="12"/>
      <c r="AG33" s="12"/>
      <c r="AH33" s="12"/>
      <c r="AI33" s="12"/>
    </row>
    <row r="34" spans="2:35" ht="18.5">
      <c r="E34" s="394"/>
      <c r="F34" s="897" t="s">
        <v>990</v>
      </c>
      <c r="G34" s="898"/>
      <c r="H34" s="898"/>
      <c r="I34" s="898"/>
      <c r="J34" s="898"/>
      <c r="K34" s="898"/>
      <c r="L34" s="898"/>
      <c r="M34" s="898"/>
    </row>
    <row r="35" spans="2:35" ht="59.25" customHeight="1">
      <c r="B35" s="980" t="s">
        <v>692</v>
      </c>
      <c r="C35" s="895"/>
      <c r="D35" s="895"/>
      <c r="E35" s="895"/>
      <c r="F35" s="895" t="s">
        <v>989</v>
      </c>
      <c r="G35" s="895"/>
      <c r="H35" s="895"/>
      <c r="I35" s="895"/>
      <c r="J35" s="895"/>
      <c r="K35" s="895"/>
      <c r="L35" s="895" t="s">
        <v>988</v>
      </c>
      <c r="M35" s="895"/>
      <c r="N35" s="895"/>
      <c r="O35" s="895"/>
      <c r="P35" s="895"/>
      <c r="Q35" s="895"/>
      <c r="S35" s="109"/>
      <c r="T35" s="109"/>
      <c r="U35" s="109"/>
      <c r="V35" s="109"/>
      <c r="W35" s="109"/>
      <c r="X35" s="109"/>
      <c r="Y35" s="12"/>
      <c r="Z35" s="12"/>
      <c r="AA35" s="12"/>
      <c r="AB35" s="12"/>
      <c r="AC35" s="12"/>
      <c r="AD35" s="109"/>
      <c r="AE35" s="109"/>
      <c r="AF35" s="109"/>
      <c r="AG35" s="109"/>
      <c r="AH35" s="109"/>
      <c r="AI35" s="109"/>
    </row>
    <row r="36" spans="2:35" ht="88.5" customHeight="1" thickBot="1">
      <c r="B36" s="441" t="s">
        <v>973</v>
      </c>
      <c r="C36" s="987" t="s">
        <v>987</v>
      </c>
      <c r="D36" s="988"/>
      <c r="E36" s="989"/>
      <c r="F36" s="442" t="s">
        <v>973</v>
      </c>
      <c r="G36" s="987" t="s">
        <v>986</v>
      </c>
      <c r="H36" s="988"/>
      <c r="I36" s="988"/>
      <c r="J36" s="988"/>
      <c r="K36" s="989"/>
      <c r="L36" s="442" t="s">
        <v>973</v>
      </c>
      <c r="M36" s="987" t="s">
        <v>985</v>
      </c>
      <c r="N36" s="988"/>
      <c r="O36" s="988"/>
      <c r="P36" s="988"/>
      <c r="Q36" s="990"/>
      <c r="S36" s="109"/>
      <c r="T36" s="109"/>
      <c r="U36" s="109"/>
      <c r="V36" s="109"/>
      <c r="W36" s="109"/>
      <c r="X36" s="109"/>
      <c r="Y36" s="109"/>
      <c r="Z36" s="109"/>
      <c r="AA36" s="109"/>
      <c r="AB36" s="109"/>
      <c r="AC36" s="109"/>
      <c r="AD36" s="109"/>
      <c r="AE36" s="109"/>
      <c r="AF36" s="109"/>
      <c r="AG36" s="109"/>
      <c r="AH36" s="109"/>
      <c r="AI36" s="109"/>
    </row>
    <row r="37" spans="2:35" ht="18.75" customHeight="1">
      <c r="B37" s="84"/>
      <c r="C37" s="84"/>
      <c r="D37" s="390"/>
      <c r="E37" s="390"/>
      <c r="F37" s="390"/>
      <c r="G37" s="390"/>
      <c r="H37" s="390"/>
      <c r="I37" s="390"/>
      <c r="J37" s="390"/>
      <c r="K37" s="390"/>
      <c r="L37" s="390"/>
      <c r="O37" s="95"/>
      <c r="P37" s="94"/>
      <c r="S37" s="109"/>
      <c r="T37" s="109"/>
      <c r="U37" s="109"/>
      <c r="V37" s="109"/>
      <c r="W37" s="109"/>
      <c r="X37" s="109"/>
      <c r="Y37" s="109"/>
      <c r="Z37" s="109"/>
      <c r="AA37" s="109"/>
      <c r="AB37" s="109"/>
      <c r="AC37" s="109"/>
      <c r="AD37" s="109"/>
      <c r="AE37" s="109"/>
      <c r="AF37" s="109"/>
      <c r="AG37" s="109"/>
      <c r="AH37" s="109"/>
      <c r="AI37" s="109"/>
    </row>
    <row r="38" spans="2:35" ht="18.75" customHeight="1">
      <c r="B38" s="84"/>
      <c r="C38" s="84"/>
      <c r="D38" s="390"/>
      <c r="E38" s="390"/>
      <c r="F38" s="390"/>
      <c r="G38" s="390"/>
      <c r="H38" s="390"/>
      <c r="I38" s="390"/>
      <c r="J38" s="390"/>
      <c r="K38" s="390"/>
      <c r="L38" s="390"/>
      <c r="O38" s="95"/>
      <c r="P38" s="94"/>
      <c r="S38" s="109"/>
      <c r="T38" s="109"/>
      <c r="U38" s="109"/>
      <c r="V38" s="109"/>
      <c r="W38" s="109"/>
      <c r="X38" s="109"/>
      <c r="Y38" s="109"/>
      <c r="Z38" s="109"/>
      <c r="AA38" s="109"/>
      <c r="AB38" s="109"/>
      <c r="AC38" s="109"/>
      <c r="AD38" s="109"/>
      <c r="AE38" s="109"/>
      <c r="AF38" s="109"/>
      <c r="AG38" s="109"/>
      <c r="AH38" s="109"/>
      <c r="AI38" s="109"/>
    </row>
    <row r="39" spans="2:35" ht="18.75" customHeight="1">
      <c r="B39" s="84"/>
      <c r="C39" s="84"/>
      <c r="D39" s="390"/>
      <c r="E39" s="390"/>
      <c r="F39" s="390"/>
      <c r="G39" s="390"/>
      <c r="H39" s="390"/>
      <c r="I39" s="390"/>
      <c r="J39" s="390"/>
      <c r="K39" s="390"/>
      <c r="L39" s="390"/>
      <c r="O39" s="95"/>
      <c r="P39" s="94"/>
      <c r="S39" s="109"/>
      <c r="T39" s="109"/>
      <c r="U39" s="109"/>
      <c r="V39" s="109"/>
      <c r="W39" s="109"/>
      <c r="X39" s="109"/>
      <c r="Y39" s="109"/>
      <c r="Z39" s="109"/>
      <c r="AA39" s="109"/>
      <c r="AB39" s="109"/>
      <c r="AC39" s="109"/>
      <c r="AD39" s="109"/>
      <c r="AE39" s="109"/>
      <c r="AF39" s="109"/>
      <c r="AG39" s="109"/>
      <c r="AH39" s="109"/>
      <c r="AI39" s="109"/>
    </row>
    <row r="40" spans="2:35" ht="18.75" customHeight="1">
      <c r="B40" s="84"/>
      <c r="C40" s="84"/>
      <c r="D40" s="390"/>
      <c r="E40" s="390"/>
      <c r="F40" s="390"/>
      <c r="G40" s="390"/>
      <c r="H40" s="390"/>
      <c r="I40" s="390"/>
      <c r="J40" s="390"/>
      <c r="K40" s="390"/>
      <c r="L40" s="390"/>
      <c r="O40" s="95"/>
      <c r="P40" s="94"/>
      <c r="S40" s="109"/>
      <c r="T40" s="109"/>
      <c r="U40" s="109"/>
      <c r="V40" s="109"/>
      <c r="W40" s="109"/>
      <c r="X40" s="109"/>
      <c r="Y40" s="109"/>
      <c r="Z40" s="109"/>
      <c r="AA40" s="109"/>
      <c r="AB40" s="109"/>
      <c r="AC40" s="109"/>
      <c r="AD40" s="109"/>
      <c r="AE40" s="109"/>
      <c r="AF40" s="109"/>
      <c r="AG40" s="109"/>
      <c r="AH40" s="109"/>
      <c r="AI40" s="109"/>
    </row>
    <row r="41" spans="2:35" ht="18.75" customHeight="1">
      <c r="B41" s="84"/>
      <c r="C41" s="84"/>
      <c r="D41" s="390"/>
      <c r="E41" s="390"/>
      <c r="F41" s="390"/>
      <c r="G41" s="390"/>
      <c r="H41" s="390"/>
      <c r="I41" s="390"/>
      <c r="J41" s="390"/>
      <c r="K41" s="390"/>
      <c r="L41" s="390"/>
      <c r="O41" s="95"/>
      <c r="P41" s="94"/>
      <c r="S41" s="109"/>
      <c r="T41" s="109"/>
      <c r="U41" s="109"/>
      <c r="V41" s="109"/>
      <c r="W41" s="109"/>
      <c r="X41" s="109"/>
      <c r="Y41" s="109"/>
      <c r="Z41" s="109"/>
      <c r="AA41" s="109"/>
      <c r="AB41" s="109"/>
      <c r="AC41" s="109"/>
      <c r="AD41" s="109"/>
      <c r="AE41" s="109"/>
      <c r="AF41" s="109"/>
      <c r="AG41" s="109"/>
      <c r="AH41" s="109"/>
      <c r="AI41" s="109"/>
    </row>
    <row r="42" spans="2:35" ht="18.75" customHeight="1">
      <c r="B42" s="84"/>
      <c r="C42" s="84"/>
      <c r="D42" s="390"/>
      <c r="E42" s="390"/>
      <c r="F42" s="390"/>
      <c r="G42" s="390"/>
      <c r="H42" s="390"/>
      <c r="I42" s="390"/>
      <c r="J42" s="390"/>
      <c r="K42" s="390"/>
      <c r="L42" s="390"/>
      <c r="O42" s="95"/>
      <c r="P42" s="94"/>
      <c r="S42" s="109"/>
      <c r="T42" s="109"/>
      <c r="U42" s="109"/>
      <c r="V42" s="109"/>
      <c r="W42" s="109"/>
      <c r="X42" s="109"/>
      <c r="Y42" s="109"/>
      <c r="Z42" s="109"/>
      <c r="AA42" s="109"/>
      <c r="AB42" s="109"/>
      <c r="AC42" s="109"/>
      <c r="AD42" s="109"/>
      <c r="AE42" s="109"/>
      <c r="AF42" s="109"/>
      <c r="AG42" s="109"/>
      <c r="AH42" s="109"/>
      <c r="AI42" s="109"/>
    </row>
    <row r="43" spans="2:35" ht="18.75" customHeight="1">
      <c r="B43" s="84"/>
      <c r="C43" s="84"/>
      <c r="D43" s="390"/>
      <c r="E43" s="390"/>
      <c r="F43" s="390"/>
      <c r="G43" s="390"/>
      <c r="H43" s="390"/>
      <c r="I43" s="390"/>
      <c r="J43" s="390"/>
      <c r="K43" s="390"/>
      <c r="L43" s="390"/>
      <c r="O43" s="95"/>
      <c r="P43" s="94"/>
      <c r="S43" s="109"/>
      <c r="T43" s="109"/>
      <c r="U43" s="109"/>
      <c r="V43" s="109"/>
      <c r="W43" s="109"/>
      <c r="X43" s="109"/>
      <c r="Y43" s="109"/>
      <c r="Z43" s="109"/>
      <c r="AA43" s="109"/>
      <c r="AB43" s="109"/>
      <c r="AC43" s="109"/>
      <c r="AD43" s="109"/>
      <c r="AE43" s="109"/>
      <c r="AF43" s="109"/>
      <c r="AG43" s="109"/>
      <c r="AH43" s="109"/>
      <c r="AI43" s="109"/>
    </row>
    <row r="44" spans="2:35" ht="18.75" customHeight="1">
      <c r="B44" s="84"/>
      <c r="C44" s="84"/>
      <c r="D44" s="390"/>
      <c r="E44" s="390"/>
      <c r="F44" s="390"/>
      <c r="G44" s="390"/>
      <c r="H44" s="390"/>
      <c r="I44" s="390"/>
      <c r="J44" s="390"/>
      <c r="K44" s="390"/>
      <c r="L44" s="390"/>
      <c r="O44" s="95"/>
      <c r="P44" s="94"/>
      <c r="S44" s="109"/>
      <c r="T44" s="109"/>
      <c r="U44" s="109"/>
      <c r="V44" s="109"/>
      <c r="W44" s="109"/>
      <c r="X44" s="109"/>
      <c r="Y44" s="109"/>
      <c r="Z44" s="109"/>
      <c r="AA44" s="109"/>
      <c r="AB44" s="109"/>
      <c r="AC44" s="109"/>
      <c r="AD44" s="109"/>
      <c r="AE44" s="109"/>
      <c r="AF44" s="109"/>
      <c r="AG44" s="109"/>
      <c r="AH44" s="109"/>
      <c r="AI44" s="109"/>
    </row>
    <row r="45" spans="2:35" ht="18.75" customHeight="1">
      <c r="B45" s="84"/>
      <c r="C45" s="84"/>
      <c r="D45" s="390"/>
      <c r="E45" s="390"/>
      <c r="F45" s="390"/>
      <c r="G45" s="390"/>
      <c r="H45" s="390"/>
      <c r="I45" s="390"/>
      <c r="J45" s="390"/>
      <c r="K45" s="390"/>
      <c r="L45" s="390"/>
      <c r="O45" s="95"/>
      <c r="P45" s="94"/>
      <c r="S45" s="109"/>
      <c r="T45" s="109"/>
      <c r="U45" s="109"/>
      <c r="V45" s="109"/>
      <c r="W45" s="109"/>
      <c r="X45" s="109"/>
      <c r="Y45" s="109"/>
      <c r="Z45" s="109"/>
      <c r="AA45" s="109"/>
      <c r="AB45" s="109"/>
      <c r="AC45" s="109"/>
      <c r="AD45" s="109"/>
      <c r="AE45" s="109"/>
      <c r="AF45" s="109"/>
      <c r="AG45" s="109"/>
      <c r="AH45" s="109"/>
      <c r="AI45" s="109"/>
    </row>
    <row r="46" spans="2:35" ht="17.25" customHeight="1">
      <c r="B46" s="84"/>
      <c r="C46" s="84"/>
      <c r="D46" s="390"/>
      <c r="E46" s="390"/>
      <c r="F46" s="390"/>
      <c r="G46" s="390"/>
      <c r="H46" s="390"/>
      <c r="I46" s="390"/>
      <c r="J46" s="390"/>
      <c r="K46" s="390"/>
      <c r="L46" s="390"/>
      <c r="O46" s="95"/>
      <c r="P46" s="94"/>
      <c r="S46" s="109"/>
      <c r="T46" s="109"/>
      <c r="U46" s="109"/>
      <c r="V46" s="109"/>
      <c r="W46" s="109"/>
      <c r="X46" s="109"/>
      <c r="Y46" s="109"/>
      <c r="Z46" s="109"/>
      <c r="AA46" s="109"/>
      <c r="AB46" s="109"/>
      <c r="AC46" s="109"/>
      <c r="AD46" s="109"/>
      <c r="AE46" s="109"/>
      <c r="AF46" s="109"/>
      <c r="AG46" s="109"/>
      <c r="AH46" s="109"/>
      <c r="AI46" s="109"/>
    </row>
    <row r="47" spans="2:35" ht="6" customHeight="1">
      <c r="B47" s="15"/>
      <c r="C47" s="84"/>
      <c r="D47" s="611"/>
      <c r="E47" s="907"/>
      <c r="F47" s="907"/>
      <c r="G47" s="907"/>
      <c r="H47" s="907"/>
      <c r="I47" s="907"/>
      <c r="J47" s="907"/>
      <c r="K47" s="907"/>
      <c r="S47" s="109"/>
      <c r="T47" s="109"/>
      <c r="U47" s="109"/>
      <c r="V47" s="109"/>
      <c r="W47" s="109"/>
      <c r="X47" s="109"/>
      <c r="Y47" s="109"/>
      <c r="Z47" s="109"/>
      <c r="AA47" s="109"/>
      <c r="AB47" s="109"/>
      <c r="AC47" s="109"/>
      <c r="AD47" s="109"/>
      <c r="AE47" s="109"/>
      <c r="AF47" s="109"/>
      <c r="AG47" s="109"/>
      <c r="AH47" s="109"/>
      <c r="AI47" s="109"/>
    </row>
    <row r="48" spans="2:35" ht="50.25" customHeight="1">
      <c r="B48" s="963" t="s">
        <v>984</v>
      </c>
      <c r="C48" s="963"/>
      <c r="D48" s="963"/>
      <c r="E48" s="213" t="s">
        <v>774</v>
      </c>
      <c r="F48" s="213" t="s">
        <v>773</v>
      </c>
      <c r="G48" s="1059" t="s">
        <v>58</v>
      </c>
      <c r="H48" s="1060"/>
      <c r="I48" s="1061" t="s">
        <v>59</v>
      </c>
      <c r="J48" s="1062"/>
      <c r="K48" s="617" t="s">
        <v>60</v>
      </c>
      <c r="L48" s="976" t="s">
        <v>983</v>
      </c>
      <c r="M48" s="977"/>
      <c r="N48" s="977"/>
      <c r="O48" s="977"/>
      <c r="P48" s="977"/>
      <c r="Q48" s="978"/>
      <c r="S48" s="43" t="s">
        <v>61</v>
      </c>
      <c r="T48" s="616">
        <v>0</v>
      </c>
      <c r="U48" s="613">
        <v>0.3</v>
      </c>
      <c r="V48" s="613">
        <v>0.6</v>
      </c>
      <c r="W48" s="613">
        <v>0.9</v>
      </c>
      <c r="X48" s="613">
        <v>1</v>
      </c>
      <c r="Y48" s="12"/>
      <c r="Z48" s="12"/>
      <c r="AA48" s="43" t="s">
        <v>61</v>
      </c>
      <c r="AB48" s="616">
        <v>0</v>
      </c>
      <c r="AC48" s="613">
        <v>0.2</v>
      </c>
      <c r="AD48" s="613">
        <v>0.4</v>
      </c>
      <c r="AE48" s="613">
        <v>0.6</v>
      </c>
      <c r="AF48" s="613">
        <v>0.8</v>
      </c>
      <c r="AG48" s="12"/>
      <c r="AH48" s="12"/>
      <c r="AI48" s="12"/>
    </row>
    <row r="49" spans="2:35" ht="160.15" customHeight="1">
      <c r="B49" s="970" t="s">
        <v>982</v>
      </c>
      <c r="C49" s="971"/>
      <c r="D49" s="972"/>
      <c r="E49" s="614">
        <v>0.99</v>
      </c>
      <c r="F49" s="614">
        <v>0.95</v>
      </c>
      <c r="G49" s="1074">
        <f>(F49/E49)</f>
        <v>0.95959595959595956</v>
      </c>
      <c r="H49" s="1075"/>
      <c r="I49" s="1075"/>
      <c r="J49" s="1075"/>
      <c r="K49" s="1076"/>
      <c r="L49" s="1077" t="s">
        <v>981</v>
      </c>
      <c r="M49" s="1078"/>
      <c r="N49" s="1078"/>
      <c r="O49" s="1078"/>
      <c r="P49" s="1078"/>
      <c r="Q49" s="1078"/>
      <c r="S49" s="43" t="s">
        <v>62</v>
      </c>
      <c r="T49" s="613">
        <v>0.3</v>
      </c>
      <c r="U49" s="613">
        <v>0.6</v>
      </c>
      <c r="V49" s="613">
        <v>0.9</v>
      </c>
      <c r="W49" s="613">
        <v>1</v>
      </c>
      <c r="X49" s="613">
        <v>2</v>
      </c>
      <c r="Y49" s="12"/>
      <c r="Z49" s="12"/>
      <c r="AA49" s="43" t="s">
        <v>62</v>
      </c>
      <c r="AB49" s="613">
        <v>0.2</v>
      </c>
      <c r="AC49" s="613">
        <v>0.4</v>
      </c>
      <c r="AD49" s="613">
        <v>0.6</v>
      </c>
      <c r="AE49" s="613">
        <v>0.8</v>
      </c>
      <c r="AF49" s="613">
        <v>1</v>
      </c>
      <c r="AG49" s="12"/>
      <c r="AH49" s="12"/>
      <c r="AI49" s="12"/>
    </row>
    <row r="50" spans="2:35" ht="317.5" customHeight="1">
      <c r="B50" s="970" t="str">
        <f>+'Ввод данных'!A209</f>
        <v xml:space="preserve">MDR TB-2: Количество бактериологически подтвержденных зарегистрированных ЛУ-ТБ случаев (РУ-ТБ и/или МЛУ-ТБ)		</v>
      </c>
      <c r="C50" s="971"/>
      <c r="D50" s="972"/>
      <c r="E50" s="214">
        <v>1850</v>
      </c>
      <c r="F50" s="214">
        <v>768</v>
      </c>
      <c r="G50" s="1074">
        <f>(F50/E50)</f>
        <v>0.41513513513513511</v>
      </c>
      <c r="H50" s="1075"/>
      <c r="I50" s="1075"/>
      <c r="J50" s="1075"/>
      <c r="K50" s="1076"/>
      <c r="L50" s="1073" t="s">
        <v>1033</v>
      </c>
      <c r="M50" s="1073"/>
      <c r="N50" s="1073"/>
      <c r="O50" s="1073"/>
      <c r="P50" s="1073"/>
      <c r="Q50" s="1073"/>
      <c r="S50" s="46"/>
      <c r="T50" s="615" t="str">
        <f>"de "&amp;T48&amp;" a "&amp;T49</f>
        <v>de 0 a 0.3</v>
      </c>
      <c r="U50" s="615" t="str">
        <f>"de "&amp;U48&amp;" a "&amp;U49</f>
        <v>de 0.3 a 0.6</v>
      </c>
      <c r="AH50" s="12"/>
      <c r="AI50" s="12"/>
    </row>
    <row r="51" spans="2:35" ht="196.15" customHeight="1">
      <c r="B51" s="970" t="str">
        <f>+'Ввод данных'!A211</f>
        <v>MDR TB-3: Количество случаев с РУ/МЛУ ТБ, начавших лечение препаратами второго ряда</v>
      </c>
      <c r="C51" s="971"/>
      <c r="D51" s="972"/>
      <c r="E51" s="214">
        <v>1850</v>
      </c>
      <c r="F51" s="214">
        <v>776</v>
      </c>
      <c r="G51" s="1074">
        <f>(F51/E51)</f>
        <v>0.41945945945945945</v>
      </c>
      <c r="H51" s="1075"/>
      <c r="I51" s="1075"/>
      <c r="J51" s="1075"/>
      <c r="K51" s="1076"/>
      <c r="L51" s="1077" t="s">
        <v>980</v>
      </c>
      <c r="M51" s="1077"/>
      <c r="N51" s="1077"/>
      <c r="O51" s="1077"/>
      <c r="P51" s="1077"/>
      <c r="Q51" s="1077"/>
      <c r="S51" s="46"/>
      <c r="T51" s="613" t="e">
        <f>IF($K49&gt;T$48,IF($K49&lt;=T$49,$K49,NA()),NA())</f>
        <v>#N/A</v>
      </c>
      <c r="U51" s="613" t="e">
        <f>IF($K49&gt;U$48,IF($K49&lt;=U$49,$K49,NA()),NA())</f>
        <v>#N/A</v>
      </c>
      <c r="AH51" s="12"/>
      <c r="AI51" s="12"/>
    </row>
    <row r="52" spans="2:35" ht="114.4" customHeight="1">
      <c r="B52" s="1070" t="str">
        <f>+'Ввод данных'!A213</f>
        <v>MDR TB-7: Процент подтвержденных МЛУ-ТБ случаев, протестированных на чувствительность к фторхинолонам и инъекционным препаратам второго ряда</v>
      </c>
      <c r="C52" s="1071"/>
      <c r="D52" s="1072"/>
      <c r="E52" s="614">
        <v>0.8</v>
      </c>
      <c r="F52" s="614">
        <v>0.86</v>
      </c>
      <c r="G52" s="1074">
        <f>(F52/E52)</f>
        <v>1.075</v>
      </c>
      <c r="H52" s="1075"/>
      <c r="I52" s="1075"/>
      <c r="J52" s="1075"/>
      <c r="K52" s="1076"/>
      <c r="L52" s="1064" t="s">
        <v>655</v>
      </c>
      <c r="M52" s="1065"/>
      <c r="N52" s="1065"/>
      <c r="O52" s="1065"/>
      <c r="P52" s="1065"/>
      <c r="Q52" s="1066"/>
      <c r="S52" s="46"/>
      <c r="T52" s="613"/>
      <c r="U52" s="613"/>
      <c r="AH52" s="12"/>
      <c r="AI52" s="12"/>
    </row>
    <row r="53" spans="2:35" ht="177.4" customHeight="1">
      <c r="B53" s="941" t="s">
        <v>779</v>
      </c>
      <c r="C53" s="942"/>
      <c r="D53" s="943"/>
      <c r="E53" s="612">
        <v>0.45</v>
      </c>
      <c r="F53" s="612">
        <v>0.2</v>
      </c>
      <c r="G53" s="1067">
        <f>(F53/E53)</f>
        <v>0.44444444444444448</v>
      </c>
      <c r="H53" s="1068"/>
      <c r="I53" s="1068"/>
      <c r="J53" s="1068"/>
      <c r="K53" s="1069"/>
      <c r="L53" s="1077" t="s">
        <v>979</v>
      </c>
      <c r="M53" s="1078"/>
      <c r="N53" s="1078"/>
      <c r="O53" s="1078"/>
      <c r="P53" s="1078"/>
      <c r="Q53" s="1078"/>
      <c r="AH53" s="12"/>
      <c r="AI53" s="12"/>
    </row>
    <row r="54" spans="2:35" ht="135" customHeight="1">
      <c r="B54" s="952" t="s">
        <v>673</v>
      </c>
      <c r="C54" s="942"/>
      <c r="D54" s="943"/>
      <c r="E54" s="412" t="s">
        <v>978</v>
      </c>
      <c r="F54" s="412" t="s">
        <v>636</v>
      </c>
      <c r="G54" s="1067">
        <v>0</v>
      </c>
      <c r="H54" s="1068"/>
      <c r="I54" s="1068"/>
      <c r="J54" s="1068"/>
      <c r="K54" s="1069"/>
      <c r="L54" s="1073" t="s">
        <v>977</v>
      </c>
      <c r="M54" s="1073"/>
      <c r="N54" s="1073"/>
      <c r="O54" s="1073"/>
      <c r="P54" s="1073"/>
      <c r="Q54" s="1073"/>
      <c r="AH54" s="12"/>
      <c r="AI54" s="12"/>
    </row>
    <row r="55" spans="2:35" ht="22.5" customHeight="1">
      <c r="B55" s="951"/>
      <c r="C55" s="951"/>
      <c r="D55" s="951"/>
      <c r="E55" s="951"/>
      <c r="F55" s="950"/>
      <c r="G55" s="950"/>
      <c r="H55" s="950"/>
      <c r="I55" s="950"/>
      <c r="J55" s="950"/>
      <c r="K55" s="950"/>
      <c r="L55" s="955"/>
      <c r="M55" s="955"/>
      <c r="N55" s="955"/>
      <c r="O55" s="955"/>
      <c r="P55" s="955"/>
      <c r="AH55" s="12"/>
      <c r="AI55" s="12"/>
    </row>
    <row r="56" spans="2:35" ht="22.5" customHeight="1">
      <c r="B56" s="947"/>
      <c r="C56" s="947"/>
      <c r="D56" s="947"/>
      <c r="E56" s="948"/>
      <c r="F56" s="949"/>
      <c r="G56" s="947"/>
      <c r="H56" s="947"/>
      <c r="I56" s="947"/>
      <c r="J56" s="947"/>
      <c r="K56" s="948"/>
      <c r="L56" s="949"/>
      <c r="M56" s="947"/>
      <c r="N56" s="947"/>
      <c r="O56" s="947"/>
      <c r="P56" s="947"/>
      <c r="Y56" s="12"/>
      <c r="Z56" s="12"/>
      <c r="AA56" s="12"/>
      <c r="AB56" s="12"/>
      <c r="AC56" s="12"/>
      <c r="AD56" s="12"/>
      <c r="AE56" s="12"/>
      <c r="AF56" s="12"/>
      <c r="AG56" s="12"/>
      <c r="AH56" s="12"/>
      <c r="AI56" s="12"/>
    </row>
    <row r="57" spans="2:35">
      <c r="B57" s="110"/>
      <c r="C57" s="110"/>
      <c r="D57" s="110"/>
      <c r="E57" s="110"/>
      <c r="F57" s="110"/>
      <c r="G57" s="110"/>
      <c r="H57" s="111"/>
      <c r="I57" s="110"/>
      <c r="J57" s="110"/>
      <c r="K57" s="110"/>
      <c r="L57" s="110"/>
      <c r="M57" s="110"/>
      <c r="N57" s="110"/>
      <c r="O57" s="110"/>
      <c r="P57" s="110"/>
      <c r="Y57" s="12"/>
      <c r="Z57" s="12"/>
      <c r="AA57" s="12"/>
      <c r="AB57" s="12"/>
      <c r="AC57" s="12"/>
      <c r="AD57" s="12"/>
      <c r="AE57" s="12"/>
      <c r="AF57" s="12"/>
      <c r="AG57" s="12"/>
      <c r="AH57" s="12"/>
      <c r="AI57" s="12"/>
    </row>
    <row r="58" spans="2:35">
      <c r="B58" s="940"/>
      <c r="C58" s="940"/>
      <c r="D58" s="940"/>
      <c r="E58" s="940"/>
      <c r="F58" s="940"/>
      <c r="G58" s="940"/>
      <c r="H58" s="940"/>
      <c r="I58" s="940"/>
      <c r="J58" s="940"/>
      <c r="K58" s="940"/>
      <c r="L58" s="110"/>
      <c r="M58" s="110"/>
      <c r="N58" s="110"/>
      <c r="O58" s="110"/>
      <c r="P58" s="110"/>
      <c r="Y58" s="12"/>
      <c r="Z58" s="12"/>
      <c r="AA58" s="12"/>
      <c r="AB58" s="12"/>
      <c r="AC58" s="12"/>
      <c r="AD58" s="12"/>
      <c r="AE58" s="12"/>
      <c r="AF58" s="12"/>
      <c r="AG58" s="12"/>
      <c r="AH58" s="12"/>
      <c r="AI58" s="12"/>
    </row>
    <row r="59" spans="2:35">
      <c r="B59" s="940"/>
      <c r="C59" s="940"/>
      <c r="D59" s="940"/>
      <c r="E59" s="940"/>
      <c r="F59" s="940"/>
      <c r="G59" s="940"/>
      <c r="H59" s="940"/>
      <c r="I59" s="940"/>
      <c r="J59" s="940"/>
      <c r="K59" s="940"/>
      <c r="L59" s="110"/>
      <c r="M59" s="110"/>
      <c r="N59" s="110"/>
      <c r="O59" s="110"/>
      <c r="P59" s="110"/>
      <c r="S59" s="12"/>
      <c r="T59" s="12"/>
      <c r="U59" s="12"/>
      <c r="V59" s="12"/>
      <c r="W59" s="12"/>
      <c r="X59" s="12"/>
      <c r="Y59" s="12"/>
      <c r="Z59" s="12"/>
      <c r="AA59" s="12"/>
      <c r="AB59" s="12"/>
      <c r="AC59" s="12"/>
      <c r="AD59" s="12"/>
      <c r="AE59" s="12"/>
      <c r="AF59" s="12"/>
      <c r="AG59" s="12"/>
      <c r="AH59" s="12"/>
      <c r="AI59" s="12"/>
    </row>
    <row r="60" spans="2:35">
      <c r="I60" s="66"/>
      <c r="J60" s="66"/>
      <c r="K60" s="66"/>
      <c r="S60" s="12"/>
      <c r="T60" s="12"/>
      <c r="U60" s="12"/>
      <c r="V60" s="12"/>
      <c r="W60" s="12"/>
      <c r="X60" s="12"/>
      <c r="Y60" s="12"/>
      <c r="Z60" s="12"/>
      <c r="AA60" s="12"/>
      <c r="AB60" s="12"/>
      <c r="AC60" s="12"/>
      <c r="AD60" s="12"/>
      <c r="AE60" s="12"/>
      <c r="AF60" s="12"/>
      <c r="AG60" s="12"/>
      <c r="AH60" s="12"/>
      <c r="AI60" s="12"/>
    </row>
    <row r="61" spans="2:35">
      <c r="I61" s="88"/>
      <c r="J61" s="89"/>
      <c r="K61" s="89"/>
      <c r="S61" s="12"/>
      <c r="T61" s="12"/>
      <c r="U61" s="12"/>
      <c r="V61" s="12"/>
      <c r="W61" s="12"/>
      <c r="X61" s="12"/>
      <c r="Y61" s="12"/>
      <c r="Z61" s="12"/>
      <c r="AA61" s="12"/>
      <c r="AB61" s="12"/>
      <c r="AC61" s="12"/>
      <c r="AD61" s="12"/>
      <c r="AE61" s="12"/>
      <c r="AF61" s="12"/>
      <c r="AG61" s="12"/>
      <c r="AH61" s="12"/>
      <c r="AI61" s="12"/>
    </row>
    <row r="62" spans="2:35">
      <c r="I62" s="90"/>
      <c r="J62" s="28"/>
      <c r="K62" s="25"/>
      <c r="S62" s="12"/>
      <c r="T62" s="12"/>
      <c r="U62" s="12"/>
      <c r="V62" s="12"/>
      <c r="W62" s="12"/>
      <c r="X62" s="12"/>
      <c r="Y62" s="12"/>
      <c r="Z62" s="12"/>
      <c r="AA62" s="12"/>
      <c r="AB62" s="12"/>
      <c r="AC62" s="12"/>
      <c r="AD62" s="12"/>
      <c r="AE62" s="12"/>
      <c r="AF62" s="12"/>
      <c r="AG62" s="12"/>
      <c r="AH62" s="12"/>
      <c r="AI62" s="12"/>
    </row>
    <row r="63" spans="2:35">
      <c r="I63" s="90"/>
      <c r="J63" s="28"/>
      <c r="K63" s="25"/>
      <c r="S63" s="12"/>
      <c r="T63" s="12"/>
      <c r="U63" s="12"/>
      <c r="V63" s="12"/>
      <c r="W63" s="12"/>
      <c r="X63" s="12"/>
      <c r="Y63" s="12"/>
      <c r="Z63" s="12"/>
      <c r="AA63" s="12"/>
      <c r="AB63" s="12"/>
      <c r="AC63" s="12"/>
      <c r="AD63" s="12"/>
      <c r="AE63" s="12"/>
      <c r="AF63" s="12"/>
      <c r="AG63" s="12"/>
      <c r="AH63" s="12"/>
      <c r="AI63" s="12"/>
    </row>
    <row r="64" spans="2:35">
      <c r="I64" s="90"/>
      <c r="J64" s="28"/>
      <c r="K64" s="25"/>
      <c r="S64" s="12"/>
      <c r="T64" s="12"/>
      <c r="U64" s="12"/>
      <c r="V64" s="12"/>
      <c r="W64" s="12"/>
      <c r="X64" s="12"/>
      <c r="Y64" s="12"/>
      <c r="Z64" s="12"/>
      <c r="AA64" s="12"/>
      <c r="AB64" s="12"/>
      <c r="AC64" s="12"/>
      <c r="AD64" s="12"/>
      <c r="AE64" s="12"/>
      <c r="AF64" s="12"/>
      <c r="AG64" s="12"/>
      <c r="AH64" s="12"/>
      <c r="AI64" s="12"/>
    </row>
    <row r="65" spans="19:35">
      <c r="S65" s="12"/>
      <c r="T65" s="12"/>
      <c r="U65" s="12"/>
      <c r="V65" s="12"/>
      <c r="W65" s="12"/>
      <c r="X65" s="12"/>
      <c r="Y65" s="12"/>
      <c r="Z65" s="12"/>
      <c r="AA65" s="12"/>
      <c r="AB65" s="12"/>
      <c r="AC65" s="12"/>
      <c r="AD65" s="12"/>
      <c r="AE65" s="12"/>
      <c r="AF65" s="12"/>
      <c r="AG65" s="12"/>
      <c r="AH65" s="12"/>
      <c r="AI65" s="12"/>
    </row>
    <row r="66" spans="19:35">
      <c r="S66" s="12"/>
      <c r="T66" s="12"/>
      <c r="U66" s="12"/>
      <c r="V66" s="12"/>
      <c r="W66" s="12"/>
      <c r="X66" s="12"/>
      <c r="Y66" s="12"/>
      <c r="Z66" s="12"/>
      <c r="AA66" s="12"/>
      <c r="AB66" s="12"/>
      <c r="AC66" s="12"/>
      <c r="AD66" s="12"/>
      <c r="AE66" s="12"/>
      <c r="AF66" s="12"/>
      <c r="AG66" s="12"/>
      <c r="AH66" s="12"/>
      <c r="AI66" s="12"/>
    </row>
    <row r="67" spans="19:35">
      <c r="S67" s="3"/>
      <c r="T67" s="3"/>
      <c r="U67" s="3"/>
      <c r="V67" s="3"/>
      <c r="W67" s="3"/>
      <c r="X67" s="3"/>
      <c r="Y67" s="3"/>
      <c r="Z67" s="3"/>
      <c r="AA67" s="3"/>
      <c r="AB67" s="3"/>
    </row>
    <row r="68" spans="19:35">
      <c r="S68" s="3"/>
      <c r="T68" s="3"/>
      <c r="U68" s="3"/>
      <c r="V68" s="3"/>
      <c r="W68" s="3"/>
      <c r="X68" s="3"/>
      <c r="Y68" s="3"/>
      <c r="Z68" s="3"/>
      <c r="AA68" s="3"/>
      <c r="AB68" s="3"/>
    </row>
    <row r="69" spans="19:35">
      <c r="S69" s="3"/>
      <c r="T69" s="3"/>
      <c r="U69" s="3"/>
      <c r="V69" s="3"/>
      <c r="W69" s="3"/>
      <c r="X69" s="3"/>
      <c r="Y69" s="3"/>
      <c r="Z69" s="3"/>
      <c r="AA69" s="3"/>
      <c r="AB69" s="3"/>
    </row>
    <row r="70" spans="19:35">
      <c r="S70" s="3"/>
      <c r="T70" s="3"/>
      <c r="U70" s="3"/>
      <c r="V70" s="3"/>
      <c r="W70" s="3"/>
      <c r="X70" s="3"/>
      <c r="Y70" s="3"/>
      <c r="Z70" s="3"/>
      <c r="AA70" s="3"/>
      <c r="AB70" s="3"/>
    </row>
    <row r="71" spans="19:35">
      <c r="S71" s="3"/>
      <c r="T71" s="3"/>
      <c r="U71" s="3"/>
      <c r="V71" s="3"/>
      <c r="W71" s="3"/>
      <c r="X71" s="3"/>
      <c r="Y71" s="3"/>
      <c r="Z71" s="3"/>
      <c r="AA71" s="3"/>
      <c r="AB71" s="3"/>
    </row>
  </sheetData>
  <mergeCells count="94">
    <mergeCell ref="C3:D3"/>
    <mergeCell ref="E4:L4"/>
    <mergeCell ref="B35:E35"/>
    <mergeCell ref="F35:K35"/>
    <mergeCell ref="I21:J21"/>
    <mergeCell ref="L21:Q21"/>
    <mergeCell ref="B22:D22"/>
    <mergeCell ref="L32:Q32"/>
    <mergeCell ref="F34:M34"/>
    <mergeCell ref="B33:D33"/>
    <mergeCell ref="G33:K33"/>
    <mergeCell ref="L33:Q33"/>
    <mergeCell ref="G32:K32"/>
    <mergeCell ref="B32:D32"/>
    <mergeCell ref="B28:D28"/>
    <mergeCell ref="B27:D27"/>
    <mergeCell ref="L48:Q48"/>
    <mergeCell ref="L54:Q54"/>
    <mergeCell ref="G49:K49"/>
    <mergeCell ref="C36:E36"/>
    <mergeCell ref="G36:K36"/>
    <mergeCell ref="M36:Q36"/>
    <mergeCell ref="L49:Q49"/>
    <mergeCell ref="L50:Q50"/>
    <mergeCell ref="L51:Q51"/>
    <mergeCell ref="B49:D49"/>
    <mergeCell ref="B51:D51"/>
    <mergeCell ref="B50:D50"/>
    <mergeCell ref="G50:K50"/>
    <mergeCell ref="G51:K51"/>
    <mergeCell ref="G52:K52"/>
    <mergeCell ref="L53:Q53"/>
    <mergeCell ref="L52:Q52"/>
    <mergeCell ref="B58:D59"/>
    <mergeCell ref="E58:G59"/>
    <mergeCell ref="H58:K59"/>
    <mergeCell ref="B53:D53"/>
    <mergeCell ref="G53:K53"/>
    <mergeCell ref="G54:K54"/>
    <mergeCell ref="B56:E56"/>
    <mergeCell ref="F56:K56"/>
    <mergeCell ref="L56:P56"/>
    <mergeCell ref="B52:D52"/>
    <mergeCell ref="F55:K55"/>
    <mergeCell ref="B55:E55"/>
    <mergeCell ref="B54:D54"/>
    <mergeCell ref="L55:P55"/>
    <mergeCell ref="G48:H48"/>
    <mergeCell ref="I48:J48"/>
    <mergeCell ref="E47:K47"/>
    <mergeCell ref="B48:D48"/>
    <mergeCell ref="G30:K30"/>
    <mergeCell ref="L30:Q30"/>
    <mergeCell ref="B31:D31"/>
    <mergeCell ref="L31:Q31"/>
    <mergeCell ref="L26:Q26"/>
    <mergeCell ref="G24:K24"/>
    <mergeCell ref="L24:Q24"/>
    <mergeCell ref="G27:K27"/>
    <mergeCell ref="L29:Q29"/>
    <mergeCell ref="L28:Q28"/>
    <mergeCell ref="G28:K28"/>
    <mergeCell ref="L27:Q27"/>
    <mergeCell ref="G29:K29"/>
    <mergeCell ref="B30:D30"/>
    <mergeCell ref="G31:K31"/>
    <mergeCell ref="B29:D29"/>
    <mergeCell ref="B2:Q2"/>
    <mergeCell ref="O3:P3"/>
    <mergeCell ref="D5:N5"/>
    <mergeCell ref="L35:Q35"/>
    <mergeCell ref="E3:K3"/>
    <mergeCell ref="C4:D4"/>
    <mergeCell ref="E6:L6"/>
    <mergeCell ref="B8:E8"/>
    <mergeCell ref="F8:K8"/>
    <mergeCell ref="L8:Q8"/>
    <mergeCell ref="B25:D25"/>
    <mergeCell ref="G21:H21"/>
    <mergeCell ref="G25:K25"/>
    <mergeCell ref="L25:Q25"/>
    <mergeCell ref="B26:D26"/>
    <mergeCell ref="G26:K26"/>
    <mergeCell ref="C9:E9"/>
    <mergeCell ref="G9:K9"/>
    <mergeCell ref="M9:Q9"/>
    <mergeCell ref="E20:K20"/>
    <mergeCell ref="B24:D24"/>
    <mergeCell ref="B21:D21"/>
    <mergeCell ref="G22:K22"/>
    <mergeCell ref="L22:Q22"/>
    <mergeCell ref="B23:D23"/>
    <mergeCell ref="G23:K23"/>
    <mergeCell ref="L23:Q23"/>
  </mergeCells>
  <conditionalFormatting sqref="C4:D4">
    <cfRule type="cellIs" dxfId="21" priority="14" stopIfTrue="1" operator="equal">
      <formula>"C"</formula>
    </cfRule>
    <cfRule type="cellIs" dxfId="20" priority="15" stopIfTrue="1" operator="equal">
      <formula>"B2"</formula>
    </cfRule>
    <cfRule type="cellIs" dxfId="19" priority="16" stopIfTrue="1" operator="equal">
      <formula>"B1"</formula>
    </cfRule>
  </conditionalFormatting>
  <conditionalFormatting sqref="G22:G24">
    <cfRule type="cellIs" dxfId="18" priority="2" stopIfTrue="1" operator="between">
      <formula>0.6</formula>
      <formula>0.899</formula>
    </cfRule>
    <cfRule type="cellIs" dxfId="17" priority="3" stopIfTrue="1" operator="greaterThanOrEqual">
      <formula>0.9</formula>
    </cfRule>
  </conditionalFormatting>
  <conditionalFormatting sqref="G22:G33">
    <cfRule type="cellIs" dxfId="16" priority="1" stopIfTrue="1" operator="between">
      <formula>0</formula>
      <formula>0.599</formula>
    </cfRule>
  </conditionalFormatting>
  <conditionalFormatting sqref="G25:G33">
    <cfRule type="cellIs" dxfId="15" priority="6" stopIfTrue="1" operator="between">
      <formula>0.6</formula>
      <formula>0.899</formula>
    </cfRule>
    <cfRule type="cellIs" dxfId="14" priority="7" stopIfTrue="1" operator="greaterThanOrEqual">
      <formula>0.9</formula>
    </cfRule>
  </conditionalFormatting>
  <conditionalFormatting sqref="G30">
    <cfRule type="cellIs" dxfId="13" priority="4" stopIfTrue="1" operator="between">
      <formula>0.6</formula>
      <formula>0.899</formula>
    </cfRule>
    <cfRule type="cellIs" dxfId="12" priority="5" stopIfTrue="1" operator="greaterThanOrEqual">
      <formula>0.9</formula>
    </cfRule>
  </conditionalFormatting>
  <conditionalFormatting sqref="G49:G54">
    <cfRule type="cellIs" dxfId="11" priority="11" stopIfTrue="1" operator="between">
      <formula>0</formula>
      <formula>0.599</formula>
    </cfRule>
    <cfRule type="cellIs" dxfId="10" priority="12" stopIfTrue="1" operator="between">
      <formula>0.6</formula>
      <formula>0.899</formula>
    </cfRule>
    <cfRule type="cellIs" dxfId="9" priority="13" stopIfTrue="1" operator="greaterThanOrEqual">
      <formula>0.9</formula>
    </cfRule>
  </conditionalFormatting>
  <conditionalFormatting sqref="G49:K54">
    <cfRule type="cellIs" dxfId="8" priority="8" stopIfTrue="1" operator="greaterThan">
      <formula>0.9</formula>
    </cfRule>
    <cfRule type="cellIs" dxfId="7" priority="9" stopIfTrue="1" operator="between">
      <formula>0.6</formula>
      <formula>0.89</formula>
    </cfRule>
    <cfRule type="cellIs" dxfId="6" priority="10" stopIfTrue="1" operator="lessThan">
      <formula>0.59</formula>
    </cfRule>
  </conditionalFormatting>
  <pageMargins left="0.70866141732283472" right="0.70866141732283472" top="0.74803149606299213" bottom="0.74803149606299213" header="0.31496062992125984" footer="0.31496062992125984"/>
  <pageSetup paperSize="8" scale="87" orientation="landscape" r:id="rId1"/>
  <headerFooter alignWithMargins="0">
    <oddFooter>&amp;L&amp;F&amp;C&amp;A&amp;RV1.0          &amp;D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F6926-7FE1-48EA-A2B2-000227C58686}">
  <sheetPr>
    <tabColor indexed="41"/>
  </sheetPr>
  <dimension ref="A1:Q66"/>
  <sheetViews>
    <sheetView showGridLines="0" zoomScale="90" zoomScaleNormal="90" workbookViewId="0">
      <selection activeCell="C4" sqref="C4:D4"/>
    </sheetView>
  </sheetViews>
  <sheetFormatPr defaultColWidth="11" defaultRowHeight="14.5"/>
  <cols>
    <col min="1" max="1" width="3.26953125" customWidth="1"/>
    <col min="2" max="2" width="12.26953125" customWidth="1"/>
    <col min="3" max="3" width="13.26953125" customWidth="1"/>
    <col min="4" max="4" width="14.26953125" customWidth="1"/>
    <col min="5" max="5" width="12.7265625" customWidth="1"/>
    <col min="6" max="7" width="17" customWidth="1"/>
    <col min="8" max="8" width="3.7265625" customWidth="1"/>
    <col min="9" max="9" width="17.7265625" customWidth="1"/>
    <col min="10" max="10" width="31.26953125" customWidth="1"/>
    <col min="11" max="11" width="13.7265625" customWidth="1"/>
    <col min="12" max="12" width="13.54296875" customWidth="1"/>
    <col min="13" max="13" width="14" customWidth="1"/>
  </cols>
  <sheetData>
    <row r="1" spans="1:17" ht="28.5" customHeight="1">
      <c r="C1" s="114"/>
      <c r="E1" s="79"/>
    </row>
    <row r="2" spans="1:17" ht="27.75" customHeight="1">
      <c r="B2" s="894" t="str">
        <f>+"Панель показателей:  "&amp;"  "&amp;IF(+'Ввод данных'!B4="Выберите","",'Ввод данных'!B4&amp;" - ")&amp;IF('Ввод данных'!F6="Выберите","",'Ввод данных'!F6)</f>
        <v>Панель показателей:    Кыргызстан - ВИЧ/СПИД/ТБ</v>
      </c>
      <c r="C2" s="894"/>
      <c r="D2" s="894"/>
      <c r="E2" s="894"/>
      <c r="F2" s="894"/>
      <c r="G2" s="894"/>
      <c r="H2" s="894"/>
      <c r="I2" s="894"/>
      <c r="J2" s="894"/>
      <c r="K2" s="894"/>
      <c r="L2" s="894"/>
      <c r="M2" s="894"/>
      <c r="N2" s="17"/>
      <c r="O2" s="17"/>
      <c r="P2" s="17"/>
      <c r="Q2" s="17"/>
    </row>
    <row r="3" spans="1:17" ht="22.5" customHeight="1">
      <c r="A3" s="200"/>
      <c r="B3" s="201">
        <f>+IF('Ввод данных'!F8="Пожалуйста выберите","",'Ввод данных'!F8)</f>
        <v>0</v>
      </c>
      <c r="C3" s="1006">
        <f>+IF('Ввод данных'!H8="Пожалуйста выберите","",'Ввод данных'!H8)</f>
        <v>0</v>
      </c>
      <c r="D3" s="1006"/>
      <c r="E3" s="885"/>
      <c r="F3" s="885"/>
      <c r="G3" s="885"/>
      <c r="H3" s="885"/>
      <c r="I3" s="885"/>
      <c r="J3" s="885"/>
      <c r="K3" s="883" t="str">
        <f>+'Ввод данных'!A16</f>
        <v>Отчетный период</v>
      </c>
      <c r="L3" s="883"/>
      <c r="M3" s="93" t="str">
        <f>+'Ввод данных'!B16</f>
        <v>P3</v>
      </c>
    </row>
    <row r="4" spans="1:17" ht="25.5" customHeight="1">
      <c r="A4" s="200"/>
      <c r="B4" s="206" t="str">
        <f>+'Ввод данных'!A12</f>
        <v>Последняя оценка:</v>
      </c>
      <c r="C4" s="1083" t="str">
        <f>+IF('Ввод данных'!B12="Выберите","",'Ввод данных'!B12)</f>
        <v>C</v>
      </c>
      <c r="D4" s="1083"/>
      <c r="E4" s="885" t="str">
        <f>+'Ввод данных'!B8</f>
        <v>ПРООН</v>
      </c>
      <c r="F4" s="885"/>
      <c r="G4" s="885"/>
      <c r="H4" s="885"/>
      <c r="I4" s="885"/>
      <c r="J4" s="885"/>
      <c r="K4" s="883" t="str">
        <f>+'Ввод данных'!C16</f>
        <v>с:</v>
      </c>
      <c r="L4" s="883"/>
      <c r="M4" s="94">
        <f>+IF(ISBLANK('Ввод данных'!D16),"",'Ввод данных'!D16)</f>
        <v>44927</v>
      </c>
    </row>
    <row r="5" spans="1:17" ht="18.75" customHeight="1">
      <c r="B5" s="84"/>
      <c r="C5" s="84"/>
      <c r="D5" s="885" t="str">
        <f>+'Ввод данных'!F4</f>
        <v>«Эффективный контроль за ВИЧ-инфекцией и туберкулезом в Кыргызской Республике»</v>
      </c>
      <c r="E5" s="885"/>
      <c r="F5" s="885"/>
      <c r="G5" s="885"/>
      <c r="H5" s="885"/>
      <c r="I5" s="885"/>
      <c r="J5" s="885"/>
      <c r="K5" s="885"/>
      <c r="L5" s="84" t="str">
        <f>+'Ввод данных'!E16</f>
        <v>до:</v>
      </c>
      <c r="M5" s="94">
        <f>+IF(ISBLANK('Ввод данных'!F16),"",'Ввод данных'!F16)</f>
        <v>45291</v>
      </c>
    </row>
    <row r="6" spans="1:17" ht="18.5">
      <c r="B6" s="15"/>
      <c r="C6" s="84"/>
      <c r="D6" s="622"/>
      <c r="E6" s="351" t="s">
        <v>1024</v>
      </c>
      <c r="F6" s="351"/>
      <c r="G6" s="351"/>
      <c r="H6" s="351"/>
      <c r="I6" s="351"/>
      <c r="J6" s="351"/>
    </row>
    <row r="7" spans="1:17" ht="22.5" customHeight="1" thickBot="1">
      <c r="B7" s="1004" t="str">
        <f>+'Ввод данных'!A86&amp;" "&amp;+K3&amp;"   "&amp;+M3</f>
        <v>M1: Статус Предварительных условий (ПУ) и Действий с установленным сроком исполнения (ДУС) Отчетный период   P3</v>
      </c>
      <c r="C7" s="1004"/>
      <c r="D7" s="1004"/>
      <c r="E7" s="1004"/>
      <c r="F7" s="1004"/>
      <c r="G7" s="391"/>
      <c r="I7" s="176" t="str">
        <f>+'Ввод данных'!A95&amp;"                                       "&amp;+K3&amp;"  "&amp;+M3</f>
        <v>M2: Статус ключевых руководящих должностей в структуре ОР                                       Отчетный период  P3</v>
      </c>
    </row>
    <row r="8" spans="1:17" ht="45.75" customHeight="1" thickBot="1">
      <c r="B8" s="315" t="s">
        <v>973</v>
      </c>
      <c r="C8" s="1003" t="s">
        <v>1023</v>
      </c>
      <c r="D8" s="1003"/>
      <c r="E8" s="1003"/>
      <c r="F8" s="1003"/>
      <c r="G8" s="316"/>
      <c r="H8" s="317"/>
      <c r="I8" s="315" t="s">
        <v>973</v>
      </c>
      <c r="J8" s="1007" t="s">
        <v>1022</v>
      </c>
      <c r="K8" s="1007"/>
      <c r="L8" s="1007"/>
      <c r="M8" s="1007"/>
    </row>
    <row r="10" spans="1:17">
      <c r="A10" s="29"/>
      <c r="D10" s="1005"/>
      <c r="E10" s="898"/>
      <c r="F10" s="898"/>
      <c r="G10" s="28"/>
      <c r="H10" s="28"/>
      <c r="O10" s="621"/>
      <c r="P10" s="621"/>
      <c r="Q10" s="30"/>
    </row>
    <row r="11" spans="1:17">
      <c r="C11" s="72"/>
      <c r="D11" s="1005"/>
      <c r="E11" s="72"/>
      <c r="F11" s="72"/>
      <c r="G11" s="72"/>
      <c r="H11" s="72"/>
      <c r="I11" s="72"/>
    </row>
    <row r="12" spans="1:17">
      <c r="C12" s="72"/>
      <c r="D12" s="72"/>
      <c r="E12" s="72"/>
      <c r="F12" s="72"/>
      <c r="G12" s="72"/>
      <c r="H12" s="72"/>
      <c r="I12" s="72"/>
    </row>
    <row r="13" spans="1:17">
      <c r="C13" s="72"/>
      <c r="D13" s="72"/>
      <c r="E13" s="72"/>
      <c r="F13" s="72"/>
      <c r="G13" s="72"/>
      <c r="H13" s="72"/>
      <c r="I13" s="72"/>
    </row>
    <row r="14" spans="1:17">
      <c r="C14" s="72"/>
      <c r="D14" s="72"/>
      <c r="E14" s="72"/>
      <c r="F14" s="72"/>
      <c r="G14" s="72"/>
      <c r="H14" s="72"/>
      <c r="I14" s="72"/>
    </row>
    <row r="15" spans="1:17">
      <c r="B15" s="72"/>
      <c r="C15" s="49"/>
      <c r="D15" s="50"/>
      <c r="E15" s="50"/>
      <c r="F15" s="50"/>
      <c r="G15" s="50"/>
      <c r="H15" s="50"/>
      <c r="I15" s="51"/>
    </row>
    <row r="16" spans="1:17">
      <c r="B16" s="72"/>
      <c r="C16" s="49"/>
      <c r="D16" s="50"/>
      <c r="E16" s="50"/>
      <c r="F16" s="50"/>
      <c r="G16" s="50"/>
      <c r="H16" s="50"/>
      <c r="I16" s="51"/>
    </row>
    <row r="17" spans="2:14" ht="40.5" customHeight="1"/>
    <row r="18" spans="2:14" ht="27.75" customHeight="1" thickBot="1">
      <c r="B18" s="176" t="str">
        <f>+'Ввод данных'!A102&amp;"                                                                                                  "&amp;+K3&amp;" "&amp;+M3</f>
        <v>M3: Контрактные соглашения (СР)                                                                                                   Отчетный период P3</v>
      </c>
      <c r="I18" s="176" t="str">
        <f>+'Ввод данных'!A108&amp;"                                       "&amp;+K3&amp;" "&amp;+M3</f>
        <v>M4: Количество полных отчетов, полученных к установленному сроку                                       Отчетный период P3</v>
      </c>
    </row>
    <row r="19" spans="2:14" ht="44.25" customHeight="1" thickBot="1">
      <c r="B19" s="314" t="s">
        <v>973</v>
      </c>
      <c r="C19" s="994" t="s">
        <v>1021</v>
      </c>
      <c r="D19" s="994"/>
      <c r="E19" s="994"/>
      <c r="F19" s="994"/>
      <c r="I19" s="314" t="s">
        <v>1017</v>
      </c>
      <c r="J19" s="994" t="s">
        <v>1020</v>
      </c>
      <c r="K19" s="994"/>
      <c r="L19" s="994"/>
      <c r="M19" s="994"/>
    </row>
    <row r="20" spans="2:14" ht="27.75" customHeight="1">
      <c r="B20" s="176"/>
    </row>
    <row r="21" spans="2:14" ht="27.75" customHeight="1">
      <c r="B21" s="176"/>
      <c r="I21" s="176"/>
    </row>
    <row r="22" spans="2:14" ht="27.75" customHeight="1">
      <c r="B22" s="176"/>
      <c r="I22" s="176"/>
    </row>
    <row r="23" spans="2:14" ht="27.75" customHeight="1">
      <c r="B23" s="176"/>
    </row>
    <row r="24" spans="2:14">
      <c r="B24" s="19"/>
      <c r="I24" s="19"/>
    </row>
    <row r="25" spans="2:14">
      <c r="N25" s="53"/>
    </row>
    <row r="27" spans="2:14" ht="17.25" customHeight="1"/>
    <row r="28" spans="2:14" ht="42.75" customHeight="1">
      <c r="B28" s="995" t="str">
        <f>+'Ввод данных'!A116</f>
        <v>M5: Бюджет и закупки товаров медицинского назначения, медицинского оборудования,  лекарственных средств и фармацевтических препаратов</v>
      </c>
      <c r="C28" s="995"/>
      <c r="D28" s="995"/>
      <c r="E28" s="995"/>
      <c r="F28" s="995"/>
      <c r="I28" s="996" t="str">
        <f>+'Ввод данных'!A129&amp;"                    "&amp;+K3&amp;"  "&amp;+M3</f>
        <v>M6: Разница между текущим и резервным запасами                    Отчетный период  P3</v>
      </c>
      <c r="J28" s="996"/>
      <c r="K28" s="996"/>
      <c r="L28" s="996"/>
      <c r="M28" s="996"/>
    </row>
    <row r="29" spans="2:14" ht="252" customHeight="1" thickBot="1">
      <c r="B29" s="993" t="s">
        <v>973</v>
      </c>
      <c r="C29" s="1082" t="s">
        <v>1019</v>
      </c>
      <c r="D29" s="992"/>
      <c r="E29" s="992"/>
      <c r="F29" s="992"/>
      <c r="G29" s="202"/>
      <c r="H29" s="177"/>
      <c r="I29" s="392" t="s">
        <v>1018</v>
      </c>
      <c r="J29" s="997" t="s">
        <v>1034</v>
      </c>
      <c r="K29" s="998"/>
      <c r="L29" s="998"/>
      <c r="M29" s="998"/>
    </row>
    <row r="30" spans="2:14" ht="135.65" customHeight="1" thickBot="1">
      <c r="B30" s="993"/>
      <c r="C30" s="992"/>
      <c r="D30" s="992"/>
      <c r="E30" s="992"/>
      <c r="F30" s="992"/>
      <c r="I30" s="392" t="s">
        <v>1017</v>
      </c>
      <c r="J30" s="997" t="s">
        <v>1016</v>
      </c>
      <c r="K30" s="998"/>
      <c r="L30" s="998"/>
      <c r="M30" s="998"/>
    </row>
    <row r="31" spans="2:14" ht="119.25" customHeight="1">
      <c r="F31" s="158"/>
      <c r="G31" s="158"/>
      <c r="H31" s="158"/>
      <c r="I31" s="361" t="s">
        <v>820</v>
      </c>
      <c r="J31" s="362" t="s">
        <v>1015</v>
      </c>
      <c r="K31" s="363" t="s">
        <v>1014</v>
      </c>
      <c r="L31" s="363" t="s">
        <v>1013</v>
      </c>
      <c r="M31" s="364" t="s">
        <v>1012</v>
      </c>
    </row>
    <row r="32" spans="2:14" ht="22.5" customHeight="1">
      <c r="F32" s="158"/>
      <c r="G32" s="158"/>
      <c r="H32" s="158"/>
      <c r="I32" s="999" t="s">
        <v>65</v>
      </c>
      <c r="J32" s="354" t="s">
        <v>21</v>
      </c>
      <c r="K32" s="354">
        <f>'Ввод данных'!I132</f>
        <v>11.781609195402298</v>
      </c>
      <c r="L32" s="354">
        <v>3</v>
      </c>
      <c r="M32" s="376">
        <f t="shared" ref="M32:M66" si="0">K32-L32</f>
        <v>8.7816091954022983</v>
      </c>
    </row>
    <row r="33" spans="6:13">
      <c r="F33" s="158"/>
      <c r="G33" s="158"/>
      <c r="H33" s="158"/>
      <c r="I33" s="1000"/>
      <c r="J33" s="354" t="s">
        <v>22</v>
      </c>
      <c r="K33" s="354">
        <f>'Ввод данных'!I133</f>
        <v>9.6162878787878796</v>
      </c>
      <c r="L33" s="354">
        <v>3</v>
      </c>
      <c r="M33" s="376">
        <f t="shared" si="0"/>
        <v>6.6162878787878796</v>
      </c>
    </row>
    <row r="34" spans="6:13">
      <c r="F34" s="158"/>
      <c r="G34" s="158"/>
      <c r="H34" s="158"/>
      <c r="I34" s="1000"/>
      <c r="J34" s="354" t="s">
        <v>23</v>
      </c>
      <c r="K34" s="354">
        <f>'Ввод данных'!I134</f>
        <v>3.7142857142857144</v>
      </c>
      <c r="L34" s="354">
        <v>3</v>
      </c>
      <c r="M34" s="376">
        <f t="shared" si="0"/>
        <v>0.71428571428571441</v>
      </c>
    </row>
    <row r="35" spans="6:13">
      <c r="F35" s="158"/>
      <c r="G35" s="158"/>
      <c r="H35" s="158"/>
      <c r="I35" s="1000"/>
      <c r="J35" s="354" t="s">
        <v>24</v>
      </c>
      <c r="K35" s="354">
        <f>'Ввод данных'!I135</f>
        <v>12.849568221070811</v>
      </c>
      <c r="L35" s="354">
        <v>3</v>
      </c>
      <c r="M35" s="376">
        <f t="shared" si="0"/>
        <v>9.8495682210708111</v>
      </c>
    </row>
    <row r="36" spans="6:13">
      <c r="F36" s="158"/>
      <c r="G36" s="158"/>
      <c r="H36" s="158"/>
      <c r="I36" s="1000"/>
      <c r="J36" s="354" t="s">
        <v>25</v>
      </c>
      <c r="K36" s="354">
        <f>'Ввод данных'!I136</f>
        <v>8.132992327365729</v>
      </c>
      <c r="L36" s="354">
        <v>3</v>
      </c>
      <c r="M36" s="376">
        <f t="shared" si="0"/>
        <v>5.132992327365729</v>
      </c>
    </row>
    <row r="37" spans="6:13">
      <c r="F37" s="158"/>
      <c r="G37" s="158"/>
      <c r="H37" s="158"/>
      <c r="I37" s="1000"/>
      <c r="J37" s="354" t="s">
        <v>26</v>
      </c>
      <c r="K37" s="354">
        <f>'Ввод данных'!I137</f>
        <v>8.2595238095238095</v>
      </c>
      <c r="L37" s="354">
        <v>3</v>
      </c>
      <c r="M37" s="376">
        <f t="shared" si="0"/>
        <v>5.2595238095238095</v>
      </c>
    </row>
    <row r="38" spans="6:13">
      <c r="F38" s="158"/>
      <c r="G38" s="158"/>
      <c r="H38" s="158"/>
      <c r="I38" s="1000"/>
      <c r="J38" s="354" t="s">
        <v>27</v>
      </c>
      <c r="K38" s="354">
        <f>'Ввод данных'!I138</f>
        <v>5.0853551912568307</v>
      </c>
      <c r="L38" s="354">
        <v>3</v>
      </c>
      <c r="M38" s="376">
        <f t="shared" si="0"/>
        <v>2.0853551912568307</v>
      </c>
    </row>
    <row r="39" spans="6:13" ht="15" customHeight="1">
      <c r="F39" s="158"/>
      <c r="G39" s="158"/>
      <c r="H39" s="158"/>
      <c r="I39" s="1000"/>
      <c r="J39" s="354" t="s">
        <v>66</v>
      </c>
      <c r="K39" s="354">
        <f>'Ввод данных'!I139</f>
        <v>19.798148148148147</v>
      </c>
      <c r="L39" s="354">
        <v>3</v>
      </c>
      <c r="M39" s="376">
        <f t="shared" si="0"/>
        <v>16.798148148148147</v>
      </c>
    </row>
    <row r="40" spans="6:13">
      <c r="F40" s="158"/>
      <c r="G40" s="158"/>
      <c r="H40" s="158"/>
      <c r="I40" s="1000"/>
      <c r="J40" s="354" t="s">
        <v>29</v>
      </c>
      <c r="K40" s="354">
        <f>'Ввод данных'!I140</f>
        <v>8.0207017543859642</v>
      </c>
      <c r="L40" s="354">
        <v>3</v>
      </c>
      <c r="M40" s="376">
        <f t="shared" si="0"/>
        <v>5.0207017543859642</v>
      </c>
    </row>
    <row r="41" spans="6:13">
      <c r="F41" s="158"/>
      <c r="G41" s="158"/>
      <c r="H41" s="158"/>
      <c r="I41" s="1000"/>
      <c r="J41" s="354" t="s">
        <v>33</v>
      </c>
      <c r="K41" s="354">
        <f>'Ввод данных'!I144</f>
        <v>14.730263157894736</v>
      </c>
      <c r="L41" s="354">
        <v>3</v>
      </c>
      <c r="M41" s="376">
        <f t="shared" si="0"/>
        <v>11.730263157894736</v>
      </c>
    </row>
    <row r="42" spans="6:13">
      <c r="F42" s="158"/>
      <c r="G42" s="158"/>
      <c r="H42" s="158"/>
      <c r="I42" s="1000"/>
      <c r="J42" s="354" t="s">
        <v>30</v>
      </c>
      <c r="K42" s="354">
        <f>'Ввод данных'!I141</f>
        <v>15.007472762515874</v>
      </c>
      <c r="L42" s="354">
        <v>3</v>
      </c>
      <c r="M42" s="376">
        <f t="shared" si="0"/>
        <v>12.007472762515874</v>
      </c>
    </row>
    <row r="43" spans="6:13">
      <c r="F43" s="158"/>
      <c r="G43" s="158"/>
      <c r="H43" s="158"/>
      <c r="I43" s="1000"/>
      <c r="J43" s="354" t="s">
        <v>67</v>
      </c>
      <c r="K43" s="354">
        <f>'Ввод данных'!I142</f>
        <v>18.357142857142858</v>
      </c>
      <c r="L43" s="354">
        <v>3</v>
      </c>
      <c r="M43" s="376">
        <f t="shared" si="0"/>
        <v>15.357142857142858</v>
      </c>
    </row>
    <row r="44" spans="6:13">
      <c r="F44" s="158"/>
      <c r="G44" s="158"/>
      <c r="H44" s="158"/>
      <c r="I44" s="1000"/>
      <c r="J44" s="354" t="s">
        <v>32</v>
      </c>
      <c r="K44" s="354">
        <f>'Ввод данных'!I143</f>
        <v>10.4</v>
      </c>
      <c r="L44" s="354">
        <v>3</v>
      </c>
      <c r="M44" s="376">
        <f t="shared" si="0"/>
        <v>7.4</v>
      </c>
    </row>
    <row r="45" spans="6:13">
      <c r="F45" s="158"/>
      <c r="G45" s="158"/>
      <c r="H45" s="158"/>
      <c r="I45" s="1000"/>
      <c r="J45" s="354" t="s">
        <v>1011</v>
      </c>
      <c r="K45" s="354">
        <v>23</v>
      </c>
      <c r="L45" s="354">
        <v>3</v>
      </c>
      <c r="M45" s="355">
        <f t="shared" si="0"/>
        <v>20</v>
      </c>
    </row>
    <row r="46" spans="6:13">
      <c r="F46" s="158"/>
      <c r="G46" s="158"/>
      <c r="H46" s="158"/>
      <c r="I46" s="1000"/>
      <c r="J46" s="356" t="s">
        <v>1010</v>
      </c>
      <c r="K46" s="359">
        <v>3</v>
      </c>
      <c r="L46" s="375">
        <v>3</v>
      </c>
      <c r="M46" s="376">
        <f t="shared" si="0"/>
        <v>0</v>
      </c>
    </row>
    <row r="47" spans="6:13" ht="27" thickBot="1">
      <c r="F47" s="158"/>
      <c r="G47" s="158"/>
      <c r="H47" s="158"/>
      <c r="I47" s="1001"/>
      <c r="J47" s="360" t="s">
        <v>1009</v>
      </c>
      <c r="K47" s="357">
        <f>31200/3599</f>
        <v>8.6690747429841615</v>
      </c>
      <c r="L47" s="357">
        <v>3</v>
      </c>
      <c r="M47" s="358">
        <f t="shared" si="0"/>
        <v>5.6690747429841615</v>
      </c>
    </row>
    <row r="48" spans="6:13" ht="15" thickBot="1">
      <c r="F48" s="158"/>
      <c r="G48" s="158"/>
      <c r="H48" s="158"/>
      <c r="I48" s="991" t="s">
        <v>20</v>
      </c>
      <c r="J48" s="470" t="s">
        <v>807</v>
      </c>
      <c r="K48" s="471">
        <f>'Ввод данных'!I145</f>
        <v>0</v>
      </c>
      <c r="L48" s="472">
        <v>0</v>
      </c>
      <c r="M48" s="473">
        <f t="shared" si="0"/>
        <v>0</v>
      </c>
    </row>
    <row r="49" spans="2:13" ht="15" thickBot="1">
      <c r="F49" s="158"/>
      <c r="G49" s="158"/>
      <c r="H49" s="158"/>
      <c r="I49" s="991"/>
      <c r="J49" s="474" t="s">
        <v>806</v>
      </c>
      <c r="K49" s="471">
        <f>'Ввод данных'!I146</f>
        <v>0</v>
      </c>
      <c r="L49" s="472">
        <v>0</v>
      </c>
      <c r="M49" s="473">
        <f t="shared" si="0"/>
        <v>0</v>
      </c>
    </row>
    <row r="50" spans="2:13" ht="15" thickBot="1">
      <c r="I50" s="991"/>
      <c r="J50" s="474" t="s">
        <v>805</v>
      </c>
      <c r="K50" s="471">
        <f>'Ввод данных'!I147</f>
        <v>0</v>
      </c>
      <c r="L50" s="472">
        <v>3</v>
      </c>
      <c r="M50" s="473">
        <f t="shared" si="0"/>
        <v>-3</v>
      </c>
    </row>
    <row r="51" spans="2:13" ht="15" thickBot="1">
      <c r="I51" s="991"/>
      <c r="J51" s="474" t="s">
        <v>34</v>
      </c>
      <c r="K51" s="471">
        <f>'Ввод данных'!I148</f>
        <v>1.6217391304347826</v>
      </c>
      <c r="L51" s="472">
        <v>3</v>
      </c>
      <c r="M51" s="473">
        <f t="shared" si="0"/>
        <v>-1.3782608695652174</v>
      </c>
    </row>
    <row r="52" spans="2:13" ht="15" thickBot="1">
      <c r="I52" s="991"/>
      <c r="J52" s="474" t="s">
        <v>804</v>
      </c>
      <c r="K52" s="471">
        <f>'Ввод данных'!I149</f>
        <v>5.7665189561792225</v>
      </c>
      <c r="L52" s="472">
        <v>3</v>
      </c>
      <c r="M52" s="473">
        <f t="shared" si="0"/>
        <v>2.7665189561792225</v>
      </c>
    </row>
    <row r="53" spans="2:13" ht="15" thickBot="1">
      <c r="B53" s="393"/>
      <c r="C53" s="393"/>
      <c r="D53" s="393"/>
      <c r="E53" s="393"/>
      <c r="I53" s="991"/>
      <c r="J53" s="474" t="s">
        <v>803</v>
      </c>
      <c r="K53" s="471">
        <f>'Ввод данных'!I150</f>
        <v>0</v>
      </c>
      <c r="L53" s="472">
        <v>3</v>
      </c>
      <c r="M53" s="473">
        <f t="shared" si="0"/>
        <v>-3</v>
      </c>
    </row>
    <row r="54" spans="2:13" ht="15" thickBot="1">
      <c r="I54" s="991"/>
      <c r="J54" s="474" t="s">
        <v>802</v>
      </c>
      <c r="K54" s="471">
        <f>'Ввод данных'!I151</f>
        <v>0.49285714285714288</v>
      </c>
      <c r="L54" s="472">
        <v>3</v>
      </c>
      <c r="M54" s="473">
        <f t="shared" si="0"/>
        <v>-2.5071428571428571</v>
      </c>
    </row>
    <row r="55" spans="2:13" ht="15" thickBot="1">
      <c r="I55" s="991"/>
      <c r="J55" s="474" t="s">
        <v>801</v>
      </c>
      <c r="K55" s="471">
        <f>'Ввод данных'!I152</f>
        <v>5.6812915910465822</v>
      </c>
      <c r="L55" s="472">
        <v>3</v>
      </c>
      <c r="M55" s="473">
        <f t="shared" si="0"/>
        <v>2.6812915910465822</v>
      </c>
    </row>
    <row r="56" spans="2:13" ht="15" thickBot="1">
      <c r="I56" s="991"/>
      <c r="J56" s="474" t="s">
        <v>800</v>
      </c>
      <c r="K56" s="471">
        <f>'Ввод данных'!I153</f>
        <v>11.166236559139785</v>
      </c>
      <c r="L56" s="472">
        <v>3</v>
      </c>
      <c r="M56" s="473">
        <f t="shared" si="0"/>
        <v>8.1662365591397847</v>
      </c>
    </row>
    <row r="57" spans="2:13" ht="15" thickBot="1">
      <c r="I57" s="991"/>
      <c r="J57" s="474" t="s">
        <v>35</v>
      </c>
      <c r="K57" s="471">
        <f>'Ввод данных'!I154</f>
        <v>0</v>
      </c>
      <c r="L57" s="472">
        <v>3</v>
      </c>
      <c r="M57" s="473">
        <f t="shared" si="0"/>
        <v>-3</v>
      </c>
    </row>
    <row r="58" spans="2:13" ht="15" thickBot="1">
      <c r="I58" s="991"/>
      <c r="J58" s="474" t="s">
        <v>799</v>
      </c>
      <c r="K58" s="471">
        <f>'Ввод данных'!I155</f>
        <v>0</v>
      </c>
      <c r="L58" s="472">
        <v>3</v>
      </c>
      <c r="M58" s="473">
        <f t="shared" si="0"/>
        <v>-3</v>
      </c>
    </row>
    <row r="59" spans="2:13" ht="15" thickBot="1">
      <c r="I59" s="991"/>
      <c r="J59" s="474" t="str">
        <f>'Ввод данных'!B156</f>
        <v>Pretomanid 200 mg Таблетки</v>
      </c>
      <c r="K59" s="471">
        <f>'Ввод данных'!I156</f>
        <v>117.75520833333333</v>
      </c>
      <c r="L59" s="472">
        <v>3</v>
      </c>
      <c r="M59" s="473">
        <f t="shared" si="0"/>
        <v>114.75520833333333</v>
      </c>
    </row>
    <row r="60" spans="2:13" ht="15" thickBot="1">
      <c r="I60" s="991"/>
      <c r="J60" s="474" t="s">
        <v>797</v>
      </c>
      <c r="K60" s="471">
        <f>'Ввод данных'!I157</f>
        <v>0</v>
      </c>
      <c r="L60" s="472">
        <v>3</v>
      </c>
      <c r="M60" s="473">
        <f t="shared" si="0"/>
        <v>-3</v>
      </c>
    </row>
    <row r="61" spans="2:13" ht="15" thickBot="1">
      <c r="I61" s="991"/>
      <c r="J61" s="474" t="s">
        <v>796</v>
      </c>
      <c r="K61" s="471">
        <f>'Ввод данных'!I158</f>
        <v>26.324860335195531</v>
      </c>
      <c r="L61" s="472">
        <v>3</v>
      </c>
      <c r="M61" s="473">
        <f t="shared" si="0"/>
        <v>23.324860335195531</v>
      </c>
    </row>
    <row r="62" spans="2:13" ht="15" thickBot="1">
      <c r="I62" s="991"/>
      <c r="J62" s="474" t="s">
        <v>795</v>
      </c>
      <c r="K62" s="471">
        <f>'Ввод данных'!I159</f>
        <v>2.3695652173913042</v>
      </c>
      <c r="L62" s="472">
        <v>3</v>
      </c>
      <c r="M62" s="473">
        <f t="shared" si="0"/>
        <v>-0.63043478260869579</v>
      </c>
    </row>
    <row r="63" spans="2:13" ht="15" thickBot="1">
      <c r="I63" s="991"/>
      <c r="J63" s="474" t="s">
        <v>794</v>
      </c>
      <c r="K63" s="471">
        <f>'Ввод данных'!I160</f>
        <v>26.501053283767039</v>
      </c>
      <c r="L63" s="472">
        <v>3</v>
      </c>
      <c r="M63" s="473">
        <f t="shared" si="0"/>
        <v>23.501053283767039</v>
      </c>
    </row>
    <row r="64" spans="2:13" ht="15" thickBot="1">
      <c r="I64" s="991"/>
      <c r="J64" s="474" t="s">
        <v>793</v>
      </c>
      <c r="K64" s="475">
        <f>'Ввод данных'!I161</f>
        <v>25.858955137815709</v>
      </c>
      <c r="L64" s="476">
        <v>3</v>
      </c>
      <c r="M64" s="473">
        <f t="shared" si="0"/>
        <v>22.858955137815709</v>
      </c>
    </row>
    <row r="65" spans="9:13" ht="15" thickBot="1">
      <c r="I65" s="991"/>
      <c r="J65" s="474" t="s">
        <v>792</v>
      </c>
      <c r="K65" s="477">
        <f>'Ввод данных'!I162</f>
        <v>25.885210622710623</v>
      </c>
      <c r="L65" s="478">
        <v>3</v>
      </c>
      <c r="M65" s="473">
        <f t="shared" si="0"/>
        <v>22.885210622710623</v>
      </c>
    </row>
    <row r="66" spans="9:13" ht="15" thickBot="1">
      <c r="I66" s="991"/>
      <c r="J66" s="479" t="s">
        <v>1008</v>
      </c>
      <c r="K66" s="480">
        <v>10.4</v>
      </c>
      <c r="L66" s="480">
        <v>3</v>
      </c>
      <c r="M66" s="473">
        <f t="shared" si="0"/>
        <v>7.4</v>
      </c>
    </row>
  </sheetData>
  <mergeCells count="23">
    <mergeCell ref="B2:M2"/>
    <mergeCell ref="C4:D4"/>
    <mergeCell ref="E3:J3"/>
    <mergeCell ref="K3:L3"/>
    <mergeCell ref="E10:F10"/>
    <mergeCell ref="C8:F8"/>
    <mergeCell ref="B7:F7"/>
    <mergeCell ref="D10:D11"/>
    <mergeCell ref="C3:D3"/>
    <mergeCell ref="E4:J4"/>
    <mergeCell ref="K4:L4"/>
    <mergeCell ref="J8:M8"/>
    <mergeCell ref="D5:K5"/>
    <mergeCell ref="I48:I66"/>
    <mergeCell ref="C29:F30"/>
    <mergeCell ref="B29:B30"/>
    <mergeCell ref="J19:M19"/>
    <mergeCell ref="B28:F28"/>
    <mergeCell ref="I28:M28"/>
    <mergeCell ref="J29:M29"/>
    <mergeCell ref="J30:M30"/>
    <mergeCell ref="C19:F19"/>
    <mergeCell ref="I32:I47"/>
  </mergeCells>
  <conditionalFormatting sqref="C4:D4">
    <cfRule type="cellIs" dxfId="5" priority="4" stopIfTrue="1" operator="equal">
      <formula>"C"</formula>
    </cfRule>
    <cfRule type="cellIs" dxfId="4" priority="5" stopIfTrue="1" operator="equal">
      <formula>"B2"</formula>
    </cfRule>
    <cfRule type="cellIs" dxfId="3" priority="6" stopIfTrue="1" operator="equal">
      <formula>"B1"</formula>
    </cfRule>
  </conditionalFormatting>
  <conditionalFormatting sqref="D15:D16">
    <cfRule type="cellIs" dxfId="2" priority="1" stopIfTrue="1" operator="greaterThan">
      <formula>0</formula>
    </cfRule>
  </conditionalFormatting>
  <conditionalFormatting sqref="E15:E16">
    <cfRule type="cellIs" dxfId="1" priority="2" stopIfTrue="1" operator="greaterThan">
      <formula>0</formula>
    </cfRule>
  </conditionalFormatting>
  <conditionalFormatting sqref="F15:H16">
    <cfRule type="cellIs" dxfId="0" priority="3" stopIfTrue="1" operator="greaterThan">
      <formula>0</formula>
    </cfRule>
  </conditionalFormatting>
  <dataValidations count="2">
    <dataValidation type="list" allowBlank="1" showInputMessage="1" showErrorMessage="1" sqref="J37:J43" xr:uid="{00000000-0002-0000-0500-000001000000}">
      <formula1>Medicaments</formula1>
    </dataValidation>
    <dataValidation type="list" allowBlank="1" showInputMessage="1" showErrorMessage="1" sqref="J48:J65" xr:uid="{173D2DE5-5CC1-4D2E-8A90-3B545477ECCC}">
      <formula1>мва</formula1>
    </dataValidation>
  </dataValidations>
  <pageMargins left="0.70866141732283472" right="0.70866141732283472" top="0.74803149606299213" bottom="0.74803149606299213" header="0.31496062992125984" footer="0.31496062992125984"/>
  <pageSetup paperSize="8" scale="83" orientation="landscape" r:id="rId1"/>
  <headerFooter alignWithMargins="0">
    <oddFooter>&amp;L&amp;F&amp;C&amp;A&amp;RV1.0          &amp;D</oddFooter>
  </headerFooter>
  <colBreaks count="1" manualBreakCount="1">
    <brk id="13" max="33"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B2:M144"/>
  <sheetViews>
    <sheetView showGridLines="0" topLeftCell="A16" zoomScale="80" zoomScaleNormal="80" workbookViewId="0">
      <selection activeCell="I28" sqref="I28:I30"/>
    </sheetView>
  </sheetViews>
  <sheetFormatPr defaultColWidth="11" defaultRowHeight="14.5"/>
  <cols>
    <col min="1" max="1" width="11.453125" customWidth="1"/>
    <col min="2" max="2" width="16.26953125" customWidth="1"/>
    <col min="3" max="3" width="14.7265625" customWidth="1"/>
    <col min="4" max="4" width="15.54296875" customWidth="1"/>
    <col min="5" max="6" width="11.453125" customWidth="1"/>
    <col min="7" max="7" width="14.453125" customWidth="1"/>
    <col min="8" max="8" width="35.54296875" customWidth="1"/>
    <col min="9" max="9" width="45.7265625" customWidth="1"/>
    <col min="10" max="10" width="33.54296875" customWidth="1"/>
    <col min="11" max="12" width="11.453125" customWidth="1"/>
    <col min="13" max="13" width="28.54296875" customWidth="1"/>
    <col min="14" max="14" width="46.453125" customWidth="1"/>
  </cols>
  <sheetData>
    <row r="2" spans="2:13" ht="25.5" customHeight="1"/>
    <row r="3" spans="2:13" ht="36">
      <c r="B3" s="862" t="str">
        <f>'Grant Details'!B3:J3</f>
        <v>Dashboard:  Kyrgyzstan - ВИЧ/СПИД/ТБ</v>
      </c>
      <c r="C3" s="862"/>
      <c r="D3" s="862"/>
      <c r="E3" s="862"/>
      <c r="F3" s="862"/>
      <c r="G3" s="862"/>
      <c r="H3" s="862"/>
      <c r="I3" s="1"/>
    </row>
    <row r="6" spans="2:13" ht="18.5">
      <c r="B6" s="1084" t="s">
        <v>68</v>
      </c>
      <c r="C6" s="1084"/>
      <c r="D6" s="1084"/>
      <c r="E6" s="1084"/>
      <c r="F6" s="1084"/>
      <c r="G6" s="1084"/>
      <c r="H6" s="1084"/>
    </row>
    <row r="8" spans="2:13" ht="18.5">
      <c r="B8" s="42" t="s">
        <v>69</v>
      </c>
      <c r="C8" s="42" t="s">
        <v>70</v>
      </c>
      <c r="D8" s="42" t="s">
        <v>71</v>
      </c>
      <c r="E8" s="42" t="s">
        <v>72</v>
      </c>
      <c r="F8" s="42" t="s">
        <v>73</v>
      </c>
      <c r="G8" s="42" t="s">
        <v>64</v>
      </c>
      <c r="H8" s="42" t="s">
        <v>74</v>
      </c>
      <c r="I8" s="42" t="s">
        <v>75</v>
      </c>
      <c r="J8" s="42" t="s">
        <v>76</v>
      </c>
    </row>
    <row r="9" spans="2:13">
      <c r="B9" s="27" t="s">
        <v>77</v>
      </c>
      <c r="C9" s="27" t="s">
        <v>77</v>
      </c>
      <c r="D9" s="27" t="s">
        <v>77</v>
      </c>
      <c r="E9" s="27" t="s">
        <v>77</v>
      </c>
      <c r="F9" s="27" t="s">
        <v>77</v>
      </c>
      <c r="G9" s="27" t="s">
        <v>77</v>
      </c>
      <c r="H9" s="27" t="s">
        <v>77</v>
      </c>
      <c r="I9" s="18" t="s">
        <v>77</v>
      </c>
      <c r="J9" s="27" t="s">
        <v>77</v>
      </c>
    </row>
    <row r="10" spans="2:13">
      <c r="B10" s="38" t="s">
        <v>78</v>
      </c>
      <c r="C10" s="38" t="s">
        <v>8</v>
      </c>
      <c r="D10" s="38" t="s">
        <v>79</v>
      </c>
      <c r="E10" s="38" t="s">
        <v>80</v>
      </c>
      <c r="F10" s="38" t="s">
        <v>9</v>
      </c>
      <c r="G10" s="38" t="s">
        <v>81</v>
      </c>
      <c r="H10" s="41" t="s">
        <v>82</v>
      </c>
      <c r="I10" s="18" t="s">
        <v>83</v>
      </c>
      <c r="J10" s="27" t="s">
        <v>84</v>
      </c>
    </row>
    <row r="11" spans="2:13">
      <c r="B11" s="38" t="s">
        <v>85</v>
      </c>
      <c r="C11" s="38" t="s">
        <v>86</v>
      </c>
      <c r="D11" s="38" t="s">
        <v>87</v>
      </c>
      <c r="E11" s="38" t="s">
        <v>88</v>
      </c>
      <c r="F11" s="38" t="s">
        <v>10</v>
      </c>
      <c r="G11" s="38" t="s">
        <v>89</v>
      </c>
      <c r="H11" s="41" t="s">
        <v>90</v>
      </c>
      <c r="I11" s="18" t="s">
        <v>91</v>
      </c>
      <c r="J11" s="27" t="s">
        <v>92</v>
      </c>
    </row>
    <row r="12" spans="2:13">
      <c r="B12" s="38" t="s">
        <v>20</v>
      </c>
      <c r="D12" s="38" t="s">
        <v>93</v>
      </c>
      <c r="E12" s="38" t="s">
        <v>94</v>
      </c>
      <c r="F12" s="38" t="s">
        <v>7</v>
      </c>
      <c r="G12" s="38" t="s">
        <v>6</v>
      </c>
      <c r="H12" s="41" t="s">
        <v>95</v>
      </c>
      <c r="I12" s="18" t="s">
        <v>96</v>
      </c>
      <c r="J12" s="27" t="s">
        <v>97</v>
      </c>
      <c r="M12" s="91"/>
    </row>
    <row r="13" spans="2:13">
      <c r="B13" s="38" t="s">
        <v>3</v>
      </c>
      <c r="D13" s="38" t="s">
        <v>98</v>
      </c>
      <c r="E13" s="39"/>
      <c r="F13" s="38" t="s">
        <v>11</v>
      </c>
      <c r="G13" s="38" t="s">
        <v>99</v>
      </c>
      <c r="H13" s="41" t="s">
        <v>100</v>
      </c>
      <c r="I13" s="18" t="s">
        <v>101</v>
      </c>
      <c r="J13" s="27" t="s">
        <v>102</v>
      </c>
      <c r="M13" s="91"/>
    </row>
    <row r="14" spans="2:13">
      <c r="B14" s="38" t="s">
        <v>103</v>
      </c>
      <c r="D14" s="38" t="s">
        <v>104</v>
      </c>
      <c r="F14" s="38" t="s">
        <v>12</v>
      </c>
      <c r="G14" s="38" t="s">
        <v>105</v>
      </c>
      <c r="H14" s="41" t="s">
        <v>106</v>
      </c>
      <c r="I14" s="18" t="s">
        <v>107</v>
      </c>
      <c r="J14" s="27" t="s">
        <v>108</v>
      </c>
      <c r="M14" s="91"/>
    </row>
    <row r="15" spans="2:13">
      <c r="D15" s="38" t="s">
        <v>109</v>
      </c>
      <c r="F15" s="38" t="s">
        <v>13</v>
      </c>
      <c r="H15" s="41" t="s">
        <v>110</v>
      </c>
      <c r="I15" s="18" t="s">
        <v>111</v>
      </c>
      <c r="J15" s="27" t="s">
        <v>112</v>
      </c>
      <c r="M15" s="91"/>
    </row>
    <row r="16" spans="2:13">
      <c r="D16" s="38" t="s">
        <v>113</v>
      </c>
      <c r="F16" s="38" t="s">
        <v>14</v>
      </c>
      <c r="H16" s="41" t="s">
        <v>114</v>
      </c>
      <c r="I16" s="18" t="s">
        <v>115</v>
      </c>
      <c r="J16" s="27" t="s">
        <v>116</v>
      </c>
      <c r="M16" s="91"/>
    </row>
    <row r="17" spans="4:13">
      <c r="D17" s="38" t="s">
        <v>117</v>
      </c>
      <c r="F17" s="38" t="s">
        <v>15</v>
      </c>
      <c r="H17" s="41" t="s">
        <v>118</v>
      </c>
      <c r="I17" s="18" t="s">
        <v>119</v>
      </c>
      <c r="J17" s="27" t="s">
        <v>120</v>
      </c>
      <c r="M17" s="91"/>
    </row>
    <row r="18" spans="4:13">
      <c r="D18" s="38" t="s">
        <v>121</v>
      </c>
      <c r="F18" s="38" t="s">
        <v>16</v>
      </c>
      <c r="H18" s="41" t="s">
        <v>122</v>
      </c>
      <c r="I18" s="18" t="s">
        <v>123</v>
      </c>
      <c r="J18" s="27" t="s">
        <v>124</v>
      </c>
      <c r="M18" s="91"/>
    </row>
    <row r="19" spans="4:13">
      <c r="D19" s="38" t="s">
        <v>125</v>
      </c>
      <c r="F19" s="38" t="s">
        <v>17</v>
      </c>
      <c r="H19" s="41" t="s">
        <v>126</v>
      </c>
      <c r="I19" s="18" t="s">
        <v>127</v>
      </c>
      <c r="J19" s="27" t="s">
        <v>128</v>
      </c>
      <c r="M19" s="91"/>
    </row>
    <row r="20" spans="4:13">
      <c r="D20" s="40"/>
      <c r="F20" s="38" t="s">
        <v>18</v>
      </c>
      <c r="H20" s="41" t="s">
        <v>5</v>
      </c>
      <c r="I20" s="18" t="s">
        <v>129</v>
      </c>
      <c r="J20" s="27" t="s">
        <v>130</v>
      </c>
    </row>
    <row r="21" spans="4:13">
      <c r="D21" s="352"/>
      <c r="F21" s="38" t="s">
        <v>19</v>
      </c>
      <c r="H21" s="352"/>
      <c r="I21" s="18" t="s">
        <v>131</v>
      </c>
      <c r="J21" s="27" t="s">
        <v>132</v>
      </c>
    </row>
    <row r="22" spans="4:13">
      <c r="H22" s="352"/>
      <c r="I22" s="18" t="s">
        <v>133</v>
      </c>
      <c r="J22" s="27" t="s">
        <v>134</v>
      </c>
    </row>
    <row r="23" spans="4:13">
      <c r="I23" s="18" t="s">
        <v>135</v>
      </c>
      <c r="J23" s="27" t="s">
        <v>136</v>
      </c>
    </row>
    <row r="24" spans="4:13">
      <c r="I24" s="18" t="s">
        <v>137</v>
      </c>
      <c r="J24" s="27" t="s">
        <v>138</v>
      </c>
    </row>
    <row r="25" spans="4:13">
      <c r="I25" s="27"/>
      <c r="J25" s="27" t="s">
        <v>139</v>
      </c>
    </row>
    <row r="26" spans="4:13">
      <c r="I26" s="18" t="s">
        <v>140</v>
      </c>
      <c r="J26" s="27" t="s">
        <v>141</v>
      </c>
    </row>
    <row r="27" spans="4:13">
      <c r="I27" s="18" t="s">
        <v>142</v>
      </c>
      <c r="J27" s="27" t="s">
        <v>143</v>
      </c>
    </row>
    <row r="28" spans="4:13">
      <c r="I28" s="27" t="s">
        <v>144</v>
      </c>
      <c r="J28" s="27" t="s">
        <v>145</v>
      </c>
    </row>
    <row r="29" spans="4:13">
      <c r="I29" s="27" t="s">
        <v>146</v>
      </c>
      <c r="J29" s="27" t="s">
        <v>147</v>
      </c>
    </row>
    <row r="30" spans="4:13">
      <c r="I30" s="27" t="s">
        <v>129</v>
      </c>
      <c r="J30" s="27" t="s">
        <v>148</v>
      </c>
    </row>
    <row r="31" spans="4:13">
      <c r="J31" s="27" t="s">
        <v>149</v>
      </c>
    </row>
    <row r="32" spans="4:13">
      <c r="J32" s="27" t="s">
        <v>150</v>
      </c>
    </row>
    <row r="33" spans="10:10">
      <c r="J33" s="27" t="s">
        <v>151</v>
      </c>
    </row>
    <row r="34" spans="10:10">
      <c r="J34" s="27" t="s">
        <v>152</v>
      </c>
    </row>
    <row r="35" spans="10:10">
      <c r="J35" s="27" t="s">
        <v>153</v>
      </c>
    </row>
    <row r="36" spans="10:10">
      <c r="J36" s="27" t="s">
        <v>153</v>
      </c>
    </row>
    <row r="37" spans="10:10">
      <c r="J37" s="27" t="s">
        <v>154</v>
      </c>
    </row>
    <row r="38" spans="10:10">
      <c r="J38" s="27" t="s">
        <v>155</v>
      </c>
    </row>
    <row r="39" spans="10:10">
      <c r="J39" s="27" t="s">
        <v>156</v>
      </c>
    </row>
    <row r="40" spans="10:10">
      <c r="J40" s="27" t="s">
        <v>157</v>
      </c>
    </row>
    <row r="41" spans="10:10">
      <c r="J41" s="27" t="s">
        <v>158</v>
      </c>
    </row>
    <row r="42" spans="10:10">
      <c r="J42" s="27" t="s">
        <v>159</v>
      </c>
    </row>
    <row r="43" spans="10:10">
      <c r="J43" s="27" t="s">
        <v>160</v>
      </c>
    </row>
    <row r="44" spans="10:10">
      <c r="J44" s="27" t="s">
        <v>161</v>
      </c>
    </row>
    <row r="45" spans="10:10">
      <c r="J45" s="27" t="s">
        <v>162</v>
      </c>
    </row>
    <row r="46" spans="10:10">
      <c r="J46" s="27" t="s">
        <v>163</v>
      </c>
    </row>
    <row r="47" spans="10:10">
      <c r="J47" s="27" t="s">
        <v>164</v>
      </c>
    </row>
    <row r="48" spans="10:10">
      <c r="J48" s="27" t="s">
        <v>165</v>
      </c>
    </row>
    <row r="49" spans="10:10">
      <c r="J49" s="27" t="s">
        <v>166</v>
      </c>
    </row>
    <row r="50" spans="10:10">
      <c r="J50" s="27" t="s">
        <v>167</v>
      </c>
    </row>
    <row r="51" spans="10:10">
      <c r="J51" s="27" t="s">
        <v>168</v>
      </c>
    </row>
    <row r="52" spans="10:10">
      <c r="J52" s="27" t="s">
        <v>169</v>
      </c>
    </row>
    <row r="53" spans="10:10">
      <c r="J53" s="27" t="s">
        <v>170</v>
      </c>
    </row>
    <row r="54" spans="10:10">
      <c r="J54" s="27" t="s">
        <v>171</v>
      </c>
    </row>
    <row r="55" spans="10:10">
      <c r="J55" s="27" t="s">
        <v>172</v>
      </c>
    </row>
    <row r="56" spans="10:10">
      <c r="J56" s="27" t="s">
        <v>173</v>
      </c>
    </row>
    <row r="57" spans="10:10">
      <c r="J57" s="27" t="s">
        <v>174</v>
      </c>
    </row>
    <row r="58" spans="10:10">
      <c r="J58" s="27" t="s">
        <v>175</v>
      </c>
    </row>
    <row r="59" spans="10:10">
      <c r="J59" s="27" t="s">
        <v>176</v>
      </c>
    </row>
    <row r="60" spans="10:10">
      <c r="J60" s="27" t="s">
        <v>177</v>
      </c>
    </row>
    <row r="61" spans="10:10">
      <c r="J61" s="27" t="s">
        <v>178</v>
      </c>
    </row>
    <row r="62" spans="10:10">
      <c r="J62" s="27" t="s">
        <v>179</v>
      </c>
    </row>
    <row r="63" spans="10:10">
      <c r="J63" s="27" t="s">
        <v>180</v>
      </c>
    </row>
    <row r="64" spans="10:10">
      <c r="J64" s="27" t="s">
        <v>181</v>
      </c>
    </row>
    <row r="65" spans="10:10">
      <c r="J65" s="27" t="s">
        <v>182</v>
      </c>
    </row>
    <row r="66" spans="10:10">
      <c r="J66" s="27" t="s">
        <v>183</v>
      </c>
    </row>
    <row r="67" spans="10:10">
      <c r="J67" s="27" t="s">
        <v>184</v>
      </c>
    </row>
    <row r="68" spans="10:10">
      <c r="J68" s="27" t="s">
        <v>185</v>
      </c>
    </row>
    <row r="69" spans="10:10">
      <c r="J69" s="27" t="s">
        <v>186</v>
      </c>
    </row>
    <row r="70" spans="10:10">
      <c r="J70" s="27" t="s">
        <v>187</v>
      </c>
    </row>
    <row r="71" spans="10:10">
      <c r="J71" s="27" t="s">
        <v>188</v>
      </c>
    </row>
    <row r="72" spans="10:10">
      <c r="J72" s="27" t="s">
        <v>189</v>
      </c>
    </row>
    <row r="73" spans="10:10">
      <c r="J73" s="27" t="s">
        <v>190</v>
      </c>
    </row>
    <row r="74" spans="10:10">
      <c r="J74" s="27" t="s">
        <v>191</v>
      </c>
    </row>
    <row r="75" spans="10:10">
      <c r="J75" s="27" t="s">
        <v>192</v>
      </c>
    </row>
    <row r="76" spans="10:10">
      <c r="J76" s="27" t="s">
        <v>1</v>
      </c>
    </row>
    <row r="77" spans="10:10">
      <c r="J77" s="27" t="s">
        <v>193</v>
      </c>
    </row>
    <row r="78" spans="10:10">
      <c r="J78" s="27" t="s">
        <v>194</v>
      </c>
    </row>
    <row r="79" spans="10:10">
      <c r="J79" s="27" t="s">
        <v>195</v>
      </c>
    </row>
    <row r="80" spans="10:10">
      <c r="J80" s="27" t="s">
        <v>196</v>
      </c>
    </row>
    <row r="81" spans="10:10">
      <c r="J81" s="27" t="s">
        <v>197</v>
      </c>
    </row>
    <row r="82" spans="10:10">
      <c r="J82" s="27" t="s">
        <v>198</v>
      </c>
    </row>
    <row r="83" spans="10:10">
      <c r="J83" s="27" t="s">
        <v>199</v>
      </c>
    </row>
    <row r="84" spans="10:10">
      <c r="J84" s="27" t="s">
        <v>200</v>
      </c>
    </row>
    <row r="85" spans="10:10">
      <c r="J85" s="27" t="s">
        <v>201</v>
      </c>
    </row>
    <row r="86" spans="10:10">
      <c r="J86" s="27" t="s">
        <v>202</v>
      </c>
    </row>
    <row r="87" spans="10:10">
      <c r="J87" s="27" t="s">
        <v>203</v>
      </c>
    </row>
    <row r="88" spans="10:10">
      <c r="J88" s="27" t="s">
        <v>204</v>
      </c>
    </row>
    <row r="89" spans="10:10">
      <c r="J89" s="27" t="s">
        <v>205</v>
      </c>
    </row>
    <row r="90" spans="10:10">
      <c r="J90" s="27" t="s">
        <v>206</v>
      </c>
    </row>
    <row r="91" spans="10:10">
      <c r="J91" s="27" t="s">
        <v>207</v>
      </c>
    </row>
    <row r="92" spans="10:10">
      <c r="J92" s="27" t="s">
        <v>208</v>
      </c>
    </row>
    <row r="93" spans="10:10">
      <c r="J93" s="27" t="s">
        <v>209</v>
      </c>
    </row>
    <row r="94" spans="10:10">
      <c r="J94" s="27" t="s">
        <v>210</v>
      </c>
    </row>
    <row r="95" spans="10:10">
      <c r="J95" s="27" t="s">
        <v>211</v>
      </c>
    </row>
    <row r="96" spans="10:10">
      <c r="J96" s="27" t="s">
        <v>212</v>
      </c>
    </row>
    <row r="97" spans="10:10">
      <c r="J97" s="27" t="s">
        <v>213</v>
      </c>
    </row>
    <row r="98" spans="10:10">
      <c r="J98" s="27" t="s">
        <v>214</v>
      </c>
    </row>
    <row r="99" spans="10:10">
      <c r="J99" s="27" t="s">
        <v>215</v>
      </c>
    </row>
    <row r="100" spans="10:10">
      <c r="J100" s="27" t="s">
        <v>216</v>
      </c>
    </row>
    <row r="101" spans="10:10">
      <c r="J101" s="27" t="s">
        <v>217</v>
      </c>
    </row>
    <row r="102" spans="10:10">
      <c r="J102" s="27" t="s">
        <v>218</v>
      </c>
    </row>
    <row r="103" spans="10:10">
      <c r="J103" s="27" t="s">
        <v>219</v>
      </c>
    </row>
    <row r="104" spans="10:10">
      <c r="J104" s="27" t="s">
        <v>220</v>
      </c>
    </row>
    <row r="105" spans="10:10">
      <c r="J105" s="27" t="s">
        <v>221</v>
      </c>
    </row>
    <row r="106" spans="10:10">
      <c r="J106" s="27" t="s">
        <v>222</v>
      </c>
    </row>
    <row r="107" spans="10:10">
      <c r="J107" s="27" t="s">
        <v>223</v>
      </c>
    </row>
    <row r="108" spans="10:10">
      <c r="J108" s="27" t="s">
        <v>224</v>
      </c>
    </row>
    <row r="109" spans="10:10">
      <c r="J109" s="27" t="s">
        <v>225</v>
      </c>
    </row>
    <row r="110" spans="10:10">
      <c r="J110" s="27" t="s">
        <v>226</v>
      </c>
    </row>
    <row r="111" spans="10:10">
      <c r="J111" s="27" t="s">
        <v>227</v>
      </c>
    </row>
    <row r="112" spans="10:10">
      <c r="J112" s="27" t="s">
        <v>228</v>
      </c>
    </row>
    <row r="113" spans="10:10">
      <c r="J113" s="27" t="s">
        <v>229</v>
      </c>
    </row>
    <row r="114" spans="10:10">
      <c r="J114" s="27" t="s">
        <v>230</v>
      </c>
    </row>
    <row r="115" spans="10:10">
      <c r="J115" s="27" t="s">
        <v>231</v>
      </c>
    </row>
    <row r="116" spans="10:10">
      <c r="J116" s="27" t="s">
        <v>232</v>
      </c>
    </row>
    <row r="117" spans="10:10">
      <c r="J117" s="27" t="s">
        <v>233</v>
      </c>
    </row>
    <row r="118" spans="10:10">
      <c r="J118" s="27" t="s">
        <v>234</v>
      </c>
    </row>
    <row r="119" spans="10:10">
      <c r="J119" s="27" t="s">
        <v>235</v>
      </c>
    </row>
    <row r="120" spans="10:10">
      <c r="J120" s="27" t="s">
        <v>236</v>
      </c>
    </row>
    <row r="121" spans="10:10">
      <c r="J121" s="27" t="s">
        <v>237</v>
      </c>
    </row>
    <row r="122" spans="10:10">
      <c r="J122" s="27" t="s">
        <v>238</v>
      </c>
    </row>
    <row r="123" spans="10:10">
      <c r="J123" s="27" t="s">
        <v>239</v>
      </c>
    </row>
    <row r="124" spans="10:10">
      <c r="J124" s="27" t="s">
        <v>240</v>
      </c>
    </row>
    <row r="125" spans="10:10">
      <c r="J125" s="27" t="s">
        <v>241</v>
      </c>
    </row>
    <row r="126" spans="10:10">
      <c r="J126" s="27" t="s">
        <v>242</v>
      </c>
    </row>
    <row r="127" spans="10:10">
      <c r="J127" s="27" t="s">
        <v>243</v>
      </c>
    </row>
    <row r="128" spans="10:10">
      <c r="J128" s="27" t="s">
        <v>244</v>
      </c>
    </row>
    <row r="129" spans="10:10">
      <c r="J129" s="27" t="s">
        <v>245</v>
      </c>
    </row>
    <row r="130" spans="10:10">
      <c r="J130" s="27" t="s">
        <v>246</v>
      </c>
    </row>
    <row r="131" spans="10:10">
      <c r="J131" s="27" t="s">
        <v>247</v>
      </c>
    </row>
    <row r="132" spans="10:10">
      <c r="J132" s="27" t="s">
        <v>248</v>
      </c>
    </row>
    <row r="133" spans="10:10">
      <c r="J133" s="27" t="s">
        <v>249</v>
      </c>
    </row>
    <row r="134" spans="10:10">
      <c r="J134" s="27" t="s">
        <v>250</v>
      </c>
    </row>
    <row r="135" spans="10:10">
      <c r="J135" s="27" t="s">
        <v>251</v>
      </c>
    </row>
    <row r="136" spans="10:10">
      <c r="J136" s="27" t="s">
        <v>252</v>
      </c>
    </row>
    <row r="137" spans="10:10">
      <c r="J137" s="27" t="s">
        <v>253</v>
      </c>
    </row>
    <row r="138" spans="10:10">
      <c r="J138" s="27" t="s">
        <v>254</v>
      </c>
    </row>
    <row r="139" spans="10:10">
      <c r="J139" s="27" t="s">
        <v>255</v>
      </c>
    </row>
    <row r="140" spans="10:10">
      <c r="J140" s="27" t="s">
        <v>256</v>
      </c>
    </row>
    <row r="141" spans="10:10">
      <c r="J141" s="27" t="s">
        <v>257</v>
      </c>
    </row>
    <row r="142" spans="10:10">
      <c r="J142" s="27" t="s">
        <v>258</v>
      </c>
    </row>
    <row r="143" spans="10:10">
      <c r="J143" s="27" t="s">
        <v>259</v>
      </c>
    </row>
    <row r="144" spans="10:10">
      <c r="J144" s="187"/>
    </row>
  </sheetData>
  <mergeCells count="2">
    <mergeCell ref="B3:H3"/>
    <mergeCell ref="B6:H6"/>
  </mergeCells>
  <phoneticPr fontId="31" type="noConversion"/>
  <dataValidations count="1">
    <dataValidation type="list" allowBlank="1" showInputMessage="1" showErrorMessage="1" sqref="M28" xr:uid="{00000000-0002-0000-0900-000000000000}">
      <formula1>$J$10:$J$143</formula1>
    </dataValidation>
  </dataValidations>
  <pageMargins left="0.7" right="0.7" top="0.75" bottom="0.75" header="0.3" footer="0.3"/>
  <pageSetup orientation="landscape" horizontalDpi="4294967293" r:id="rId1"/>
  <headerFooter>
    <oddFooter>&amp;L&amp;"Calibri,Italic"&amp;8&amp;F: &amp;A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5"/>
  <sheetViews>
    <sheetView zoomScaleNormal="100" workbookViewId="0">
      <selection activeCell="N19" sqref="N19"/>
    </sheetView>
  </sheetViews>
  <sheetFormatPr defaultRowHeight="14.5"/>
  <sheetData>
    <row r="1" spans="1:2">
      <c r="A1" s="48" t="s">
        <v>260</v>
      </c>
      <c r="B1" t="s">
        <v>261</v>
      </c>
    </row>
    <row r="2" spans="1:2">
      <c r="A2" s="48" t="s">
        <v>65</v>
      </c>
      <c r="B2" t="s">
        <v>262</v>
      </c>
    </row>
    <row r="3" spans="1:2">
      <c r="A3" s="48" t="s">
        <v>263</v>
      </c>
      <c r="B3" t="s">
        <v>264</v>
      </c>
    </row>
    <row r="4" spans="1:2">
      <c r="A4" s="48" t="s">
        <v>265</v>
      </c>
      <c r="B4" t="s">
        <v>266</v>
      </c>
    </row>
    <row r="5" spans="1:2">
      <c r="A5" s="48" t="s">
        <v>267</v>
      </c>
      <c r="B5" t="s">
        <v>268</v>
      </c>
    </row>
    <row r="6" spans="1:2">
      <c r="A6" s="48" t="s">
        <v>269</v>
      </c>
      <c r="B6" t="s">
        <v>270</v>
      </c>
    </row>
    <row r="7" spans="1:2">
      <c r="A7" s="48" t="s">
        <v>271</v>
      </c>
      <c r="B7" t="s">
        <v>272</v>
      </c>
    </row>
    <row r="8" spans="1:2">
      <c r="A8" s="48" t="s">
        <v>273</v>
      </c>
      <c r="B8" t="s">
        <v>274</v>
      </c>
    </row>
    <row r="9" spans="1:2">
      <c r="A9" s="48" t="s">
        <v>275</v>
      </c>
      <c r="B9" t="s">
        <v>276</v>
      </c>
    </row>
    <row r="10" spans="1:2">
      <c r="A10" s="48" t="s">
        <v>277</v>
      </c>
      <c r="B10" t="s">
        <v>278</v>
      </c>
    </row>
    <row r="11" spans="1:2">
      <c r="A11" s="48" t="s">
        <v>279</v>
      </c>
      <c r="B11" t="s">
        <v>280</v>
      </c>
    </row>
    <row r="12" spans="1:2">
      <c r="A12" s="48" t="s">
        <v>281</v>
      </c>
      <c r="B12" t="s">
        <v>282</v>
      </c>
    </row>
    <row r="13" spans="1:2">
      <c r="A13" s="48" t="s">
        <v>283</v>
      </c>
      <c r="B13" t="s">
        <v>284</v>
      </c>
    </row>
    <row r="14" spans="1:2">
      <c r="A14" s="48" t="s">
        <v>285</v>
      </c>
      <c r="B14" t="s">
        <v>286</v>
      </c>
    </row>
    <row r="15" spans="1:2">
      <c r="A15" s="48" t="s">
        <v>287</v>
      </c>
      <c r="B15" t="s">
        <v>288</v>
      </c>
    </row>
  </sheetData>
  <phoneticPr fontId="3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AG237"/>
  <sheetViews>
    <sheetView showGridLines="0" zoomScale="80" zoomScaleNormal="80" workbookViewId="0">
      <selection activeCell="K14" sqref="K14"/>
    </sheetView>
  </sheetViews>
  <sheetFormatPr defaultColWidth="11" defaultRowHeight="14.5"/>
  <cols>
    <col min="1" max="1" width="74.7265625" customWidth="1"/>
    <col min="2" max="2" width="49.81640625" customWidth="1"/>
    <col min="3" max="3" width="20" customWidth="1"/>
    <col min="4" max="4" width="22.7265625" customWidth="1"/>
    <col min="5" max="5" width="16.453125" customWidth="1"/>
    <col min="6" max="6" width="23.7265625" customWidth="1"/>
    <col min="7" max="7" width="12.453125" customWidth="1"/>
    <col min="8" max="8" width="16.7265625" customWidth="1"/>
    <col min="9" max="9" width="19.453125" customWidth="1"/>
    <col min="10" max="10" width="16.54296875" customWidth="1"/>
    <col min="11" max="11" width="11.26953125" customWidth="1"/>
    <col min="12" max="12" width="13.453125" customWidth="1"/>
    <col min="13" max="13" width="11.453125" customWidth="1"/>
    <col min="14" max="14" width="15.7265625" customWidth="1"/>
    <col min="15" max="15" width="15.54296875" customWidth="1"/>
    <col min="16" max="16" width="16.26953125" customWidth="1"/>
    <col min="17" max="17" width="13.7265625" customWidth="1"/>
    <col min="18" max="18" width="14.7265625" customWidth="1"/>
    <col min="19" max="19" width="16" customWidth="1"/>
    <col min="20" max="20" width="11.453125" hidden="1" customWidth="1"/>
    <col min="21" max="21" width="15.54296875" customWidth="1"/>
    <col min="22" max="22" width="11.453125" customWidth="1"/>
    <col min="23" max="23" width="2.26953125" customWidth="1"/>
    <col min="24" max="24" width="1.26953125" customWidth="1"/>
    <col min="25" max="25" width="3.26953125" customWidth="1"/>
    <col min="26" max="26" width="17" customWidth="1"/>
    <col min="27" max="27" width="15" customWidth="1"/>
    <col min="28" max="28" width="11.453125" customWidth="1"/>
    <col min="29" max="29" width="13.54296875" customWidth="1"/>
    <col min="30" max="30" width="16.7265625" customWidth="1"/>
    <col min="31" max="31" width="11.453125" customWidth="1"/>
    <col min="32" max="32" width="2" customWidth="1"/>
    <col min="33" max="33" width="3.26953125" customWidth="1"/>
    <col min="34" max="34" width="2.26953125" customWidth="1"/>
    <col min="35" max="35" width="40.7265625" customWidth="1"/>
    <col min="36" max="36" width="15.453125" customWidth="1"/>
  </cols>
  <sheetData>
    <row r="1" spans="1:12" ht="29.25" customHeight="1">
      <c r="B1" s="629"/>
      <c r="C1" s="629"/>
    </row>
    <row r="2" spans="1:12" ht="15.75" customHeight="1">
      <c r="A2" s="680" t="s">
        <v>302</v>
      </c>
      <c r="B2" s="680"/>
      <c r="C2" s="680"/>
      <c r="D2" s="680"/>
      <c r="E2" s="680"/>
      <c r="F2" s="680"/>
      <c r="G2" s="680"/>
      <c r="H2" s="680"/>
      <c r="I2" s="680"/>
      <c r="J2" s="137"/>
      <c r="K2" s="137"/>
      <c r="L2" s="137"/>
    </row>
    <row r="3" spans="1:12" ht="4.5" customHeight="1"/>
    <row r="4" spans="1:12">
      <c r="A4" s="128" t="s">
        <v>291</v>
      </c>
      <c r="B4" s="678" t="s">
        <v>289</v>
      </c>
      <c r="C4" s="679"/>
      <c r="D4" s="681" t="s">
        <v>296</v>
      </c>
      <c r="E4" s="681"/>
      <c r="F4" s="520" t="s">
        <v>300</v>
      </c>
      <c r="G4" s="380"/>
      <c r="H4" s="380"/>
      <c r="I4" s="381"/>
    </row>
    <row r="5" spans="1:12" ht="3" customHeight="1">
      <c r="A5" s="128"/>
      <c r="D5" s="130"/>
      <c r="E5" s="130"/>
    </row>
    <row r="6" spans="1:12" ht="15" customHeight="1">
      <c r="A6" s="128" t="s">
        <v>292</v>
      </c>
      <c r="B6" s="678" t="s">
        <v>2</v>
      </c>
      <c r="C6" s="679"/>
      <c r="D6" s="681" t="s">
        <v>69</v>
      </c>
      <c r="E6" s="681"/>
      <c r="F6" s="384" t="s">
        <v>3</v>
      </c>
      <c r="G6" s="128" t="s">
        <v>323</v>
      </c>
      <c r="H6" s="682" t="s">
        <v>4</v>
      </c>
      <c r="I6" s="683"/>
      <c r="K6" s="96"/>
    </row>
    <row r="7" spans="1:12" ht="3" customHeight="1">
      <c r="A7" s="128"/>
      <c r="D7" s="130"/>
      <c r="E7" s="130"/>
      <c r="G7" s="128"/>
    </row>
    <row r="8" spans="1:12">
      <c r="A8" s="128" t="s">
        <v>293</v>
      </c>
      <c r="B8" s="678" t="s">
        <v>290</v>
      </c>
      <c r="C8" s="679"/>
      <c r="D8" s="130"/>
      <c r="E8" s="128" t="s">
        <v>71</v>
      </c>
      <c r="F8" s="384"/>
      <c r="G8" s="128" t="s">
        <v>301</v>
      </c>
      <c r="H8" s="678"/>
      <c r="I8" s="679"/>
    </row>
    <row r="9" spans="1:12" ht="3" customHeight="1">
      <c r="A9" s="130"/>
      <c r="D9" s="130"/>
      <c r="E9" s="130"/>
    </row>
    <row r="10" spans="1:12">
      <c r="A10" s="128" t="s">
        <v>294</v>
      </c>
      <c r="B10" s="684">
        <v>44197</v>
      </c>
      <c r="C10" s="685"/>
      <c r="D10" s="686" t="s">
        <v>297</v>
      </c>
      <c r="E10" s="688"/>
      <c r="F10" s="678" t="s">
        <v>5</v>
      </c>
      <c r="G10" s="690"/>
      <c r="H10" s="690"/>
      <c r="I10" s="679"/>
    </row>
    <row r="11" spans="1:12" ht="5.25" customHeight="1"/>
    <row r="12" spans="1:12" ht="15" customHeight="1">
      <c r="A12" s="128" t="s">
        <v>295</v>
      </c>
      <c r="B12" s="689" t="s">
        <v>105</v>
      </c>
      <c r="C12" s="689"/>
      <c r="D12" s="686" t="s">
        <v>298</v>
      </c>
      <c r="E12" s="681"/>
      <c r="F12" s="687" t="s">
        <v>299</v>
      </c>
      <c r="G12" s="687"/>
      <c r="H12" s="687"/>
      <c r="I12" s="687"/>
    </row>
    <row r="13" spans="1:12" ht="5.25" customHeight="1"/>
    <row r="14" spans="1:12" ht="15.75" customHeight="1">
      <c r="A14" s="680" t="s">
        <v>303</v>
      </c>
      <c r="B14" s="680"/>
      <c r="C14" s="680"/>
      <c r="D14" s="680"/>
      <c r="E14" s="680"/>
      <c r="F14" s="680"/>
      <c r="G14" s="680"/>
      <c r="H14" s="680"/>
      <c r="I14" s="680"/>
    </row>
    <row r="15" spans="1:12" ht="3" customHeight="1"/>
    <row r="16" spans="1:12">
      <c r="A16" s="128" t="s">
        <v>304</v>
      </c>
      <c r="B16" s="384" t="s">
        <v>7</v>
      </c>
      <c r="C16" s="128" t="s">
        <v>305</v>
      </c>
      <c r="D16" s="216">
        <v>44927</v>
      </c>
      <c r="E16" s="383" t="s">
        <v>306</v>
      </c>
      <c r="F16" s="216">
        <v>45291</v>
      </c>
      <c r="G16" s="686" t="s">
        <v>307</v>
      </c>
      <c r="H16" s="688"/>
      <c r="I16" s="382">
        <v>45484</v>
      </c>
    </row>
    <row r="17" spans="1:33" ht="3" customHeight="1"/>
    <row r="18" spans="1:33">
      <c r="A18" s="681" t="s">
        <v>561</v>
      </c>
      <c r="B18" s="688"/>
      <c r="C18" s="703" t="s">
        <v>290</v>
      </c>
      <c r="D18" s="703"/>
      <c r="E18" s="703"/>
    </row>
    <row r="19" spans="1:33" ht="3" customHeight="1"/>
    <row r="20" spans="1:33" ht="5.25" customHeight="1"/>
    <row r="21" spans="1:33" ht="15.75" customHeight="1">
      <c r="A21" s="680" t="s">
        <v>308</v>
      </c>
      <c r="B21" s="680"/>
      <c r="C21" s="680"/>
      <c r="D21" s="680"/>
      <c r="E21" s="680"/>
      <c r="F21" s="680"/>
      <c r="G21" s="680"/>
      <c r="H21" s="680"/>
      <c r="I21" s="680"/>
    </row>
    <row r="22" spans="1:33">
      <c r="A22" s="130" t="s">
        <v>309</v>
      </c>
    </row>
    <row r="23" spans="1:33" ht="3" customHeight="1"/>
    <row r="24" spans="1:33" ht="15" thickBot="1">
      <c r="A24" s="128" t="s">
        <v>310</v>
      </c>
      <c r="B24" s="183"/>
      <c r="C24" s="681" t="s">
        <v>311</v>
      </c>
      <c r="D24" s="681"/>
      <c r="E24" s="184"/>
      <c r="F24" s="681" t="s">
        <v>312</v>
      </c>
      <c r="G24" s="681"/>
      <c r="H24" s="701"/>
      <c r="I24" s="702"/>
    </row>
    <row r="25" spans="1:33" ht="19" thickBot="1">
      <c r="A25" s="55" t="s">
        <v>310</v>
      </c>
      <c r="B25" s="56"/>
      <c r="C25" s="56"/>
      <c r="D25" s="56"/>
      <c r="E25" s="56"/>
      <c r="F25" s="56"/>
      <c r="G25" s="129"/>
      <c r="H25" s="319"/>
      <c r="I25" s="319"/>
      <c r="J25" s="320" t="s">
        <v>313</v>
      </c>
      <c r="K25" s="321"/>
      <c r="L25" s="321"/>
      <c r="M25" s="321"/>
      <c r="N25" s="322"/>
      <c r="AG25" s="26"/>
    </row>
    <row r="26" spans="1:33">
      <c r="A26" s="691" t="s">
        <v>315</v>
      </c>
      <c r="B26" s="692"/>
      <c r="C26" s="188" t="s">
        <v>8</v>
      </c>
      <c r="D26" s="58"/>
      <c r="E26" s="58"/>
      <c r="F26" s="58"/>
      <c r="G26" s="58"/>
      <c r="H26" s="58"/>
      <c r="I26" s="323"/>
      <c r="J26" s="58"/>
      <c r="K26" s="58"/>
      <c r="L26" s="58"/>
      <c r="M26" s="22"/>
      <c r="N26" s="22"/>
      <c r="AG26" s="26"/>
    </row>
    <row r="27" spans="1:33" ht="18.5">
      <c r="A27" s="57" t="s">
        <v>314</v>
      </c>
      <c r="B27" s="58"/>
      <c r="C27" s="58"/>
      <c r="D27" s="58"/>
      <c r="E27" s="58"/>
      <c r="F27" s="58"/>
      <c r="G27" s="58"/>
      <c r="H27" s="58"/>
      <c r="I27" s="323"/>
      <c r="J27" s="58"/>
      <c r="K27" s="58"/>
      <c r="L27" s="58"/>
      <c r="M27" s="22"/>
      <c r="N27" s="22"/>
      <c r="AG27" s="26"/>
    </row>
    <row r="28" spans="1:33" ht="15" thickBot="1"/>
    <row r="29" spans="1:33" ht="15" thickBot="1">
      <c r="A29" s="698" t="s">
        <v>316</v>
      </c>
      <c r="B29" s="699"/>
      <c r="C29" s="699"/>
      <c r="D29" s="699"/>
      <c r="E29" s="699"/>
      <c r="F29" s="699"/>
      <c r="G29" s="699"/>
      <c r="H29" s="699"/>
      <c r="I29" s="699"/>
      <c r="J29" s="699"/>
      <c r="K29" s="699"/>
      <c r="L29" s="699"/>
      <c r="M29" s="700"/>
      <c r="O29" s="100"/>
      <c r="P29" s="101"/>
      <c r="Q29" s="102">
        <f>+B33</f>
        <v>5708999.7549785394</v>
      </c>
    </row>
    <row r="30" spans="1:33">
      <c r="A30" s="59" t="s">
        <v>317</v>
      </c>
      <c r="B30" s="171" t="s">
        <v>9</v>
      </c>
      <c r="C30" s="171" t="s">
        <v>10</v>
      </c>
      <c r="D30" s="171" t="s">
        <v>7</v>
      </c>
      <c r="E30" s="171" t="s">
        <v>11</v>
      </c>
      <c r="F30" s="171" t="s">
        <v>12</v>
      </c>
      <c r="G30" s="171" t="s">
        <v>13</v>
      </c>
      <c r="H30" s="171" t="s">
        <v>14</v>
      </c>
      <c r="I30" s="171" t="s">
        <v>15</v>
      </c>
      <c r="J30" s="171" t="s">
        <v>16</v>
      </c>
      <c r="K30" s="171" t="s">
        <v>17</v>
      </c>
      <c r="L30" s="171" t="s">
        <v>18</v>
      </c>
      <c r="M30" s="172" t="s">
        <v>19</v>
      </c>
      <c r="N30" s="173" t="s">
        <v>321</v>
      </c>
      <c r="O30" s="100"/>
      <c r="P30" s="101"/>
      <c r="Q30" s="102">
        <f>+C33</f>
        <v>16073556.164202979</v>
      </c>
    </row>
    <row r="31" spans="1:33">
      <c r="A31" s="135" t="s">
        <v>318</v>
      </c>
      <c r="B31" s="447">
        <v>5708999.7549785394</v>
      </c>
      <c r="C31" s="178">
        <v>10364556.409224439</v>
      </c>
      <c r="D31" s="178">
        <v>16683391.260895876</v>
      </c>
      <c r="E31" s="241"/>
      <c r="F31" s="241"/>
      <c r="G31" s="241"/>
      <c r="H31" s="242"/>
      <c r="I31" s="241"/>
      <c r="J31" s="241"/>
      <c r="K31" s="178"/>
      <c r="L31" s="243"/>
      <c r="M31" s="178"/>
      <c r="N31" s="641"/>
      <c r="O31" s="100"/>
      <c r="P31" s="101"/>
      <c r="Q31" s="102">
        <f>+D33</f>
        <v>32756947.425098851</v>
      </c>
    </row>
    <row r="32" spans="1:33">
      <c r="A32" s="59" t="str">
        <f>CONCATENATE("GF payments (in ", $C$26,")")</f>
        <v>GF payments (in $)</v>
      </c>
      <c r="B32" s="447">
        <v>18761018</v>
      </c>
      <c r="C32" s="179">
        <v>3196889.01</v>
      </c>
      <c r="D32" s="179">
        <v>11372549.949999999</v>
      </c>
      <c r="E32" s="179"/>
      <c r="F32" s="179"/>
      <c r="G32" s="179"/>
      <c r="H32" s="231"/>
      <c r="I32" s="178"/>
      <c r="J32" s="178"/>
      <c r="K32" s="178"/>
      <c r="L32" s="178"/>
      <c r="M32" s="178"/>
      <c r="N32" s="642"/>
      <c r="O32" s="100"/>
      <c r="P32" s="101"/>
      <c r="Q32" s="102">
        <f>+E33</f>
        <v>0</v>
      </c>
    </row>
    <row r="33" spans="1:17">
      <c r="A33" s="60" t="s">
        <v>319</v>
      </c>
      <c r="B33" s="180">
        <f>+B31</f>
        <v>5708999.7549785394</v>
      </c>
      <c r="C33" s="180">
        <f>B31+C31</f>
        <v>16073556.164202979</v>
      </c>
      <c r="D33" s="180">
        <f>C31+D31+B31</f>
        <v>32756947.425098851</v>
      </c>
      <c r="E33" s="180"/>
      <c r="F33" s="180"/>
      <c r="G33" s="239"/>
      <c r="H33" s="239"/>
      <c r="I33" s="239"/>
      <c r="J33" s="239"/>
      <c r="K33" s="239"/>
      <c r="L33" s="244"/>
      <c r="M33" s="180"/>
      <c r="N33" s="642"/>
      <c r="O33" s="168"/>
      <c r="P33" s="101"/>
      <c r="Q33" s="102">
        <f>+F33</f>
        <v>0</v>
      </c>
    </row>
    <row r="34" spans="1:17" ht="15" thickBot="1">
      <c r="A34" s="61" t="s">
        <v>320</v>
      </c>
      <c r="B34" s="181">
        <f>+B32</f>
        <v>18761018</v>
      </c>
      <c r="C34" s="181">
        <f>B32+C32</f>
        <v>21957907.009999998</v>
      </c>
      <c r="D34" s="181">
        <f>C32+D32+B32</f>
        <v>33330456.960000001</v>
      </c>
      <c r="E34" s="181"/>
      <c r="F34" s="181"/>
      <c r="G34" s="240"/>
      <c r="H34" s="240"/>
      <c r="I34" s="240"/>
      <c r="J34" s="240"/>
      <c r="K34" s="240"/>
      <c r="L34" s="245"/>
      <c r="M34" s="181"/>
      <c r="N34" s="643"/>
      <c r="O34" s="168"/>
      <c r="P34" s="101"/>
      <c r="Q34" s="102">
        <f>+G33</f>
        <v>0</v>
      </c>
    </row>
    <row r="35" spans="1:17">
      <c r="B35" s="160">
        <f>+IF(AND(B30=$B$16,B33&lt;&gt;0),B34/B33,0)</f>
        <v>0</v>
      </c>
      <c r="C35" s="160">
        <f t="shared" ref="C35:M35" si="0">+IF(AND(C30=$B$16,C33&lt;&gt;0),C34/C33,0)</f>
        <v>0</v>
      </c>
      <c r="D35" s="160">
        <f t="shared" si="0"/>
        <v>1.0175080274562371</v>
      </c>
      <c r="E35" s="160">
        <f>+IF(AND(E30=$B$16,E33&lt;&gt;0),E34/E33,0)</f>
        <v>0</v>
      </c>
      <c r="F35" s="160">
        <f t="shared" si="0"/>
        <v>0</v>
      </c>
      <c r="G35" s="160">
        <f t="shared" si="0"/>
        <v>0</v>
      </c>
      <c r="H35" s="160">
        <f t="shared" si="0"/>
        <v>0</v>
      </c>
      <c r="I35" s="160">
        <f t="shared" si="0"/>
        <v>0</v>
      </c>
      <c r="J35" s="160">
        <f t="shared" si="0"/>
        <v>0</v>
      </c>
      <c r="K35" s="160">
        <f t="shared" si="0"/>
        <v>0</v>
      </c>
      <c r="L35" s="160">
        <f t="shared" si="0"/>
        <v>0</v>
      </c>
      <c r="M35" s="160">
        <f t="shared" si="0"/>
        <v>0</v>
      </c>
      <c r="N35" s="96"/>
      <c r="O35" s="103"/>
      <c r="P35" s="101"/>
      <c r="Q35" s="102">
        <f>+H33</f>
        <v>0</v>
      </c>
    </row>
    <row r="36" spans="1:17" ht="18.5">
      <c r="A36" s="57" t="s">
        <v>322</v>
      </c>
      <c r="D36" s="165"/>
      <c r="F36" s="127"/>
      <c r="M36" s="23"/>
      <c r="N36" s="23"/>
    </row>
    <row r="37" spans="1:17" ht="15" thickBot="1">
      <c r="M37" s="15"/>
      <c r="N37" s="15"/>
    </row>
    <row r="38" spans="1:17" ht="30" customHeight="1">
      <c r="A38" s="199"/>
      <c r="B38" s="324" t="str">
        <f>CONCATENATE("Total budget (in ",'Data Input'!$C$26,")")</f>
        <v>Total budget (in $)</v>
      </c>
      <c r="C38" s="623" t="str">
        <f>CONCATENATE("General expenses (in ",'Data Input'!$C$26,")")</f>
        <v>General expenses (in $)</v>
      </c>
      <c r="D38" s="132"/>
      <c r="E38" s="132" t="s">
        <v>324</v>
      </c>
      <c r="I38" s="24"/>
      <c r="J38" s="24"/>
    </row>
    <row r="39" spans="1:17" ht="17.25" customHeight="1">
      <c r="A39" s="452" t="s">
        <v>325</v>
      </c>
      <c r="B39" s="455">
        <v>163926.47654375</v>
      </c>
      <c r="C39" s="624">
        <v>147866.40999999997</v>
      </c>
      <c r="D39" t="s">
        <v>620</v>
      </c>
      <c r="F39" s="170"/>
      <c r="I39" s="28"/>
      <c r="J39" s="28"/>
    </row>
    <row r="40" spans="1:17">
      <c r="A40" s="453" t="s">
        <v>326</v>
      </c>
      <c r="B40" s="457">
        <v>171209.729791786</v>
      </c>
      <c r="C40" s="625">
        <v>171816.64148626212</v>
      </c>
      <c r="D40" t="s">
        <v>610</v>
      </c>
      <c r="F40" s="170"/>
      <c r="I40" s="25"/>
      <c r="J40" s="25"/>
    </row>
    <row r="41" spans="1:17">
      <c r="A41" s="453" t="s">
        <v>327</v>
      </c>
      <c r="B41" s="457">
        <v>35491.420828175302</v>
      </c>
      <c r="C41" s="625">
        <v>35214.704746335963</v>
      </c>
      <c r="D41" t="s">
        <v>611</v>
      </c>
      <c r="F41" s="170"/>
      <c r="I41" s="25"/>
      <c r="J41" s="25"/>
    </row>
    <row r="42" spans="1:17">
      <c r="A42" s="453" t="s">
        <v>328</v>
      </c>
      <c r="B42" s="457">
        <v>682686.40496734099</v>
      </c>
      <c r="C42" s="625">
        <v>589208.44000000006</v>
      </c>
      <c r="D42" t="s">
        <v>612</v>
      </c>
      <c r="F42" s="170"/>
      <c r="I42" s="25"/>
      <c r="J42" s="25"/>
    </row>
    <row r="43" spans="1:17">
      <c r="A43" s="453" t="s">
        <v>329</v>
      </c>
      <c r="B43" s="457">
        <v>3786.12</v>
      </c>
      <c r="C43" s="625">
        <v>4262.0400000000045</v>
      </c>
      <c r="D43" t="s">
        <v>613</v>
      </c>
      <c r="F43" s="170"/>
      <c r="I43" s="25"/>
      <c r="J43" s="25"/>
    </row>
    <row r="44" spans="1:17">
      <c r="A44" s="453" t="s">
        <v>330</v>
      </c>
      <c r="B44" s="457">
        <v>245616.80968087001</v>
      </c>
      <c r="C44" s="625">
        <v>108149.88</v>
      </c>
      <c r="D44" t="s">
        <v>614</v>
      </c>
      <c r="F44" s="170"/>
      <c r="I44" s="25"/>
      <c r="J44" s="25"/>
    </row>
    <row r="45" spans="1:17">
      <c r="A45" s="453" t="s">
        <v>331</v>
      </c>
      <c r="B45" s="457">
        <v>6115.83</v>
      </c>
      <c r="C45" s="625">
        <v>6115.8338373415199</v>
      </c>
      <c r="D45" t="s">
        <v>621</v>
      </c>
      <c r="F45" s="170"/>
      <c r="I45" s="25"/>
      <c r="J45" s="25"/>
    </row>
    <row r="46" spans="1:17">
      <c r="A46" s="453" t="s">
        <v>332</v>
      </c>
      <c r="B46" s="457">
        <v>13479.328406041201</v>
      </c>
      <c r="C46" s="625">
        <v>405.75</v>
      </c>
      <c r="D46" t="s">
        <v>615</v>
      </c>
      <c r="F46" s="170"/>
      <c r="I46" s="25"/>
      <c r="J46" s="25"/>
    </row>
    <row r="47" spans="1:17">
      <c r="A47" s="453" t="s">
        <v>333</v>
      </c>
      <c r="B47" s="457">
        <v>622376.47550645506</v>
      </c>
      <c r="C47" s="625">
        <v>516180.186478936</v>
      </c>
      <c r="D47" t="s">
        <v>616</v>
      </c>
      <c r="F47" s="170"/>
      <c r="I47" s="25"/>
      <c r="J47" s="25"/>
    </row>
    <row r="48" spans="1:17">
      <c r="A48" s="453" t="s">
        <v>334</v>
      </c>
      <c r="B48" s="457">
        <v>474007.19648429699</v>
      </c>
      <c r="C48" s="625">
        <v>464674.15776443062</v>
      </c>
      <c r="D48" t="s">
        <v>617</v>
      </c>
      <c r="F48" s="170"/>
      <c r="I48" s="25"/>
      <c r="J48" s="25"/>
    </row>
    <row r="49" spans="1:15">
      <c r="A49" s="453" t="s">
        <v>335</v>
      </c>
      <c r="B49" s="457">
        <v>639118.93305226695</v>
      </c>
      <c r="C49" s="625">
        <v>274431.96121758735</v>
      </c>
      <c r="D49" t="s">
        <v>618</v>
      </c>
      <c r="F49" s="170"/>
      <c r="I49" s="25"/>
      <c r="J49" s="25"/>
    </row>
    <row r="50" spans="1:15">
      <c r="A50" s="453" t="s">
        <v>336</v>
      </c>
      <c r="B50" s="457">
        <v>4404661.1840626597</v>
      </c>
      <c r="C50" s="625">
        <v>3638433.9274053522</v>
      </c>
      <c r="D50" t="s">
        <v>622</v>
      </c>
      <c r="F50" s="170"/>
      <c r="I50" s="25"/>
      <c r="J50" s="25"/>
    </row>
    <row r="51" spans="1:15">
      <c r="A51" s="454" t="s">
        <v>337</v>
      </c>
      <c r="B51" s="457">
        <v>1998542.4898747499</v>
      </c>
      <c r="C51" s="625">
        <v>1666218.23</v>
      </c>
      <c r="D51" t="s">
        <v>619</v>
      </c>
      <c r="E51" s="170"/>
      <c r="F51" s="170"/>
      <c r="I51" s="25"/>
      <c r="J51" s="25"/>
    </row>
    <row r="52" spans="1:15">
      <c r="A52" s="453" t="s">
        <v>338</v>
      </c>
      <c r="B52" s="457">
        <v>301710.16954890598</v>
      </c>
      <c r="C52" s="625">
        <v>247387.24424886791</v>
      </c>
      <c r="D52" t="s">
        <v>623</v>
      </c>
      <c r="E52" s="169"/>
      <c r="F52" s="170"/>
      <c r="I52" s="25"/>
      <c r="J52" s="25"/>
    </row>
    <row r="53" spans="1:15">
      <c r="A53" s="453" t="s">
        <v>339</v>
      </c>
      <c r="B53" s="457">
        <v>806403.61089733196</v>
      </c>
      <c r="C53" s="625">
        <v>1404028.4630516658</v>
      </c>
      <c r="D53" t="s">
        <v>624</v>
      </c>
      <c r="E53" s="169"/>
      <c r="F53" s="170"/>
      <c r="I53" s="25"/>
      <c r="J53" s="25"/>
    </row>
    <row r="54" spans="1:15">
      <c r="A54" s="453" t="s">
        <v>340</v>
      </c>
      <c r="B54" s="457">
        <v>256031.911378035</v>
      </c>
      <c r="C54" s="625">
        <v>160625.49261041783</v>
      </c>
      <c r="D54" t="s">
        <v>625</v>
      </c>
      <c r="E54" s="169"/>
      <c r="F54" s="170"/>
      <c r="I54" s="25"/>
      <c r="J54" s="25"/>
    </row>
    <row r="55" spans="1:15">
      <c r="A55" s="453" t="s">
        <v>341</v>
      </c>
      <c r="B55" s="457">
        <v>43440.876561402998</v>
      </c>
      <c r="C55" s="625">
        <v>57980.12</v>
      </c>
      <c r="D55" t="s">
        <v>626</v>
      </c>
      <c r="E55" s="169"/>
      <c r="F55" s="170"/>
      <c r="I55" s="25"/>
      <c r="J55" s="25"/>
    </row>
    <row r="56" spans="1:15">
      <c r="A56" s="453" t="s">
        <v>342</v>
      </c>
      <c r="B56" s="457">
        <v>382805.48576712399</v>
      </c>
      <c r="C56" s="625">
        <v>267166.52999999997</v>
      </c>
      <c r="D56" t="s">
        <v>627</v>
      </c>
      <c r="E56" s="169"/>
      <c r="F56" s="170"/>
      <c r="I56" s="25"/>
      <c r="J56" s="25"/>
    </row>
    <row r="57" spans="1:15">
      <c r="A57" s="453" t="s">
        <v>343</v>
      </c>
      <c r="B57" s="457">
        <v>201468.92299868801</v>
      </c>
      <c r="C57" s="625">
        <v>260593.68994123259</v>
      </c>
      <c r="D57" t="s">
        <v>628</v>
      </c>
      <c r="E57" s="169"/>
      <c r="F57" s="170"/>
      <c r="I57" s="25"/>
      <c r="J57" s="25"/>
    </row>
    <row r="58" spans="1:15">
      <c r="A58" s="453" t="s">
        <v>344</v>
      </c>
      <c r="B58" s="457">
        <v>346009.23123738897</v>
      </c>
      <c r="C58" s="625">
        <v>325630.09924792207</v>
      </c>
      <c r="D58" t="s">
        <v>629</v>
      </c>
      <c r="E58" s="169"/>
      <c r="F58" s="170"/>
      <c r="I58" s="25"/>
      <c r="J58" s="25"/>
    </row>
    <row r="59" spans="1:15">
      <c r="A59" s="453" t="s">
        <v>345</v>
      </c>
      <c r="B59" s="457">
        <v>154884.99120251799</v>
      </c>
      <c r="C59" s="625">
        <v>162578.77078917698</v>
      </c>
      <c r="D59" t="s">
        <v>630</v>
      </c>
      <c r="E59" s="169"/>
      <c r="F59" s="170"/>
      <c r="I59" s="25"/>
      <c r="J59" s="25"/>
    </row>
    <row r="60" spans="1:15">
      <c r="A60" s="453" t="s">
        <v>346</v>
      </c>
      <c r="B60" s="457">
        <v>80758.025659360297</v>
      </c>
      <c r="C60" s="625">
        <v>95468.270992981066</v>
      </c>
      <c r="D60" t="s">
        <v>631</v>
      </c>
      <c r="E60" s="169"/>
      <c r="F60" s="170"/>
      <c r="I60" s="25"/>
      <c r="J60" s="25"/>
    </row>
    <row r="61" spans="1:15">
      <c r="A61" s="453" t="s">
        <v>347</v>
      </c>
      <c r="B61" s="457">
        <v>327867.71000000002</v>
      </c>
      <c r="C61" s="625">
        <v>93871.61</v>
      </c>
      <c r="D61" t="s">
        <v>632</v>
      </c>
      <c r="E61" s="169"/>
      <c r="F61" s="170"/>
      <c r="I61" s="25"/>
      <c r="J61" s="25"/>
    </row>
    <row r="62" spans="1:15">
      <c r="A62" s="453" t="s">
        <v>348</v>
      </c>
      <c r="B62" s="459">
        <v>37508.501581438897</v>
      </c>
      <c r="C62" s="625">
        <v>46972.964552252335</v>
      </c>
      <c r="D62" t="s">
        <v>633</v>
      </c>
      <c r="E62" s="169"/>
      <c r="F62" s="170"/>
      <c r="J62" s="25"/>
    </row>
    <row r="63" spans="1:15">
      <c r="A63" s="185" t="s">
        <v>349</v>
      </c>
      <c r="B63" s="232">
        <v>4283483.4248652896</v>
      </c>
      <c r="C63" s="626">
        <v>2643542.6360858721</v>
      </c>
      <c r="D63" s="169" t="s">
        <v>634</v>
      </c>
      <c r="I63" s="25"/>
    </row>
    <row r="64" spans="1:15" ht="15" thickBot="1">
      <c r="A64" s="186" t="s">
        <v>350</v>
      </c>
      <c r="B64" s="285">
        <f>SUM(B39:B63)</f>
        <v>16683391.260895878</v>
      </c>
      <c r="C64" s="627">
        <f>SUM(C39:C63)</f>
        <v>13388824.054456631</v>
      </c>
      <c r="D64" s="208"/>
      <c r="E64" s="651" t="str">
        <f ca="1">+IF((ROUND(B64,0)=ROUND(OFFSET(A31,0,RIGHT('Data Input'!$B$16,LEN('Data Input'!$B$16)-1),1,1),0)),"Everything is ok: the data is correct","Предупреждение: данные не совпадают")</f>
        <v>Everything is ok: the data is correct</v>
      </c>
      <c r="F64" s="651"/>
      <c r="G64" s="651"/>
      <c r="H64" s="651"/>
      <c r="I64" s="96"/>
      <c r="J64" s="96"/>
      <c r="K64" s="96"/>
      <c r="L64" s="103"/>
      <c r="M64" s="101"/>
      <c r="N64" s="102"/>
      <c r="O64" s="100"/>
    </row>
    <row r="65" spans="1:17">
      <c r="B65" s="96"/>
      <c r="C65" s="96"/>
      <c r="E65" s="96"/>
      <c r="F65" s="96"/>
      <c r="G65" s="96"/>
      <c r="H65" s="96"/>
      <c r="I65" s="96"/>
      <c r="J65" s="96"/>
      <c r="K65" s="96"/>
      <c r="L65" s="96"/>
      <c r="M65" s="96"/>
      <c r="N65" s="96"/>
      <c r="O65" s="103"/>
      <c r="P65" s="101"/>
      <c r="Q65" s="102"/>
    </row>
    <row r="66" spans="1:17" ht="18.5">
      <c r="A66" s="57" t="s">
        <v>351</v>
      </c>
      <c r="C66" s="96"/>
      <c r="D66" s="96"/>
      <c r="O66" s="100"/>
      <c r="P66" s="101"/>
      <c r="Q66" s="102">
        <f>+I33</f>
        <v>0</v>
      </c>
    </row>
    <row r="67" spans="1:17" ht="15" thickBot="1">
      <c r="O67" s="100"/>
      <c r="P67" s="101"/>
      <c r="Q67" s="102">
        <f>+J33</f>
        <v>0</v>
      </c>
    </row>
    <row r="68" spans="1:17" ht="51" customHeight="1">
      <c r="A68" s="220"/>
      <c r="B68" s="221" t="s">
        <v>352</v>
      </c>
      <c r="C68" s="221" t="s">
        <v>353</v>
      </c>
      <c r="D68" s="222" t="s">
        <v>354</v>
      </c>
      <c r="F68" s="141"/>
      <c r="G68" s="326"/>
      <c r="H68" s="136"/>
      <c r="I68" s="136"/>
      <c r="J68" s="136"/>
      <c r="K68" s="136"/>
      <c r="L68" s="14"/>
      <c r="M68" s="14"/>
      <c r="N68" s="100"/>
      <c r="O68" s="101"/>
      <c r="P68" s="102">
        <f>+L33</f>
        <v>0</v>
      </c>
      <c r="Q68" s="100"/>
    </row>
    <row r="69" spans="1:17">
      <c r="A69" s="223" t="s">
        <v>355</v>
      </c>
      <c r="B69" s="246">
        <v>21957907.009999998</v>
      </c>
      <c r="C69" s="448">
        <v>11372549.949999999</v>
      </c>
      <c r="D69" s="225">
        <f>+C69+B69</f>
        <v>33330456.959999997</v>
      </c>
      <c r="F69" s="63"/>
      <c r="G69" s="139"/>
      <c r="H69" s="62"/>
      <c r="I69" s="98"/>
      <c r="J69" s="99"/>
      <c r="K69" s="64"/>
      <c r="L69" s="20"/>
      <c r="M69" s="20"/>
      <c r="N69" s="100"/>
      <c r="O69" s="100"/>
      <c r="P69" s="100"/>
      <c r="Q69" s="100"/>
    </row>
    <row r="70" spans="1:17">
      <c r="A70" s="223" t="s">
        <v>356</v>
      </c>
      <c r="B70" s="246">
        <v>12158982.398843355</v>
      </c>
      <c r="C70" s="449">
        <v>11052794.31142755</v>
      </c>
      <c r="D70" s="225">
        <f>+C70+B70</f>
        <v>23211776.710270904</v>
      </c>
      <c r="F70" s="122"/>
      <c r="G70" s="139"/>
      <c r="H70" s="62"/>
      <c r="I70" s="98"/>
      <c r="J70" s="98"/>
      <c r="K70" s="64"/>
      <c r="L70" s="21"/>
      <c r="M70" s="21"/>
      <c r="N70" s="100"/>
      <c r="O70" s="100"/>
      <c r="P70" s="100"/>
      <c r="Q70" s="100"/>
    </row>
    <row r="71" spans="1:17">
      <c r="A71" s="223" t="s">
        <v>357</v>
      </c>
      <c r="B71" s="246">
        <v>4155763.69</v>
      </c>
      <c r="C71" s="449">
        <v>2242134.7400000002</v>
      </c>
      <c r="D71" s="225">
        <f>+C71+B71</f>
        <v>6397898.4299999997</v>
      </c>
      <c r="F71" s="63"/>
      <c r="G71" s="139"/>
      <c r="H71" s="62"/>
      <c r="I71" s="98"/>
      <c r="J71" s="99"/>
      <c r="K71" s="64"/>
      <c r="L71" s="20"/>
      <c r="M71" s="20"/>
    </row>
    <row r="72" spans="1:17" ht="15" thickBot="1">
      <c r="A72" s="224" t="s">
        <v>358</v>
      </c>
      <c r="B72" s="246">
        <v>3933382.8720644177</v>
      </c>
      <c r="C72" s="449">
        <v>2336029.7430290864</v>
      </c>
      <c r="D72" s="226">
        <f>+C72+B72</f>
        <v>6269412.6150935041</v>
      </c>
      <c r="E72" s="96"/>
      <c r="F72" s="123"/>
      <c r="G72" s="140"/>
      <c r="H72" s="65"/>
      <c r="I72" s="65"/>
      <c r="J72" s="65"/>
      <c r="K72" s="64"/>
      <c r="L72" s="21"/>
      <c r="M72" s="21"/>
    </row>
    <row r="73" spans="1:17" ht="15.75" customHeight="1">
      <c r="C73" s="96"/>
      <c r="E73" s="96"/>
    </row>
    <row r="74" spans="1:17">
      <c r="C74" s="219"/>
    </row>
    <row r="75" spans="1:17" ht="18.5">
      <c r="A75" s="57" t="s">
        <v>360</v>
      </c>
      <c r="C75" s="96"/>
    </row>
    <row r="76" spans="1:17" ht="15" thickBot="1"/>
    <row r="77" spans="1:17" ht="15.75" customHeight="1" thickBot="1">
      <c r="A77" s="695" t="s">
        <v>359</v>
      </c>
      <c r="B77" s="696"/>
      <c r="C77" s="697"/>
      <c r="D77" s="237"/>
    </row>
    <row r="78" spans="1:17">
      <c r="A78" s="233"/>
      <c r="B78" s="208"/>
      <c r="C78" s="217" t="s">
        <v>361</v>
      </c>
      <c r="D78" s="234" t="s">
        <v>362</v>
      </c>
    </row>
    <row r="79" spans="1:17">
      <c r="A79" s="142" t="s">
        <v>472</v>
      </c>
      <c r="B79" s="27"/>
      <c r="C79" s="247">
        <v>60</v>
      </c>
      <c r="D79" s="378">
        <v>60</v>
      </c>
    </row>
    <row r="80" spans="1:17">
      <c r="A80" s="142" t="s">
        <v>364</v>
      </c>
      <c r="B80" s="27"/>
      <c r="C80" s="247" t="s">
        <v>363</v>
      </c>
      <c r="D80" s="379" t="s">
        <v>363</v>
      </c>
      <c r="G80" s="139"/>
      <c r="H80" s="139"/>
    </row>
    <row r="81" spans="1:15" ht="15" thickBot="1">
      <c r="A81" s="235" t="s">
        <v>365</v>
      </c>
      <c r="B81" s="236"/>
      <c r="C81" s="248" t="s">
        <v>363</v>
      </c>
      <c r="D81" s="379" t="s">
        <v>363</v>
      </c>
      <c r="G81" s="139"/>
      <c r="H81" s="139"/>
    </row>
    <row r="83" spans="1:15" ht="15" thickBot="1"/>
    <row r="84" spans="1:15" ht="17.5" customHeight="1" thickBot="1">
      <c r="A84" s="67" t="s">
        <v>366</v>
      </c>
      <c r="B84" s="68"/>
      <c r="C84" s="68"/>
      <c r="D84" s="68"/>
      <c r="E84" s="68"/>
      <c r="F84" s="68"/>
      <c r="G84" s="327" t="s">
        <v>367</v>
      </c>
      <c r="H84" s="328"/>
      <c r="I84" s="329"/>
      <c r="J84" s="329"/>
      <c r="K84" s="330"/>
      <c r="L84" s="69"/>
      <c r="M84" s="54"/>
      <c r="N84" s="54"/>
      <c r="O84" s="54"/>
    </row>
    <row r="85" spans="1:15" ht="18.5">
      <c r="A85" s="70"/>
      <c r="B85" s="69"/>
      <c r="C85" s="69"/>
      <c r="D85" s="69"/>
      <c r="E85" s="69"/>
      <c r="F85" s="69"/>
      <c r="G85" s="69"/>
      <c r="H85" s="69"/>
      <c r="I85" s="69"/>
      <c r="J85" s="71"/>
      <c r="K85" s="71"/>
      <c r="L85" s="69"/>
      <c r="M85" s="54"/>
      <c r="N85" s="54"/>
      <c r="O85" s="54"/>
    </row>
    <row r="86" spans="1:15" ht="18.5">
      <c r="A86" s="70" t="s">
        <v>584</v>
      </c>
      <c r="B86" s="69"/>
      <c r="C86" s="69"/>
      <c r="D86" s="69"/>
      <c r="E86" s="69"/>
      <c r="F86" s="69"/>
      <c r="G86" s="69"/>
      <c r="H86" s="69"/>
      <c r="I86" s="69"/>
      <c r="J86" s="71"/>
      <c r="K86" s="71"/>
      <c r="L86" s="69"/>
      <c r="M86" s="54"/>
      <c r="N86" s="54"/>
      <c r="O86" s="54"/>
    </row>
    <row r="87" spans="1:15" ht="15" thickBot="1">
      <c r="B87" s="72"/>
      <c r="C87" s="72"/>
      <c r="D87" s="72"/>
      <c r="E87" s="72"/>
      <c r="F87" s="72"/>
      <c r="H87" s="72"/>
    </row>
    <row r="88" spans="1:15" ht="29">
      <c r="A88" s="693"/>
      <c r="B88" s="694"/>
      <c r="C88" s="73" t="s">
        <v>368</v>
      </c>
      <c r="D88" s="74" t="s">
        <v>369</v>
      </c>
      <c r="E88" s="190" t="s">
        <v>370</v>
      </c>
      <c r="F88" s="191" t="s">
        <v>371</v>
      </c>
      <c r="G88" s="331"/>
      <c r="H88" s="332"/>
    </row>
    <row r="89" spans="1:15">
      <c r="A89" s="652" t="s">
        <v>588</v>
      </c>
      <c r="B89" s="653"/>
      <c r="C89" s="124">
        <v>0</v>
      </c>
      <c r="D89" s="124">
        <v>0</v>
      </c>
      <c r="E89" s="124">
        <v>0</v>
      </c>
      <c r="F89" s="75"/>
      <c r="G89" s="331"/>
      <c r="H89" s="332"/>
    </row>
    <row r="90" spans="1:15" ht="15" thickBot="1">
      <c r="A90" s="654" t="s">
        <v>372</v>
      </c>
      <c r="B90" s="655"/>
      <c r="C90" s="124">
        <v>0</v>
      </c>
      <c r="D90" s="124">
        <v>0</v>
      </c>
      <c r="E90" s="124">
        <v>0</v>
      </c>
      <c r="F90" s="124">
        <v>0</v>
      </c>
      <c r="G90" s="331"/>
      <c r="H90" s="332"/>
    </row>
    <row r="91" spans="1:15">
      <c r="A91" s="652" t="s">
        <v>585</v>
      </c>
      <c r="B91" s="653"/>
      <c r="C91" s="124">
        <v>0</v>
      </c>
      <c r="D91" s="124">
        <v>0</v>
      </c>
      <c r="E91" s="124">
        <v>0</v>
      </c>
      <c r="F91" s="75">
        <f>SUM(C91:E91)</f>
        <v>0</v>
      </c>
      <c r="G91" s="138"/>
      <c r="H91" s="149"/>
      <c r="I91" s="149"/>
    </row>
    <row r="92" spans="1:15" ht="15" thickBot="1">
      <c r="A92" s="654" t="s">
        <v>589</v>
      </c>
      <c r="B92" s="655"/>
      <c r="C92" s="125">
        <v>0</v>
      </c>
      <c r="D92" s="125">
        <v>0</v>
      </c>
      <c r="E92" s="125">
        <v>0</v>
      </c>
      <c r="F92" s="76">
        <f>SUM(C92:E92)</f>
        <v>0</v>
      </c>
      <c r="G92" s="138"/>
    </row>
    <row r="95" spans="1:15" ht="18.5">
      <c r="A95" s="70" t="s">
        <v>373</v>
      </c>
    </row>
    <row r="96" spans="1:15" ht="15" thickBot="1"/>
    <row r="97" spans="1:8">
      <c r="A97" s="279" t="s">
        <v>374</v>
      </c>
      <c r="B97" s="189" t="s">
        <v>378</v>
      </c>
      <c r="C97" s="189" t="s">
        <v>380</v>
      </c>
      <c r="D97" s="77" t="s">
        <v>379</v>
      </c>
      <c r="H97" s="332"/>
    </row>
    <row r="98" spans="1:8" ht="15" thickBot="1">
      <c r="A98" s="209" t="s">
        <v>375</v>
      </c>
      <c r="B98" s="124">
        <v>5</v>
      </c>
      <c r="C98" s="124">
        <v>5</v>
      </c>
      <c r="D98" s="124">
        <f>B98-C98</f>
        <v>0</v>
      </c>
      <c r="H98" s="332"/>
    </row>
    <row r="99" spans="1:8" ht="15" thickBot="1">
      <c r="A99" s="209" t="s">
        <v>376</v>
      </c>
      <c r="B99" s="365">
        <v>2</v>
      </c>
      <c r="C99" s="124">
        <v>2</v>
      </c>
      <c r="D99" s="124">
        <v>0</v>
      </c>
      <c r="H99" s="332"/>
    </row>
    <row r="100" spans="1:8" ht="15" thickBot="1">
      <c r="A100" s="209" t="s">
        <v>377</v>
      </c>
      <c r="B100" s="365">
        <v>17</v>
      </c>
      <c r="C100" s="124">
        <v>17</v>
      </c>
      <c r="D100" s="124">
        <v>0</v>
      </c>
      <c r="E100" s="128"/>
      <c r="F100" s="333"/>
      <c r="H100" s="149"/>
    </row>
    <row r="101" spans="1:8">
      <c r="B101" s="334"/>
      <c r="C101" s="334"/>
      <c r="D101" s="334"/>
    </row>
    <row r="102" spans="1:8" ht="18.5">
      <c r="A102" s="70" t="s">
        <v>381</v>
      </c>
    </row>
    <row r="103" spans="1:8" ht="15" thickBot="1"/>
    <row r="104" spans="1:8" ht="29">
      <c r="A104" s="227"/>
      <c r="B104" s="304" t="s">
        <v>382</v>
      </c>
      <c r="C104" s="304" t="s">
        <v>383</v>
      </c>
      <c r="D104" s="304" t="s">
        <v>384</v>
      </c>
      <c r="E104" s="305" t="s">
        <v>385</v>
      </c>
      <c r="F104" s="306" t="s">
        <v>386</v>
      </c>
      <c r="G104" s="131"/>
      <c r="H104" s="332"/>
    </row>
    <row r="105" spans="1:8" ht="15" thickBot="1">
      <c r="A105" s="307" t="s">
        <v>663</v>
      </c>
      <c r="B105" s="280">
        <v>22</v>
      </c>
      <c r="C105" s="281">
        <v>22</v>
      </c>
      <c r="D105" s="281">
        <v>22</v>
      </c>
      <c r="E105" s="281">
        <v>22</v>
      </c>
      <c r="F105" s="281">
        <v>22</v>
      </c>
      <c r="G105" s="150"/>
      <c r="H105" s="138"/>
    </row>
    <row r="106" spans="1:8" ht="15" thickBot="1">
      <c r="A106" s="308" t="s">
        <v>664</v>
      </c>
      <c r="B106" s="353">
        <v>5</v>
      </c>
      <c r="C106" s="281">
        <v>5</v>
      </c>
      <c r="D106" s="281">
        <v>5</v>
      </c>
      <c r="E106" s="281">
        <v>5</v>
      </c>
      <c r="F106" s="309">
        <v>5</v>
      </c>
      <c r="G106" s="150"/>
      <c r="H106" s="138"/>
    </row>
    <row r="108" spans="1:8" ht="18.5">
      <c r="A108" s="70" t="s">
        <v>387</v>
      </c>
    </row>
    <row r="109" spans="1:8" ht="15" thickBot="1"/>
    <row r="110" spans="1:8" ht="27.75" customHeight="1">
      <c r="A110" s="227"/>
      <c r="B110" s="290" t="s">
        <v>388</v>
      </c>
      <c r="C110" s="290" t="s">
        <v>389</v>
      </c>
      <c r="D110" s="291" t="s">
        <v>390</v>
      </c>
    </row>
    <row r="111" spans="1:8" ht="27.75" customHeight="1">
      <c r="A111" s="292" t="s">
        <v>391</v>
      </c>
      <c r="B111" s="124">
        <v>0</v>
      </c>
      <c r="C111" s="126">
        <v>0</v>
      </c>
      <c r="D111" s="293">
        <v>0</v>
      </c>
    </row>
    <row r="112" spans="1:8" ht="18" customHeight="1">
      <c r="A112" s="292" t="s">
        <v>392</v>
      </c>
      <c r="B112" s="124">
        <v>35</v>
      </c>
      <c r="C112" s="126">
        <v>35</v>
      </c>
      <c r="D112" s="293">
        <f>B112-C112</f>
        <v>0</v>
      </c>
    </row>
    <row r="113" spans="1:13">
      <c r="A113" s="292" t="s">
        <v>393</v>
      </c>
      <c r="B113" s="124"/>
      <c r="C113" s="126"/>
      <c r="D113" s="293">
        <f t="shared" ref="D113:D114" si="1">B113-C113</f>
        <v>0</v>
      </c>
    </row>
    <row r="114" spans="1:13" ht="15" thickBot="1">
      <c r="A114" s="292" t="s">
        <v>394</v>
      </c>
      <c r="B114" s="294">
        <v>7</v>
      </c>
      <c r="C114" s="295">
        <v>7</v>
      </c>
      <c r="D114" s="296">
        <f t="shared" si="1"/>
        <v>0</v>
      </c>
    </row>
    <row r="116" spans="1:13" ht="18.5">
      <c r="A116" s="70" t="s">
        <v>395</v>
      </c>
    </row>
    <row r="117" spans="1:13" ht="15" thickBot="1"/>
    <row r="118" spans="1:13">
      <c r="A118" s="227"/>
      <c r="B118" s="174" t="s">
        <v>9</v>
      </c>
      <c r="C118" s="174" t="s">
        <v>10</v>
      </c>
      <c r="D118" s="174" t="s">
        <v>7</v>
      </c>
      <c r="E118" s="174" t="s">
        <v>11</v>
      </c>
      <c r="F118" s="174" t="s">
        <v>12</v>
      </c>
      <c r="G118" s="174" t="s">
        <v>13</v>
      </c>
      <c r="H118" s="174" t="s">
        <v>14</v>
      </c>
      <c r="I118" s="174" t="s">
        <v>15</v>
      </c>
      <c r="J118" s="174" t="s">
        <v>16</v>
      </c>
      <c r="K118" s="174" t="s">
        <v>17</v>
      </c>
      <c r="L118" s="174" t="s">
        <v>18</v>
      </c>
      <c r="M118" s="297" t="s">
        <v>19</v>
      </c>
    </row>
    <row r="119" spans="1:13" ht="15" customHeight="1">
      <c r="A119" s="228" t="s">
        <v>396</v>
      </c>
      <c r="B119" s="450">
        <v>1718389.82</v>
      </c>
      <c r="C119" s="286">
        <v>4934758.51</v>
      </c>
      <c r="D119" s="286">
        <v>7558222.8504614541</v>
      </c>
      <c r="E119" s="166"/>
      <c r="F119" s="166"/>
      <c r="G119" s="166"/>
      <c r="H119" s="166"/>
      <c r="I119" s="166"/>
      <c r="J119" s="166"/>
      <c r="K119" s="166"/>
      <c r="L119" s="166"/>
      <c r="M119" s="298"/>
    </row>
    <row r="120" spans="1:13" ht="15" customHeight="1">
      <c r="A120" s="228" t="s">
        <v>397</v>
      </c>
      <c r="B120" s="451">
        <v>2445797</v>
      </c>
      <c r="C120" s="286">
        <v>4134253.8999999994</v>
      </c>
      <c r="D120" s="286">
        <v>313996.26</v>
      </c>
      <c r="E120" s="166"/>
      <c r="F120" s="166"/>
      <c r="G120" s="166"/>
      <c r="H120" s="166"/>
      <c r="I120" s="166"/>
      <c r="J120" s="166"/>
      <c r="K120" s="166"/>
      <c r="L120" s="166"/>
      <c r="M120" s="298"/>
    </row>
    <row r="121" spans="1:13" ht="15" customHeight="1">
      <c r="A121" s="228" t="s">
        <v>398</v>
      </c>
      <c r="B121" s="451">
        <v>1718390</v>
      </c>
      <c r="C121" s="286">
        <v>4934758.5100000007</v>
      </c>
      <c r="D121" s="286">
        <v>7033684.7400000002</v>
      </c>
      <c r="E121" s="166"/>
      <c r="F121" s="166"/>
      <c r="G121" s="166"/>
      <c r="H121" s="166"/>
      <c r="I121" s="166"/>
      <c r="J121" s="166"/>
      <c r="K121" s="166"/>
      <c r="L121" s="166"/>
      <c r="M121" s="298"/>
    </row>
    <row r="122" spans="1:13" ht="15" customHeight="1">
      <c r="A122" s="229" t="s">
        <v>399</v>
      </c>
      <c r="B122" s="287">
        <f>B119</f>
        <v>1718389.82</v>
      </c>
      <c r="C122" s="287">
        <f>B122+C119</f>
        <v>6653148.3300000001</v>
      </c>
      <c r="D122" s="287">
        <f>C122+D119</f>
        <v>14211371.180461455</v>
      </c>
      <c r="E122" s="287"/>
      <c r="F122" s="287"/>
      <c r="G122" s="167"/>
      <c r="H122" s="167"/>
      <c r="I122" s="167"/>
      <c r="J122" s="167"/>
      <c r="K122" s="167"/>
      <c r="L122" s="167"/>
      <c r="M122" s="299"/>
    </row>
    <row r="123" spans="1:13" ht="15" customHeight="1">
      <c r="A123" s="229" t="s">
        <v>400</v>
      </c>
      <c r="B123" s="287">
        <f>B120</f>
        <v>2445797</v>
      </c>
      <c r="C123" s="287">
        <f>C120</f>
        <v>4134253.8999999994</v>
      </c>
      <c r="D123" s="287">
        <f>D120</f>
        <v>313996.26</v>
      </c>
      <c r="E123" s="287"/>
      <c r="F123" s="167"/>
      <c r="G123" s="167"/>
      <c r="H123" s="167"/>
      <c r="I123" s="167"/>
      <c r="J123" s="167"/>
      <c r="K123" s="167"/>
      <c r="L123" s="167"/>
      <c r="M123" s="299"/>
    </row>
    <row r="124" spans="1:13" ht="15" thickBot="1">
      <c r="A124" s="300" t="s">
        <v>401</v>
      </c>
      <c r="B124" s="301">
        <f>B121</f>
        <v>1718390</v>
      </c>
      <c r="C124" s="301">
        <f>B121+C121</f>
        <v>6653148.5100000007</v>
      </c>
      <c r="D124" s="301">
        <f>C121+D121+B121</f>
        <v>13686833.25</v>
      </c>
      <c r="E124" s="301"/>
      <c r="F124" s="167"/>
      <c r="G124" s="302"/>
      <c r="H124" s="302"/>
      <c r="I124" s="302"/>
      <c r="J124" s="302"/>
      <c r="K124" s="302"/>
      <c r="L124" s="302"/>
      <c r="M124" s="303"/>
    </row>
    <row r="125" spans="1:13">
      <c r="I125" s="78"/>
      <c r="J125" s="335"/>
      <c r="L125" s="79"/>
    </row>
    <row r="126" spans="1:13">
      <c r="A126" t="s">
        <v>402</v>
      </c>
      <c r="I126" s="78"/>
      <c r="J126" s="335"/>
      <c r="L126" s="79"/>
    </row>
    <row r="127" spans="1:13">
      <c r="I127" s="78"/>
      <c r="J127" s="79"/>
      <c r="L127" s="79"/>
    </row>
    <row r="129" spans="1:11" ht="19" thickBot="1">
      <c r="A129" s="70" t="s">
        <v>403</v>
      </c>
    </row>
    <row r="130" spans="1:11" ht="87">
      <c r="A130" s="310" t="s">
        <v>69</v>
      </c>
      <c r="B130" s="311" t="s">
        <v>420</v>
      </c>
      <c r="C130" s="312" t="s">
        <v>421</v>
      </c>
      <c r="D130" s="312" t="s">
        <v>422</v>
      </c>
      <c r="E130" s="313" t="s">
        <v>423</v>
      </c>
      <c r="F130" s="311" t="s">
        <v>424</v>
      </c>
      <c r="G130" s="644" t="s">
        <v>425</v>
      </c>
      <c r="H130" s="645"/>
      <c r="I130" s="312" t="s">
        <v>426</v>
      </c>
      <c r="J130" s="416" t="s">
        <v>427</v>
      </c>
      <c r="K130" s="413" t="s">
        <v>428</v>
      </c>
    </row>
    <row r="131" spans="1:11">
      <c r="A131" s="370"/>
      <c r="B131" s="371"/>
      <c r="C131" s="372"/>
      <c r="D131" s="372"/>
      <c r="E131" s="373"/>
      <c r="F131" s="371"/>
      <c r="G131" s="461" t="s">
        <v>290</v>
      </c>
      <c r="H131" s="374" t="s">
        <v>429</v>
      </c>
      <c r="I131" s="372"/>
      <c r="J131" s="417"/>
      <c r="K131" s="413"/>
    </row>
    <row r="132" spans="1:11">
      <c r="A132" s="647" t="s">
        <v>375</v>
      </c>
      <c r="B132" s="507" t="s">
        <v>21</v>
      </c>
      <c r="C132" s="508">
        <v>2</v>
      </c>
      <c r="D132" s="509">
        <f t="shared" ref="D132:D137" si="2">IF(ISBLANK(C132),"",C132*30)</f>
        <v>60</v>
      </c>
      <c r="E132" s="510">
        <v>58</v>
      </c>
      <c r="F132" s="511">
        <f t="shared" ref="F132:F138" si="3">E132*D132</f>
        <v>3480</v>
      </c>
      <c r="G132" s="511">
        <v>41000</v>
      </c>
      <c r="H132" s="512"/>
      <c r="I132" s="513">
        <f>G132/F132</f>
        <v>11.781609195402298</v>
      </c>
      <c r="J132" s="514">
        <v>3</v>
      </c>
      <c r="K132" s="414">
        <f>IF(AND(I132&gt;0,J132&gt;0),I132-J132,"")</f>
        <v>8.7816091954022983</v>
      </c>
    </row>
    <row r="133" spans="1:11">
      <c r="A133" s="647"/>
      <c r="B133" s="507" t="s">
        <v>22</v>
      </c>
      <c r="C133" s="508">
        <v>2</v>
      </c>
      <c r="D133" s="509">
        <f t="shared" si="2"/>
        <v>60</v>
      </c>
      <c r="E133" s="510">
        <f>14+30</f>
        <v>44</v>
      </c>
      <c r="F133" s="511">
        <f t="shared" si="3"/>
        <v>2640</v>
      </c>
      <c r="G133" s="511">
        <v>25387</v>
      </c>
      <c r="H133" s="512"/>
      <c r="I133" s="513">
        <f t="shared" ref="I133:I139" si="4">G133/F133</f>
        <v>9.6162878787878796</v>
      </c>
      <c r="J133" s="514">
        <v>3</v>
      </c>
      <c r="K133" s="414">
        <f t="shared" ref="K133:K139" si="5">IF(AND(I133&gt;0,J133&gt;0),I133-J133,"")</f>
        <v>6.6162878787878796</v>
      </c>
    </row>
    <row r="134" spans="1:11">
      <c r="A134" s="647"/>
      <c r="B134" s="507" t="s">
        <v>23</v>
      </c>
      <c r="C134" s="508">
        <v>4</v>
      </c>
      <c r="D134" s="509">
        <f t="shared" si="2"/>
        <v>120</v>
      </c>
      <c r="E134" s="510">
        <v>7</v>
      </c>
      <c r="F134" s="511">
        <f t="shared" si="3"/>
        <v>840</v>
      </c>
      <c r="G134" s="511">
        <v>3120</v>
      </c>
      <c r="H134" s="512"/>
      <c r="I134" s="513">
        <f t="shared" si="4"/>
        <v>3.7142857142857144</v>
      </c>
      <c r="J134" s="514">
        <v>3</v>
      </c>
      <c r="K134" s="414">
        <f t="shared" si="5"/>
        <v>0.71428571428571441</v>
      </c>
    </row>
    <row r="135" spans="1:11">
      <c r="A135" s="647"/>
      <c r="B135" s="507" t="s">
        <v>24</v>
      </c>
      <c r="C135" s="508">
        <v>1</v>
      </c>
      <c r="D135" s="509">
        <f t="shared" si="2"/>
        <v>30</v>
      </c>
      <c r="E135" s="510">
        <f>13+150+30</f>
        <v>193</v>
      </c>
      <c r="F135" s="511">
        <f t="shared" si="3"/>
        <v>5790</v>
      </c>
      <c r="G135" s="511">
        <v>74399</v>
      </c>
      <c r="H135" s="512"/>
      <c r="I135" s="513">
        <f>(G135+H135)/F135</f>
        <v>12.849568221070811</v>
      </c>
      <c r="J135" s="514">
        <v>3</v>
      </c>
      <c r="K135" s="415">
        <f t="shared" si="5"/>
        <v>9.8495682210708111</v>
      </c>
    </row>
    <row r="136" spans="1:11">
      <c r="A136" s="647"/>
      <c r="B136" s="507" t="s">
        <v>25</v>
      </c>
      <c r="C136" s="508">
        <v>1</v>
      </c>
      <c r="D136" s="509">
        <f t="shared" si="2"/>
        <v>30</v>
      </c>
      <c r="E136" s="510">
        <v>391</v>
      </c>
      <c r="F136" s="511">
        <f t="shared" si="3"/>
        <v>11730</v>
      </c>
      <c r="G136" s="511">
        <v>19870</v>
      </c>
      <c r="H136" s="515">
        <v>75530</v>
      </c>
      <c r="I136" s="513">
        <f>(G136+H136)/F136</f>
        <v>8.132992327365729</v>
      </c>
      <c r="J136" s="514">
        <v>3</v>
      </c>
      <c r="K136" s="415">
        <f t="shared" si="5"/>
        <v>5.132992327365729</v>
      </c>
    </row>
    <row r="137" spans="1:11">
      <c r="A137" s="647"/>
      <c r="B137" s="507" t="s">
        <v>26</v>
      </c>
      <c r="C137" s="516">
        <v>1</v>
      </c>
      <c r="D137" s="509">
        <f t="shared" si="2"/>
        <v>30</v>
      </c>
      <c r="E137" s="510">
        <v>28</v>
      </c>
      <c r="F137" s="511">
        <f t="shared" si="3"/>
        <v>840</v>
      </c>
      <c r="G137" s="511">
        <v>6938</v>
      </c>
      <c r="H137" s="511"/>
      <c r="I137" s="513">
        <f t="shared" si="4"/>
        <v>8.2595238095238095</v>
      </c>
      <c r="J137" s="514">
        <v>3</v>
      </c>
      <c r="K137" s="415">
        <f t="shared" si="5"/>
        <v>5.2595238095238095</v>
      </c>
    </row>
    <row r="138" spans="1:11">
      <c r="A138" s="647"/>
      <c r="B138" s="507" t="s">
        <v>27</v>
      </c>
      <c r="C138" s="516">
        <v>5</v>
      </c>
      <c r="D138" s="509">
        <f>IF(ISBLANK(C138),"",C138*30)</f>
        <v>150</v>
      </c>
      <c r="E138" s="510">
        <v>61</v>
      </c>
      <c r="F138" s="511">
        <f t="shared" si="3"/>
        <v>9150</v>
      </c>
      <c r="G138" s="511">
        <v>46531</v>
      </c>
      <c r="H138" s="511"/>
      <c r="I138" s="513">
        <f t="shared" si="4"/>
        <v>5.0853551912568307</v>
      </c>
      <c r="J138" s="514">
        <v>3</v>
      </c>
      <c r="K138" s="414">
        <f t="shared" si="5"/>
        <v>2.0853551912568307</v>
      </c>
    </row>
    <row r="139" spans="1:11">
      <c r="A139" s="647"/>
      <c r="B139" s="507" t="s">
        <v>28</v>
      </c>
      <c r="C139" s="516">
        <v>1</v>
      </c>
      <c r="D139" s="509">
        <f>IF(ISBLANK(C139),"",C139*30)</f>
        <v>30</v>
      </c>
      <c r="E139" s="509">
        <v>90</v>
      </c>
      <c r="F139" s="511">
        <f>E139*D139</f>
        <v>2700</v>
      </c>
      <c r="G139" s="511">
        <v>53455</v>
      </c>
      <c r="H139" s="511"/>
      <c r="I139" s="513">
        <f t="shared" si="4"/>
        <v>19.798148148148147</v>
      </c>
      <c r="J139" s="514">
        <v>3</v>
      </c>
      <c r="K139" s="414">
        <f t="shared" si="5"/>
        <v>16.798148148148147</v>
      </c>
    </row>
    <row r="140" spans="1:11">
      <c r="A140" s="647"/>
      <c r="B140" s="507" t="s">
        <v>29</v>
      </c>
      <c r="C140" s="516">
        <v>1</v>
      </c>
      <c r="D140" s="509">
        <v>30</v>
      </c>
      <c r="E140" s="509">
        <v>190</v>
      </c>
      <c r="F140" s="511">
        <f t="shared" ref="F140:F144" si="6">E140*D140</f>
        <v>5700</v>
      </c>
      <c r="G140" s="511">
        <v>17820</v>
      </c>
      <c r="H140" s="515">
        <v>27898</v>
      </c>
      <c r="I140" s="513">
        <f>(G140+H140)/F140</f>
        <v>8.0207017543859642</v>
      </c>
      <c r="J140" s="514">
        <v>3</v>
      </c>
      <c r="K140" s="414">
        <f t="shared" ref="K140:K144" si="7">IF(AND(I140&gt;0,J140&gt;0),I140-J140,"")</f>
        <v>5.0207017543859642</v>
      </c>
    </row>
    <row r="141" spans="1:11">
      <c r="A141" s="647"/>
      <c r="B141" s="507" t="s">
        <v>30</v>
      </c>
      <c r="C141" s="516">
        <v>1</v>
      </c>
      <c r="D141" s="509">
        <v>30</v>
      </c>
      <c r="E141" s="509">
        <v>4987</v>
      </c>
      <c r="F141" s="511">
        <f>E141*D141</f>
        <v>149610</v>
      </c>
      <c r="G141" s="511">
        <v>627050</v>
      </c>
      <c r="H141" s="515">
        <v>1618218</v>
      </c>
      <c r="I141" s="513">
        <f>(G141+H141)/F141</f>
        <v>15.007472762515874</v>
      </c>
      <c r="J141" s="514">
        <v>3</v>
      </c>
      <c r="K141" s="414">
        <f t="shared" si="7"/>
        <v>12.007472762515874</v>
      </c>
    </row>
    <row r="142" spans="1:11">
      <c r="A142" s="647"/>
      <c r="B142" s="517" t="s">
        <v>31</v>
      </c>
      <c r="C142" s="516">
        <v>1</v>
      </c>
      <c r="D142" s="509">
        <v>30</v>
      </c>
      <c r="E142" s="509">
        <v>28</v>
      </c>
      <c r="F142" s="511">
        <f>E142*D142</f>
        <v>840</v>
      </c>
      <c r="G142" s="511">
        <v>15420</v>
      </c>
      <c r="H142" s="511"/>
      <c r="I142" s="513">
        <f>G142/F142</f>
        <v>18.357142857142858</v>
      </c>
      <c r="J142" s="514">
        <v>3</v>
      </c>
      <c r="K142" s="414">
        <f>IF(AND(I142&gt;0,J142&gt;0),I142-J142,"")</f>
        <v>15.357142857142858</v>
      </c>
    </row>
    <row r="143" spans="1:11">
      <c r="A143" s="647"/>
      <c r="B143" s="517" t="s">
        <v>1032</v>
      </c>
      <c r="C143" s="516">
        <v>2</v>
      </c>
      <c r="D143" s="509">
        <f>IF(ISBLANK(C143),"",C143*30)</f>
        <v>60</v>
      </c>
      <c r="E143" s="509">
        <v>20</v>
      </c>
      <c r="F143" s="511">
        <f>E143*D143</f>
        <v>1200</v>
      </c>
      <c r="G143" s="511">
        <v>12480</v>
      </c>
      <c r="H143" s="511"/>
      <c r="I143" s="513">
        <f>G143/F143</f>
        <v>10.4</v>
      </c>
      <c r="J143" s="514">
        <v>3</v>
      </c>
      <c r="K143" s="414">
        <f>IF(AND(I143&gt;0,J143&gt;0),I143-J143,"")</f>
        <v>7.4</v>
      </c>
    </row>
    <row r="144" spans="1:11">
      <c r="A144" s="648"/>
      <c r="B144" s="517" t="s">
        <v>33</v>
      </c>
      <c r="C144" s="516">
        <v>4</v>
      </c>
      <c r="D144" s="509">
        <f>IF(ISBLANK(C144),"",C144*30)</f>
        <v>120</v>
      </c>
      <c r="E144" s="509">
        <v>38</v>
      </c>
      <c r="F144" s="511">
        <f t="shared" si="6"/>
        <v>4560</v>
      </c>
      <c r="G144" s="518">
        <v>67170</v>
      </c>
      <c r="H144" s="518"/>
      <c r="I144" s="519">
        <f t="shared" ref="I144" si="8">G144/F144</f>
        <v>14.730263157894736</v>
      </c>
      <c r="J144" s="514">
        <v>3</v>
      </c>
      <c r="K144" s="414">
        <f t="shared" si="7"/>
        <v>11.730263157894736</v>
      </c>
    </row>
    <row r="145" spans="1:11">
      <c r="A145" s="649" t="s">
        <v>376</v>
      </c>
      <c r="B145" s="397" t="s">
        <v>404</v>
      </c>
      <c r="C145" s="481">
        <v>1</v>
      </c>
      <c r="D145" s="482">
        <v>26</v>
      </c>
      <c r="E145" s="483">
        <v>0</v>
      </c>
      <c r="F145" s="484">
        <f>C145*D145*E145</f>
        <v>0</v>
      </c>
      <c r="G145" s="485">
        <v>0</v>
      </c>
      <c r="H145" s="486"/>
      <c r="I145" s="487">
        <v>0</v>
      </c>
      <c r="J145" s="488">
        <v>0</v>
      </c>
      <c r="K145" s="489">
        <v>0</v>
      </c>
    </row>
    <row r="146" spans="1:11">
      <c r="A146" s="650"/>
      <c r="B146" s="398" t="s">
        <v>405</v>
      </c>
      <c r="C146" s="490">
        <v>1</v>
      </c>
      <c r="D146" s="491">
        <v>26</v>
      </c>
      <c r="E146" s="483">
        <v>0</v>
      </c>
      <c r="F146" s="484">
        <f t="shared" ref="F146:F160" si="9">C146*D146*E146</f>
        <v>0</v>
      </c>
      <c r="G146" s="485">
        <v>0</v>
      </c>
      <c r="H146" s="486"/>
      <c r="I146" s="487">
        <v>0</v>
      </c>
      <c r="J146" s="488">
        <v>0</v>
      </c>
      <c r="K146" s="492">
        <v>0</v>
      </c>
    </row>
    <row r="147" spans="1:11">
      <c r="A147" s="650"/>
      <c r="B147" s="398" t="s">
        <v>406</v>
      </c>
      <c r="C147" s="490">
        <v>2</v>
      </c>
      <c r="D147" s="491">
        <v>26</v>
      </c>
      <c r="E147" s="483">
        <v>0</v>
      </c>
      <c r="F147" s="484">
        <v>0</v>
      </c>
      <c r="G147" s="485">
        <v>0</v>
      </c>
      <c r="H147" s="486"/>
      <c r="I147" s="487">
        <v>0</v>
      </c>
      <c r="J147" s="488">
        <v>0</v>
      </c>
      <c r="K147" s="492">
        <v>0</v>
      </c>
    </row>
    <row r="148" spans="1:11">
      <c r="A148" s="650"/>
      <c r="B148" s="398" t="s">
        <v>605</v>
      </c>
      <c r="C148" s="490">
        <v>2</v>
      </c>
      <c r="D148" s="491">
        <v>30</v>
      </c>
      <c r="E148" s="483">
        <v>23</v>
      </c>
      <c r="F148" s="484">
        <f t="shared" si="9"/>
        <v>1380</v>
      </c>
      <c r="G148" s="485"/>
      <c r="H148" s="486">
        <v>2238</v>
      </c>
      <c r="I148" s="487">
        <f t="shared" ref="I148:I153" si="10">(G148+H148)/F148</f>
        <v>1.6217391304347826</v>
      </c>
      <c r="J148" s="488">
        <v>3</v>
      </c>
      <c r="K148" s="492">
        <f t="shared" ref="K148:K162" si="11">I148-J148</f>
        <v>-1.3782608695652174</v>
      </c>
    </row>
    <row r="149" spans="1:11">
      <c r="A149" s="650"/>
      <c r="B149" s="398" t="s">
        <v>407</v>
      </c>
      <c r="C149" s="490">
        <v>3</v>
      </c>
      <c r="D149" s="491">
        <v>30</v>
      </c>
      <c r="E149" s="483">
        <v>677</v>
      </c>
      <c r="F149" s="484">
        <f t="shared" si="9"/>
        <v>60930</v>
      </c>
      <c r="G149" s="485"/>
      <c r="H149" s="486">
        <v>351354</v>
      </c>
      <c r="I149" s="487">
        <f t="shared" si="10"/>
        <v>5.7665189561792225</v>
      </c>
      <c r="J149" s="488">
        <v>3</v>
      </c>
      <c r="K149" s="492">
        <f t="shared" si="11"/>
        <v>2.7665189561792225</v>
      </c>
    </row>
    <row r="150" spans="1:11">
      <c r="A150" s="650"/>
      <c r="B150" s="398" t="s">
        <v>408</v>
      </c>
      <c r="C150" s="490">
        <v>4</v>
      </c>
      <c r="D150" s="491">
        <v>30</v>
      </c>
      <c r="E150" s="483">
        <v>74</v>
      </c>
      <c r="F150" s="484">
        <f t="shared" si="9"/>
        <v>8880</v>
      </c>
      <c r="G150" s="485"/>
      <c r="H150" s="486"/>
      <c r="I150" s="487">
        <f t="shared" si="10"/>
        <v>0</v>
      </c>
      <c r="J150" s="488">
        <v>3</v>
      </c>
      <c r="K150" s="492">
        <f t="shared" si="11"/>
        <v>-3</v>
      </c>
    </row>
    <row r="151" spans="1:11">
      <c r="A151" s="650"/>
      <c r="B151" s="398" t="s">
        <v>409</v>
      </c>
      <c r="C151" s="490">
        <v>2</v>
      </c>
      <c r="D151" s="491">
        <v>30</v>
      </c>
      <c r="E151" s="483">
        <v>7</v>
      </c>
      <c r="F151" s="484">
        <f t="shared" si="9"/>
        <v>420</v>
      </c>
      <c r="G151" s="485">
        <v>207</v>
      </c>
      <c r="H151" s="486"/>
      <c r="I151" s="487">
        <f t="shared" si="10"/>
        <v>0.49285714285714288</v>
      </c>
      <c r="J151" s="488">
        <v>3</v>
      </c>
      <c r="K151" s="492">
        <f t="shared" si="11"/>
        <v>-2.5071428571428571</v>
      </c>
    </row>
    <row r="152" spans="1:11">
      <c r="A152" s="650"/>
      <c r="B152" s="398" t="s">
        <v>410</v>
      </c>
      <c r="C152" s="490">
        <v>4</v>
      </c>
      <c r="D152" s="491">
        <v>30</v>
      </c>
      <c r="E152" s="483">
        <v>551</v>
      </c>
      <c r="F152" s="484">
        <f t="shared" si="9"/>
        <v>66120</v>
      </c>
      <c r="G152" s="485"/>
      <c r="H152" s="486">
        <v>375647</v>
      </c>
      <c r="I152" s="487">
        <f t="shared" si="10"/>
        <v>5.6812915910465822</v>
      </c>
      <c r="J152" s="488">
        <v>3</v>
      </c>
      <c r="K152" s="492">
        <f t="shared" si="11"/>
        <v>2.6812915910465822</v>
      </c>
    </row>
    <row r="153" spans="1:11">
      <c r="A153" s="650"/>
      <c r="B153" s="398" t="s">
        <v>411</v>
      </c>
      <c r="C153" s="490">
        <v>1</v>
      </c>
      <c r="D153" s="491">
        <v>30</v>
      </c>
      <c r="E153" s="483">
        <v>155</v>
      </c>
      <c r="F153" s="484">
        <f t="shared" si="9"/>
        <v>4650</v>
      </c>
      <c r="G153" s="485">
        <v>51923</v>
      </c>
      <c r="H153" s="486"/>
      <c r="I153" s="487">
        <f t="shared" si="10"/>
        <v>11.166236559139785</v>
      </c>
      <c r="J153" s="488">
        <v>3</v>
      </c>
      <c r="K153" s="492">
        <f t="shared" si="11"/>
        <v>8.1662365591397847</v>
      </c>
    </row>
    <row r="154" spans="1:11">
      <c r="A154" s="650"/>
      <c r="B154" s="399" t="s">
        <v>35</v>
      </c>
      <c r="C154" s="490">
        <v>2</v>
      </c>
      <c r="D154" s="491">
        <v>30</v>
      </c>
      <c r="E154" s="483">
        <v>0</v>
      </c>
      <c r="F154" s="484">
        <f t="shared" si="9"/>
        <v>0</v>
      </c>
      <c r="G154" s="485"/>
      <c r="H154" s="486"/>
      <c r="I154" s="487">
        <v>0</v>
      </c>
      <c r="J154" s="488">
        <v>3</v>
      </c>
      <c r="K154" s="492">
        <f>I154-J154</f>
        <v>-3</v>
      </c>
    </row>
    <row r="155" spans="1:11">
      <c r="A155" s="650"/>
      <c r="B155" s="399" t="s">
        <v>412</v>
      </c>
      <c r="C155" s="490">
        <v>3</v>
      </c>
      <c r="D155" s="491">
        <v>30</v>
      </c>
      <c r="E155" s="483">
        <v>0</v>
      </c>
      <c r="F155" s="484">
        <f t="shared" si="9"/>
        <v>0</v>
      </c>
      <c r="G155" s="485"/>
      <c r="H155" s="486"/>
      <c r="I155" s="487">
        <v>0</v>
      </c>
      <c r="J155" s="488">
        <v>3</v>
      </c>
      <c r="K155" s="492">
        <f t="shared" si="11"/>
        <v>-3</v>
      </c>
    </row>
    <row r="156" spans="1:11">
      <c r="A156" s="650"/>
      <c r="B156" s="400" t="s">
        <v>413</v>
      </c>
      <c r="C156" s="490">
        <v>1</v>
      </c>
      <c r="D156" s="491">
        <v>30</v>
      </c>
      <c r="E156" s="483">
        <v>32</v>
      </c>
      <c r="F156" s="484">
        <f t="shared" si="9"/>
        <v>960</v>
      </c>
      <c r="G156" s="485">
        <v>113045</v>
      </c>
      <c r="H156" s="486"/>
      <c r="I156" s="487">
        <f t="shared" ref="I156:I162" si="12">(G156+H156)/F156</f>
        <v>117.75520833333333</v>
      </c>
      <c r="J156" s="488">
        <v>3</v>
      </c>
      <c r="K156" s="492">
        <f t="shared" si="11"/>
        <v>114.75520833333333</v>
      </c>
    </row>
    <row r="157" spans="1:11">
      <c r="A157" s="650"/>
      <c r="B157" s="401" t="s">
        <v>414</v>
      </c>
      <c r="C157" s="493">
        <v>5</v>
      </c>
      <c r="D157" s="491">
        <v>30</v>
      </c>
      <c r="E157" s="483">
        <v>67</v>
      </c>
      <c r="F157" s="484">
        <f t="shared" si="9"/>
        <v>10050</v>
      </c>
      <c r="G157" s="485"/>
      <c r="H157" s="486"/>
      <c r="I157" s="487">
        <f t="shared" si="12"/>
        <v>0</v>
      </c>
      <c r="J157" s="488">
        <v>3</v>
      </c>
      <c r="K157" s="492">
        <f t="shared" si="11"/>
        <v>-3</v>
      </c>
    </row>
    <row r="158" spans="1:11">
      <c r="A158" s="650"/>
      <c r="B158" s="401" t="s">
        <v>416</v>
      </c>
      <c r="C158" s="493">
        <v>1</v>
      </c>
      <c r="D158" s="491">
        <v>30</v>
      </c>
      <c r="E158" s="483">
        <v>716</v>
      </c>
      <c r="F158" s="484">
        <f t="shared" si="9"/>
        <v>21480</v>
      </c>
      <c r="G158" s="485">
        <v>565458</v>
      </c>
      <c r="H158" s="486"/>
      <c r="I158" s="487">
        <f t="shared" si="12"/>
        <v>26.324860335195531</v>
      </c>
      <c r="J158" s="488">
        <v>3</v>
      </c>
      <c r="K158" s="492">
        <f t="shared" si="11"/>
        <v>23.324860335195531</v>
      </c>
    </row>
    <row r="159" spans="1:11">
      <c r="A159" s="650"/>
      <c r="B159" s="401" t="s">
        <v>415</v>
      </c>
      <c r="C159" s="493">
        <v>4</v>
      </c>
      <c r="D159" s="491">
        <v>30</v>
      </c>
      <c r="E159" s="494">
        <v>23</v>
      </c>
      <c r="F159" s="484">
        <f t="shared" si="9"/>
        <v>2760</v>
      </c>
      <c r="G159" s="495"/>
      <c r="H159" s="486">
        <v>6540</v>
      </c>
      <c r="I159" s="487">
        <f t="shared" si="12"/>
        <v>2.3695652173913042</v>
      </c>
      <c r="J159" s="488">
        <v>3</v>
      </c>
      <c r="K159" s="492">
        <f t="shared" si="11"/>
        <v>-0.63043478260869579</v>
      </c>
    </row>
    <row r="160" spans="1:11">
      <c r="A160" s="650"/>
      <c r="B160" s="401" t="s">
        <v>417</v>
      </c>
      <c r="C160" s="493">
        <v>1</v>
      </c>
      <c r="D160" s="491">
        <v>30</v>
      </c>
      <c r="E160" s="494">
        <v>538</v>
      </c>
      <c r="F160" s="484">
        <f t="shared" si="9"/>
        <v>16140</v>
      </c>
      <c r="G160" s="495">
        <v>427727</v>
      </c>
      <c r="H160" s="486"/>
      <c r="I160" s="487">
        <f t="shared" si="12"/>
        <v>26.501053283767039</v>
      </c>
      <c r="J160" s="488">
        <v>3</v>
      </c>
      <c r="K160" s="492">
        <f t="shared" si="11"/>
        <v>23.501053283767039</v>
      </c>
    </row>
    <row r="161" spans="1:16">
      <c r="A161" s="650"/>
      <c r="B161" s="401" t="s">
        <v>418</v>
      </c>
      <c r="C161" s="493">
        <v>1</v>
      </c>
      <c r="D161" s="496">
        <v>26</v>
      </c>
      <c r="E161" s="497">
        <v>667</v>
      </c>
      <c r="F161" s="498">
        <f>C161*D161*E161</f>
        <v>17342</v>
      </c>
      <c r="G161" s="495">
        <v>448446</v>
      </c>
      <c r="H161" s="486"/>
      <c r="I161" s="487">
        <f t="shared" si="12"/>
        <v>25.858955137815709</v>
      </c>
      <c r="J161" s="499">
        <v>3</v>
      </c>
      <c r="K161" s="500">
        <f t="shared" si="11"/>
        <v>22.858955137815709</v>
      </c>
    </row>
    <row r="162" spans="1:16" ht="15" thickBot="1">
      <c r="A162" s="650"/>
      <c r="B162" s="402" t="s">
        <v>419</v>
      </c>
      <c r="C162" s="501">
        <v>4</v>
      </c>
      <c r="D162" s="502">
        <v>26</v>
      </c>
      <c r="E162" s="503">
        <v>210</v>
      </c>
      <c r="F162" s="504">
        <f>C162*D162*E162</f>
        <v>21840</v>
      </c>
      <c r="G162" s="495">
        <v>565333</v>
      </c>
      <c r="H162" s="486"/>
      <c r="I162" s="487">
        <f t="shared" si="12"/>
        <v>25.885210622710623</v>
      </c>
      <c r="J162" s="505">
        <v>3</v>
      </c>
      <c r="K162" s="506">
        <f t="shared" si="11"/>
        <v>22.885210622710623</v>
      </c>
    </row>
    <row r="166" spans="1:16" ht="15" thickBot="1">
      <c r="H166" t="str">
        <f>IF(AND(F166&gt;0,G166&gt;0),G166/F166,"")</f>
        <v/>
      </c>
    </row>
    <row r="167" spans="1:16" ht="19" thickBot="1">
      <c r="A167" s="117" t="s">
        <v>430</v>
      </c>
      <c r="B167" s="80"/>
      <c r="C167" s="80"/>
      <c r="D167" s="81"/>
      <c r="E167" s="81"/>
      <c r="F167" s="81"/>
      <c r="G167" s="120"/>
      <c r="H167" s="118"/>
      <c r="I167" s="159"/>
      <c r="J167" s="249" t="s">
        <v>434</v>
      </c>
      <c r="K167" s="250"/>
      <c r="L167" s="251"/>
      <c r="M167" s="251"/>
      <c r="N167" s="251"/>
      <c r="O167" s="252"/>
    </row>
    <row r="168" spans="1:16" ht="15" thickBot="1"/>
    <row r="169" spans="1:16">
      <c r="A169" s="366" t="s">
        <v>431</v>
      </c>
      <c r="B169" s="153" t="s">
        <v>432</v>
      </c>
      <c r="C169" s="192" t="s">
        <v>433</v>
      </c>
      <c r="D169" s="119"/>
      <c r="E169" s="182" t="s">
        <v>9</v>
      </c>
      <c r="F169" s="182" t="s">
        <v>10</v>
      </c>
      <c r="G169" s="182" t="s">
        <v>7</v>
      </c>
      <c r="H169" s="182" t="s">
        <v>11</v>
      </c>
      <c r="I169" s="182" t="s">
        <v>12</v>
      </c>
      <c r="J169" s="182" t="s">
        <v>13</v>
      </c>
      <c r="K169" s="182" t="s">
        <v>14</v>
      </c>
      <c r="L169" s="182" t="s">
        <v>15</v>
      </c>
      <c r="M169" s="182" t="s">
        <v>16</v>
      </c>
      <c r="N169" s="182" t="s">
        <v>17</v>
      </c>
      <c r="O169" s="182" t="s">
        <v>18</v>
      </c>
      <c r="P169" s="3"/>
    </row>
    <row r="170" spans="1:16" ht="39.75" customHeight="1">
      <c r="A170" s="639" t="s">
        <v>435</v>
      </c>
      <c r="B170" s="635" t="s">
        <v>436</v>
      </c>
      <c r="C170" s="646" t="s">
        <v>438</v>
      </c>
      <c r="D170" s="253" t="s">
        <v>451</v>
      </c>
      <c r="E170" s="406">
        <v>0.7</v>
      </c>
      <c r="F170" s="406">
        <v>0.72</v>
      </c>
      <c r="G170" s="406">
        <v>0.8</v>
      </c>
      <c r="H170" s="254"/>
      <c r="I170" s="254"/>
      <c r="J170" s="254"/>
      <c r="K170" s="254"/>
      <c r="L170" s="255"/>
      <c r="M170" s="256"/>
      <c r="N170" s="256"/>
      <c r="O170" s="257"/>
      <c r="P170" s="3"/>
    </row>
    <row r="171" spans="1:16" ht="33" customHeight="1">
      <c r="A171" s="640"/>
      <c r="B171" s="635"/>
      <c r="C171" s="646"/>
      <c r="D171" s="253" t="s">
        <v>460</v>
      </c>
      <c r="E171" s="406">
        <v>0.68</v>
      </c>
      <c r="F171" s="462">
        <v>0.69520000000000004</v>
      </c>
      <c r="G171" s="462">
        <v>0.79320000000000002</v>
      </c>
      <c r="H171" s="254"/>
      <c r="I171" s="254"/>
      <c r="J171" s="254"/>
      <c r="K171" s="254"/>
      <c r="L171" s="255"/>
      <c r="M171" s="256"/>
      <c r="N171" s="256"/>
      <c r="O171" s="257"/>
      <c r="P171" s="3"/>
    </row>
    <row r="172" spans="1:16" ht="48" customHeight="1">
      <c r="A172" s="639" t="s">
        <v>440</v>
      </c>
      <c r="B172" s="637" t="s">
        <v>436</v>
      </c>
      <c r="C172" s="638" t="s">
        <v>438</v>
      </c>
      <c r="D172" s="258" t="s">
        <v>451</v>
      </c>
      <c r="E172" s="406">
        <v>0.9</v>
      </c>
      <c r="F172" s="406">
        <v>0.9</v>
      </c>
      <c r="G172" s="406">
        <v>0.9</v>
      </c>
      <c r="H172" s="396"/>
      <c r="I172" s="396"/>
      <c r="J172" s="260"/>
      <c r="K172" s="260"/>
      <c r="L172" s="261"/>
      <c r="M172" s="262"/>
      <c r="N172" s="262"/>
      <c r="O172" s="263"/>
      <c r="P172" s="3"/>
    </row>
    <row r="173" spans="1:16" ht="34.5" customHeight="1">
      <c r="A173" s="640"/>
      <c r="B173" s="637"/>
      <c r="C173" s="638"/>
      <c r="D173" s="258" t="s">
        <v>460</v>
      </c>
      <c r="E173" s="406">
        <v>0.88</v>
      </c>
      <c r="F173" s="406">
        <v>0.92</v>
      </c>
      <c r="G173" s="406">
        <v>0.89039999999999997</v>
      </c>
      <c r="H173" s="396"/>
      <c r="I173" s="396"/>
      <c r="J173" s="261"/>
      <c r="K173" s="261"/>
      <c r="L173" s="261"/>
      <c r="M173" s="262"/>
      <c r="N173" s="262"/>
      <c r="O173" s="263"/>
      <c r="P173" s="3"/>
    </row>
    <row r="174" spans="1:16" ht="42" customHeight="1">
      <c r="A174" s="639" t="s">
        <v>441</v>
      </c>
      <c r="B174" s="635" t="s">
        <v>436</v>
      </c>
      <c r="C174" s="646" t="s">
        <v>438</v>
      </c>
      <c r="D174" s="253" t="s">
        <v>451</v>
      </c>
      <c r="E174" s="406">
        <v>0.72</v>
      </c>
      <c r="F174" s="406">
        <v>0.81330000000000002</v>
      </c>
      <c r="G174" s="406">
        <v>0.9</v>
      </c>
      <c r="H174" s="255"/>
      <c r="I174" s="404"/>
      <c r="J174" s="254"/>
      <c r="K174" s="254"/>
      <c r="L174" s="255"/>
      <c r="M174" s="256"/>
      <c r="N174" s="256"/>
      <c r="O174" s="257"/>
      <c r="P174" s="3"/>
    </row>
    <row r="175" spans="1:16" ht="38.25" customHeight="1">
      <c r="A175" s="640"/>
      <c r="B175" s="635"/>
      <c r="C175" s="646"/>
      <c r="D175" s="253" t="s">
        <v>460</v>
      </c>
      <c r="E175" s="406">
        <v>0.54</v>
      </c>
      <c r="F175" s="463">
        <v>0.57469999999999999</v>
      </c>
      <c r="G175" s="463">
        <v>0.57750000000000001</v>
      </c>
      <c r="H175" s="255"/>
      <c r="I175" s="404"/>
      <c r="J175" s="254"/>
      <c r="K175" s="254"/>
      <c r="L175" s="255"/>
      <c r="M175" s="256"/>
      <c r="N175" s="256"/>
      <c r="O175" s="257"/>
      <c r="P175" s="3"/>
    </row>
    <row r="176" spans="1:16" ht="39.75" customHeight="1">
      <c r="A176" s="639" t="s">
        <v>442</v>
      </c>
      <c r="B176" s="637" t="s">
        <v>436</v>
      </c>
      <c r="C176" s="638" t="s">
        <v>438</v>
      </c>
      <c r="D176" s="258" t="s">
        <v>451</v>
      </c>
      <c r="E176" s="406">
        <v>0.75</v>
      </c>
      <c r="F176" s="406">
        <v>0.75</v>
      </c>
      <c r="G176" s="406">
        <v>0.8</v>
      </c>
      <c r="H176" s="266"/>
      <c r="I176" s="266"/>
      <c r="J176" s="264"/>
      <c r="K176" s="265"/>
      <c r="L176" s="265"/>
      <c r="M176" s="265"/>
      <c r="N176" s="266"/>
      <c r="O176" s="267"/>
      <c r="P176" s="3"/>
    </row>
    <row r="177" spans="1:16" ht="39.75" customHeight="1">
      <c r="A177" s="640"/>
      <c r="B177" s="637"/>
      <c r="C177" s="638"/>
      <c r="D177" s="258" t="s">
        <v>460</v>
      </c>
      <c r="E177" s="406">
        <v>0.53</v>
      </c>
      <c r="F177" s="462">
        <v>0.54200000000000004</v>
      </c>
      <c r="G177" s="462">
        <v>0.48609999999999998</v>
      </c>
      <c r="H177" s="266"/>
      <c r="I177" s="266"/>
      <c r="J177" s="264"/>
      <c r="K177" s="264"/>
      <c r="L177" s="265"/>
      <c r="M177" s="265"/>
      <c r="N177" s="266"/>
      <c r="O177" s="267"/>
      <c r="P177" s="3"/>
    </row>
    <row r="178" spans="1:16" ht="39.75" customHeight="1">
      <c r="A178" s="639" t="s">
        <v>443</v>
      </c>
      <c r="B178" s="635" t="s">
        <v>436</v>
      </c>
      <c r="C178" s="646" t="s">
        <v>438</v>
      </c>
      <c r="D178" s="253" t="s">
        <v>451</v>
      </c>
      <c r="E178" s="406">
        <v>0.71</v>
      </c>
      <c r="F178" s="463">
        <v>0.70630000000000004</v>
      </c>
      <c r="G178" s="463">
        <v>0.70630000000000004</v>
      </c>
      <c r="H178" s="270"/>
      <c r="I178" s="270"/>
      <c r="J178" s="268"/>
      <c r="K178" s="268"/>
      <c r="L178" s="269"/>
      <c r="M178" s="270"/>
      <c r="N178" s="270"/>
      <c r="O178" s="271"/>
      <c r="P178" s="3"/>
    </row>
    <row r="179" spans="1:16" ht="45" customHeight="1">
      <c r="A179" s="640"/>
      <c r="B179" s="635"/>
      <c r="C179" s="646"/>
      <c r="D179" s="253" t="s">
        <v>460</v>
      </c>
      <c r="E179" s="406">
        <v>0.7</v>
      </c>
      <c r="F179" s="463">
        <v>0.74680000000000002</v>
      </c>
      <c r="G179" s="463">
        <v>1.1123000000000001</v>
      </c>
      <c r="H179" s="270"/>
      <c r="I179" s="270"/>
      <c r="J179" s="268"/>
      <c r="K179" s="268"/>
      <c r="L179" s="269"/>
      <c r="M179" s="270"/>
      <c r="N179" s="270"/>
      <c r="O179" s="271"/>
      <c r="P179" s="3"/>
    </row>
    <row r="180" spans="1:16" ht="39" customHeight="1">
      <c r="A180" s="639" t="s">
        <v>444</v>
      </c>
      <c r="B180" s="637" t="s">
        <v>436</v>
      </c>
      <c r="C180" s="638" t="s">
        <v>438</v>
      </c>
      <c r="D180" s="258" t="s">
        <v>451</v>
      </c>
      <c r="E180" s="406">
        <v>0.7</v>
      </c>
      <c r="F180" s="463">
        <v>0.77429999999999999</v>
      </c>
      <c r="G180" s="463">
        <v>0.80249999999999999</v>
      </c>
      <c r="H180" s="266"/>
      <c r="I180" s="266"/>
      <c r="J180" s="264"/>
      <c r="K180" s="264"/>
      <c r="L180" s="264"/>
      <c r="M180" s="266"/>
      <c r="N180" s="266"/>
      <c r="O180" s="272"/>
      <c r="P180" s="3"/>
    </row>
    <row r="181" spans="1:16" ht="43.5" customHeight="1">
      <c r="A181" s="640"/>
      <c r="B181" s="637"/>
      <c r="C181" s="638"/>
      <c r="D181" s="258" t="s">
        <v>460</v>
      </c>
      <c r="E181" s="406">
        <v>0.63</v>
      </c>
      <c r="F181" s="463">
        <v>0.65110000000000001</v>
      </c>
      <c r="G181" s="463">
        <v>0.81840000000000002</v>
      </c>
      <c r="H181" s="266"/>
      <c r="I181" s="266"/>
      <c r="J181" s="259"/>
      <c r="K181" s="259"/>
      <c r="L181" s="264"/>
      <c r="M181" s="266"/>
      <c r="N181" s="266"/>
      <c r="O181" s="272"/>
      <c r="P181" s="3"/>
    </row>
    <row r="182" spans="1:16" ht="40.5" customHeight="1">
      <c r="A182" s="639" t="s">
        <v>445</v>
      </c>
      <c r="B182" s="635" t="s">
        <v>437</v>
      </c>
      <c r="C182" s="646" t="s">
        <v>438</v>
      </c>
      <c r="D182" s="253" t="s">
        <v>451</v>
      </c>
      <c r="E182" s="406">
        <v>0.74</v>
      </c>
      <c r="F182" s="463">
        <v>0.76919999999999999</v>
      </c>
      <c r="G182" s="463">
        <v>0.8</v>
      </c>
      <c r="H182" s="270"/>
      <c r="I182" s="270"/>
      <c r="J182" s="268"/>
      <c r="K182" s="268"/>
      <c r="L182" s="269"/>
      <c r="M182" s="270"/>
      <c r="N182" s="270"/>
      <c r="O182" s="271"/>
      <c r="P182" s="3"/>
    </row>
    <row r="183" spans="1:16" ht="51" customHeight="1">
      <c r="A183" s="640"/>
      <c r="B183" s="635"/>
      <c r="C183" s="646"/>
      <c r="D183" s="253" t="s">
        <v>460</v>
      </c>
      <c r="E183" s="406" t="s">
        <v>38</v>
      </c>
      <c r="F183" s="463">
        <v>0.85589999999999999</v>
      </c>
      <c r="G183" s="463">
        <v>0.93630000000000002</v>
      </c>
      <c r="H183" s="270"/>
      <c r="I183" s="270"/>
      <c r="J183" s="268"/>
      <c r="K183" s="268"/>
      <c r="L183" s="269"/>
      <c r="M183" s="270"/>
      <c r="N183" s="270"/>
      <c r="O183" s="268"/>
      <c r="P183" s="3"/>
    </row>
    <row r="184" spans="1:16" ht="41.25" customHeight="1">
      <c r="A184" s="639" t="s">
        <v>446</v>
      </c>
      <c r="B184" s="637" t="s">
        <v>437</v>
      </c>
      <c r="C184" s="638" t="s">
        <v>438</v>
      </c>
      <c r="D184" s="258" t="s">
        <v>451</v>
      </c>
      <c r="E184" s="406" t="s">
        <v>39</v>
      </c>
      <c r="F184" s="463">
        <v>0.63039999999999996</v>
      </c>
      <c r="G184" s="463">
        <v>0.71040000000000003</v>
      </c>
      <c r="H184" s="266"/>
      <c r="I184" s="266"/>
      <c r="J184" s="264"/>
      <c r="K184" s="259"/>
      <c r="L184" s="264"/>
      <c r="M184" s="266"/>
      <c r="N184" s="266"/>
      <c r="O184" s="259"/>
      <c r="P184" s="3"/>
    </row>
    <row r="185" spans="1:16" ht="46.5" customHeight="1">
      <c r="A185" s="640"/>
      <c r="B185" s="637"/>
      <c r="C185" s="638"/>
      <c r="D185" s="258" t="s">
        <v>460</v>
      </c>
      <c r="E185" s="406" t="s">
        <v>40</v>
      </c>
      <c r="F185" s="463">
        <v>0.64410000000000001</v>
      </c>
      <c r="G185" s="463">
        <v>0.7077</v>
      </c>
      <c r="H185" s="266"/>
      <c r="I185" s="266"/>
      <c r="J185" s="264"/>
      <c r="K185" s="264"/>
      <c r="L185" s="264"/>
      <c r="M185" s="266"/>
      <c r="N185" s="266"/>
      <c r="O185" s="264"/>
      <c r="P185" s="3"/>
    </row>
    <row r="186" spans="1:16" ht="36.75" customHeight="1">
      <c r="A186" s="639" t="s">
        <v>447</v>
      </c>
      <c r="B186" s="635" t="s">
        <v>437</v>
      </c>
      <c r="C186" s="636" t="s">
        <v>438</v>
      </c>
      <c r="D186" s="253" t="s">
        <v>451</v>
      </c>
      <c r="E186" s="406" t="s">
        <v>41</v>
      </c>
      <c r="F186" s="463">
        <v>0.63349999999999995</v>
      </c>
      <c r="G186" s="463">
        <v>0.70389999999999997</v>
      </c>
      <c r="H186" s="270"/>
      <c r="I186" s="270"/>
      <c r="J186" s="268"/>
      <c r="K186" s="268"/>
      <c r="L186" s="269"/>
      <c r="M186" s="270"/>
      <c r="N186" s="270"/>
      <c r="O186" s="268"/>
      <c r="P186" s="3"/>
    </row>
    <row r="187" spans="1:16" ht="38.25" customHeight="1">
      <c r="A187" s="640"/>
      <c r="B187" s="635"/>
      <c r="C187" s="636"/>
      <c r="D187" s="253" t="s">
        <v>460</v>
      </c>
      <c r="E187" s="406" t="s">
        <v>42</v>
      </c>
      <c r="F187" s="463">
        <v>0.54100000000000004</v>
      </c>
      <c r="G187" s="463">
        <v>0.65749999999999997</v>
      </c>
      <c r="H187" s="270"/>
      <c r="I187" s="270"/>
      <c r="J187" s="268"/>
      <c r="K187" s="268"/>
      <c r="L187" s="269"/>
      <c r="M187" s="270"/>
      <c r="N187" s="270"/>
      <c r="O187" s="268"/>
      <c r="P187" s="3"/>
    </row>
    <row r="188" spans="1:16" ht="42.75" customHeight="1">
      <c r="A188" s="639" t="s">
        <v>448</v>
      </c>
      <c r="B188" s="637" t="s">
        <v>437</v>
      </c>
      <c r="C188" s="638" t="s">
        <v>438</v>
      </c>
      <c r="D188" s="258" t="s">
        <v>451</v>
      </c>
      <c r="E188" s="406" t="s">
        <v>41</v>
      </c>
      <c r="F188" s="406">
        <v>0.6</v>
      </c>
      <c r="G188" s="406">
        <v>0.71009999999999995</v>
      </c>
      <c r="H188" s="266"/>
      <c r="I188" s="266"/>
      <c r="J188" s="264"/>
      <c r="K188" s="264"/>
      <c r="L188" s="264"/>
      <c r="M188" s="266"/>
      <c r="N188" s="266"/>
      <c r="O188" s="264"/>
      <c r="P188" s="3"/>
    </row>
    <row r="189" spans="1:16" ht="39.75" customHeight="1">
      <c r="A189" s="640"/>
      <c r="B189" s="637"/>
      <c r="C189" s="638"/>
      <c r="D189" s="258" t="s">
        <v>460</v>
      </c>
      <c r="E189" s="406" t="s">
        <v>43</v>
      </c>
      <c r="F189" s="463">
        <v>0.6099</v>
      </c>
      <c r="G189" s="463">
        <v>0.62080000000000002</v>
      </c>
      <c r="H189" s="266"/>
      <c r="I189" s="266"/>
      <c r="J189" s="264"/>
      <c r="K189" s="264"/>
      <c r="L189" s="264"/>
      <c r="M189" s="266"/>
      <c r="N189" s="266"/>
      <c r="O189" s="264"/>
      <c r="P189" s="3"/>
    </row>
    <row r="190" spans="1:16" ht="41.25" customHeight="1">
      <c r="A190" s="639" t="s">
        <v>449</v>
      </c>
      <c r="B190" s="635" t="s">
        <v>436</v>
      </c>
      <c r="C190" s="636" t="s">
        <v>439</v>
      </c>
      <c r="D190" s="253" t="s">
        <v>451</v>
      </c>
      <c r="E190" s="406">
        <v>1</v>
      </c>
      <c r="F190" s="406">
        <v>1</v>
      </c>
      <c r="G190" s="406">
        <v>1</v>
      </c>
      <c r="H190" s="265"/>
      <c r="I190" s="265"/>
      <c r="J190" s="268"/>
      <c r="K190" s="268"/>
      <c r="L190" s="269"/>
      <c r="M190" s="273"/>
      <c r="N190" s="273"/>
      <c r="O190" s="268"/>
      <c r="P190" s="3"/>
    </row>
    <row r="191" spans="1:16" ht="21" customHeight="1">
      <c r="A191" s="640"/>
      <c r="B191" s="635"/>
      <c r="C191" s="636"/>
      <c r="D191" s="253" t="s">
        <v>460</v>
      </c>
      <c r="E191" s="406" t="s">
        <v>44</v>
      </c>
      <c r="F191" s="406">
        <v>0.98</v>
      </c>
      <c r="G191" s="406">
        <v>1.74</v>
      </c>
      <c r="H191" s="265"/>
      <c r="I191" s="265"/>
      <c r="J191" s="268"/>
      <c r="K191" s="268"/>
      <c r="L191" s="269"/>
      <c r="M191" s="273"/>
      <c r="N191" s="269"/>
      <c r="O191" s="268"/>
      <c r="P191" s="3"/>
    </row>
    <row r="192" spans="1:16" ht="19.5" customHeight="1">
      <c r="A192" s="633" t="s">
        <v>450</v>
      </c>
      <c r="B192" s="637" t="s">
        <v>437</v>
      </c>
      <c r="C192" s="638" t="s">
        <v>438</v>
      </c>
      <c r="D192" s="258" t="s">
        <v>451</v>
      </c>
      <c r="E192" s="406" t="s">
        <v>45</v>
      </c>
      <c r="F192" s="406">
        <v>0.95</v>
      </c>
      <c r="G192" s="406">
        <v>0.96</v>
      </c>
      <c r="H192" s="265"/>
      <c r="I192" s="265"/>
      <c r="J192" s="264"/>
      <c r="K192" s="264"/>
      <c r="L192" s="264"/>
      <c r="M192" s="265"/>
      <c r="N192" s="265"/>
      <c r="O192" s="264"/>
      <c r="P192" s="3"/>
    </row>
    <row r="193" spans="1:16" ht="33.75" customHeight="1">
      <c r="A193" s="634"/>
      <c r="B193" s="637"/>
      <c r="C193" s="638"/>
      <c r="D193" s="258" t="s">
        <v>460</v>
      </c>
      <c r="E193" s="406" t="s">
        <v>46</v>
      </c>
      <c r="F193" s="463">
        <v>0.96530000000000005</v>
      </c>
      <c r="G193" s="463">
        <v>0.99129999999999996</v>
      </c>
      <c r="H193" s="265"/>
      <c r="I193" s="265"/>
      <c r="J193" s="264"/>
      <c r="K193" s="264"/>
      <c r="L193" s="264"/>
      <c r="M193" s="264"/>
      <c r="N193" s="264"/>
      <c r="O193" s="264"/>
      <c r="P193" s="3"/>
    </row>
    <row r="194" spans="1:16">
      <c r="E194" s="443"/>
    </row>
    <row r="195" spans="1:16" ht="16" thickBot="1">
      <c r="A195" s="154"/>
      <c r="E195" s="443"/>
    </row>
    <row r="196" spans="1:16">
      <c r="A196" t="s">
        <v>473</v>
      </c>
      <c r="B196" s="153" t="s">
        <v>432</v>
      </c>
      <c r="C196" s="192" t="s">
        <v>433</v>
      </c>
      <c r="D196" s="119"/>
      <c r="E196" s="444" t="s">
        <v>9</v>
      </c>
      <c r="F196" s="182" t="s">
        <v>10</v>
      </c>
      <c r="G196" s="182" t="s">
        <v>7</v>
      </c>
      <c r="H196" s="182" t="s">
        <v>11</v>
      </c>
      <c r="I196" s="182" t="s">
        <v>12</v>
      </c>
      <c r="J196" s="182" t="s">
        <v>13</v>
      </c>
      <c r="K196" s="182" t="s">
        <v>14</v>
      </c>
      <c r="L196" s="182" t="s">
        <v>15</v>
      </c>
      <c r="M196" s="182" t="s">
        <v>16</v>
      </c>
      <c r="N196" s="182" t="s">
        <v>17</v>
      </c>
      <c r="O196" s="182" t="s">
        <v>18</v>
      </c>
    </row>
    <row r="197" spans="1:16" ht="30" customHeight="1">
      <c r="A197" s="710" t="str">
        <f>IF(ISBLANK(A170),"",(A170))</f>
        <v>KP-1d⁽ᴹ⁾ Percentage of PWID covered by HIV prevention programs - minimum package of services</v>
      </c>
      <c r="B197" s="658" t="str">
        <f>IF(ISBLANK(B170),"",(B170))</f>
        <v>Top 10</v>
      </c>
      <c r="C197" s="662" t="str">
        <f>IF(ISBLANK(C170),"",(C170))</f>
        <v>with current grant</v>
      </c>
      <c r="D197" s="253" t="s">
        <v>451</v>
      </c>
      <c r="E197" s="445">
        <v>0.7</v>
      </c>
      <c r="F197" s="466">
        <v>0.72</v>
      </c>
      <c r="G197" s="467">
        <v>0.8</v>
      </c>
      <c r="H197" s="407"/>
      <c r="I197" s="407"/>
      <c r="J197" s="274"/>
      <c r="K197" s="274"/>
      <c r="L197" s="275"/>
      <c r="M197" s="275"/>
      <c r="N197" s="275"/>
      <c r="O197" s="275"/>
    </row>
    <row r="198" spans="1:16" ht="15" thickBot="1">
      <c r="A198" s="711"/>
      <c r="B198" s="658"/>
      <c r="C198" s="662"/>
      <c r="D198" s="253" t="s">
        <v>452</v>
      </c>
      <c r="E198" s="445">
        <v>0.68</v>
      </c>
      <c r="F198" s="467">
        <v>0.69520000000000004</v>
      </c>
      <c r="G198" s="467">
        <v>0.79320000000000002</v>
      </c>
      <c r="H198" s="407"/>
      <c r="I198" s="407"/>
      <c r="J198" s="274"/>
      <c r="K198" s="274"/>
      <c r="L198" s="275"/>
      <c r="M198" s="275"/>
      <c r="N198" s="275"/>
      <c r="O198" s="275"/>
    </row>
    <row r="199" spans="1:16">
      <c r="A199" s="712" t="str">
        <f>IF(ISBLANK(A172),"",(A172))</f>
        <v>HTS-5 Percentage of people newly diagnosed with HIV who started ART</v>
      </c>
      <c r="B199" s="659" t="str">
        <f>IF(ISBLANK(B172),"",(B172))</f>
        <v>Top 10</v>
      </c>
      <c r="C199" s="660" t="str">
        <f>IF(ISBLANK(C172),"",(C172))</f>
        <v>with current grant</v>
      </c>
      <c r="D199" s="253" t="s">
        <v>451</v>
      </c>
      <c r="E199" s="446">
        <v>0.9</v>
      </c>
      <c r="F199" s="468">
        <v>0.9</v>
      </c>
      <c r="G199" s="467">
        <v>0.9</v>
      </c>
      <c r="H199" s="407"/>
      <c r="I199" s="408"/>
      <c r="J199" s="276"/>
      <c r="K199" s="276"/>
      <c r="L199" s="277"/>
      <c r="M199" s="277"/>
      <c r="N199" s="277"/>
      <c r="O199" s="277"/>
    </row>
    <row r="200" spans="1:16">
      <c r="A200" s="713"/>
      <c r="B200" s="659"/>
      <c r="C200" s="660"/>
      <c r="D200" s="258" t="s">
        <v>452</v>
      </c>
      <c r="E200" s="446">
        <v>0.88</v>
      </c>
      <c r="F200" s="469">
        <v>0.92</v>
      </c>
      <c r="G200" s="467">
        <v>0.89</v>
      </c>
      <c r="H200" s="409"/>
      <c r="I200" s="408"/>
      <c r="J200" s="276"/>
      <c r="K200" s="276"/>
      <c r="L200" s="277"/>
      <c r="M200" s="277"/>
      <c r="N200" s="277"/>
      <c r="O200" s="277"/>
    </row>
    <row r="201" spans="1:16" ht="25.5" customHeight="1">
      <c r="A201" s="714" t="str">
        <f>IF(ISBLANK(A174),"",(A174))</f>
        <v>TCS-1.1⁽ᴹ⁾ Percentage of people receiving ART among all people living with HIV at the end of the reporting period</v>
      </c>
      <c r="B201" s="658" t="str">
        <f>IF(ISBLANK(B174),"",(B174))</f>
        <v>Top 10</v>
      </c>
      <c r="C201" s="662" t="str">
        <f>IF(ISBLANK(C174),"",(C174))</f>
        <v>with current grant</v>
      </c>
      <c r="D201" s="278" t="s">
        <v>451</v>
      </c>
      <c r="E201" s="445">
        <v>0.72</v>
      </c>
      <c r="F201" s="467">
        <v>0.81330000000000002</v>
      </c>
      <c r="G201" s="467">
        <v>0.9</v>
      </c>
      <c r="H201" s="274"/>
      <c r="I201" s="410"/>
      <c r="J201" s="274"/>
      <c r="K201" s="274"/>
      <c r="L201" s="275"/>
      <c r="M201" s="275"/>
      <c r="N201" s="275"/>
      <c r="O201" s="275"/>
    </row>
    <row r="202" spans="1:16">
      <c r="A202" s="711"/>
      <c r="B202" s="661"/>
      <c r="C202" s="663"/>
      <c r="D202" s="253" t="s">
        <v>452</v>
      </c>
      <c r="E202" s="465">
        <v>0.54</v>
      </c>
      <c r="F202" s="467">
        <v>0.57469999999999999</v>
      </c>
      <c r="G202" s="467">
        <v>0.57750000000000001</v>
      </c>
      <c r="H202" s="274"/>
      <c r="I202" s="410"/>
      <c r="J202" s="274"/>
      <c r="K202" s="274"/>
      <c r="L202" s="275"/>
      <c r="M202" s="275"/>
      <c r="N202" s="275"/>
      <c r="O202" s="275"/>
    </row>
    <row r="203" spans="1:16">
      <c r="F203" t="str">
        <f>IF(AND(D203&gt;0,E203&gt;0),E203/D203,"")</f>
        <v/>
      </c>
      <c r="G203" s="69"/>
      <c r="H203" s="69"/>
    </row>
    <row r="204" spans="1:16" ht="19" thickBot="1">
      <c r="A204" s="289" t="s">
        <v>453</v>
      </c>
      <c r="B204" s="81"/>
      <c r="C204" s="81"/>
      <c r="D204" s="81"/>
      <c r="E204" s="120"/>
      <c r="F204" s="118"/>
      <c r="G204" s="159"/>
      <c r="H204" s="336" t="s">
        <v>434</v>
      </c>
      <c r="I204" s="337"/>
      <c r="J204" s="338"/>
      <c r="K204" s="338"/>
      <c r="L204" s="338"/>
      <c r="M204" s="339"/>
    </row>
    <row r="205" spans="1:16" ht="15" thickBot="1"/>
    <row r="206" spans="1:16" ht="39.75" customHeight="1">
      <c r="A206" s="366" t="s">
        <v>431</v>
      </c>
      <c r="B206" s="153" t="s">
        <v>432</v>
      </c>
      <c r="C206" s="192" t="s">
        <v>433</v>
      </c>
      <c r="D206" s="119"/>
      <c r="E206" s="182" t="s">
        <v>47</v>
      </c>
      <c r="F206" s="182" t="s">
        <v>48</v>
      </c>
      <c r="G206" s="182" t="s">
        <v>7</v>
      </c>
      <c r="H206" s="182" t="s">
        <v>11</v>
      </c>
      <c r="I206" s="405" t="s">
        <v>12</v>
      </c>
      <c r="J206" s="182" t="s">
        <v>13</v>
      </c>
      <c r="K206" s="182" t="s">
        <v>14</v>
      </c>
      <c r="L206" s="182" t="s">
        <v>15</v>
      </c>
      <c r="M206" s="182" t="s">
        <v>16</v>
      </c>
      <c r="N206" s="182" t="s">
        <v>17</v>
      </c>
      <c r="O206" s="182" t="s">
        <v>18</v>
      </c>
      <c r="P206" s="3"/>
    </row>
    <row r="207" spans="1:16" ht="40.5" customHeight="1">
      <c r="A207" s="368" t="s">
        <v>454</v>
      </c>
      <c r="B207" s="635" t="s">
        <v>437</v>
      </c>
      <c r="C207" s="656" t="s">
        <v>462</v>
      </c>
      <c r="D207" s="340" t="s">
        <v>451</v>
      </c>
      <c r="E207" s="433">
        <v>0.97</v>
      </c>
      <c r="F207" s="435">
        <v>0.98</v>
      </c>
      <c r="G207" s="288">
        <v>0.99</v>
      </c>
      <c r="H207" s="288"/>
      <c r="I207" s="288"/>
      <c r="J207" s="133"/>
      <c r="K207" s="133"/>
      <c r="L207" s="133"/>
      <c r="M207" s="133"/>
      <c r="N207" s="133"/>
      <c r="O207" s="133"/>
      <c r="P207" s="3"/>
    </row>
    <row r="208" spans="1:16" ht="23.25" customHeight="1">
      <c r="A208" s="369"/>
      <c r="B208" s="635"/>
      <c r="C208" s="657"/>
      <c r="D208" s="340" t="s">
        <v>452</v>
      </c>
      <c r="E208" s="433">
        <v>0.94</v>
      </c>
      <c r="F208" s="433">
        <v>0.95</v>
      </c>
      <c r="G208" s="288">
        <v>0.95</v>
      </c>
      <c r="H208" s="133"/>
      <c r="I208" s="133"/>
      <c r="J208" s="133"/>
      <c r="K208" s="133"/>
      <c r="L208" s="133"/>
      <c r="M208" s="133"/>
      <c r="N208" s="133"/>
      <c r="O208" s="133"/>
      <c r="P208" s="3"/>
    </row>
    <row r="209" spans="1:16" ht="48" customHeight="1">
      <c r="A209" s="715" t="s">
        <v>455</v>
      </c>
      <c r="B209" s="637" t="s">
        <v>436</v>
      </c>
      <c r="C209" s="672" t="s">
        <v>462</v>
      </c>
      <c r="D209" s="340" t="s">
        <v>451</v>
      </c>
      <c r="E209" s="434">
        <v>1697</v>
      </c>
      <c r="F209" s="434">
        <v>1832</v>
      </c>
      <c r="G209" s="134">
        <v>1850</v>
      </c>
      <c r="H209" s="134"/>
      <c r="I209" s="230"/>
      <c r="J209" s="134"/>
      <c r="K209" s="134"/>
      <c r="L209" s="134"/>
      <c r="M209" s="134"/>
      <c r="N209" s="134"/>
      <c r="O209" s="134"/>
      <c r="P209" s="3"/>
    </row>
    <row r="210" spans="1:16" ht="15.75" customHeight="1">
      <c r="A210" s="716"/>
      <c r="B210" s="637"/>
      <c r="C210" s="673"/>
      <c r="D210" s="341" t="s">
        <v>452</v>
      </c>
      <c r="E210" s="434">
        <v>914</v>
      </c>
      <c r="F210" s="434">
        <v>858</v>
      </c>
      <c r="G210" s="152">
        <v>768</v>
      </c>
      <c r="H210" s="152"/>
      <c r="I210" s="152"/>
      <c r="J210" s="152"/>
      <c r="K210" s="152"/>
      <c r="L210" s="152"/>
      <c r="M210" s="134"/>
      <c r="N210" s="134"/>
      <c r="O210" s="134"/>
      <c r="P210" s="3"/>
    </row>
    <row r="211" spans="1:16" ht="38.25" customHeight="1">
      <c r="A211" s="368" t="s">
        <v>456</v>
      </c>
      <c r="B211" s="635" t="s">
        <v>437</v>
      </c>
      <c r="C211" s="656" t="s">
        <v>462</v>
      </c>
      <c r="D211" s="340" t="s">
        <v>451</v>
      </c>
      <c r="E211" s="434">
        <v>1612</v>
      </c>
      <c r="F211" s="434">
        <v>1832</v>
      </c>
      <c r="G211" s="134">
        <v>1850</v>
      </c>
      <c r="H211" s="134"/>
      <c r="I211" s="230"/>
      <c r="J211" s="133"/>
      <c r="K211" s="133"/>
      <c r="L211" s="133"/>
      <c r="M211" s="133"/>
      <c r="N211" s="133"/>
      <c r="O211" s="133"/>
      <c r="P211" s="3"/>
    </row>
    <row r="212" spans="1:16" ht="39.75" customHeight="1">
      <c r="A212" s="367"/>
      <c r="B212" s="635"/>
      <c r="C212" s="657"/>
      <c r="D212" s="340" t="s">
        <v>452</v>
      </c>
      <c r="E212" s="434">
        <v>934</v>
      </c>
      <c r="F212" s="434">
        <v>904</v>
      </c>
      <c r="G212" s="210">
        <v>776</v>
      </c>
      <c r="H212" s="210"/>
      <c r="I212" s="210"/>
      <c r="J212" s="133"/>
      <c r="K212" s="133"/>
      <c r="L212" s="133"/>
      <c r="M212" s="133"/>
      <c r="N212" s="133"/>
      <c r="O212" s="133"/>
      <c r="P212" s="3"/>
    </row>
    <row r="213" spans="1:16" ht="39.75" customHeight="1">
      <c r="A213" s="715" t="s">
        <v>457</v>
      </c>
      <c r="B213" s="637" t="s">
        <v>436</v>
      </c>
      <c r="C213" s="672" t="s">
        <v>462</v>
      </c>
      <c r="D213" s="340" t="s">
        <v>451</v>
      </c>
      <c r="E213" s="433">
        <v>0.72</v>
      </c>
      <c r="F213" s="435">
        <v>0.75</v>
      </c>
      <c r="G213" s="288">
        <v>0.8</v>
      </c>
      <c r="H213" s="288"/>
      <c r="I213" s="288"/>
      <c r="J213" s="210"/>
      <c r="K213" s="210"/>
      <c r="L213" s="210"/>
      <c r="M213" s="210"/>
      <c r="N213" s="210"/>
      <c r="O213" s="210"/>
      <c r="P213" s="3"/>
    </row>
    <row r="214" spans="1:16" ht="39.75" customHeight="1">
      <c r="A214" s="716"/>
      <c r="B214" s="637"/>
      <c r="C214" s="673"/>
      <c r="D214" s="340" t="s">
        <v>452</v>
      </c>
      <c r="E214" s="433">
        <v>0.79</v>
      </c>
      <c r="F214" s="435">
        <v>0.86699999999999999</v>
      </c>
      <c r="G214" s="288">
        <v>0.86</v>
      </c>
      <c r="H214" s="288"/>
      <c r="I214" s="288"/>
      <c r="J214" s="210"/>
      <c r="K214" s="210"/>
      <c r="L214" s="210"/>
      <c r="M214" s="210"/>
      <c r="N214" s="210"/>
      <c r="O214" s="210"/>
      <c r="P214" s="3"/>
    </row>
    <row r="215" spans="1:16" ht="35.25" customHeight="1">
      <c r="A215" s="704" t="s">
        <v>458</v>
      </c>
      <c r="B215" s="635" t="s">
        <v>49</v>
      </c>
      <c r="C215" s="656"/>
      <c r="D215" s="340" t="s">
        <v>451</v>
      </c>
      <c r="E215" s="435">
        <v>0.23</v>
      </c>
      <c r="F215" s="435">
        <v>0.31</v>
      </c>
      <c r="G215" s="435">
        <v>0.45</v>
      </c>
      <c r="H215" s="211"/>
      <c r="I215" s="211"/>
      <c r="J215" s="211"/>
      <c r="K215" s="211"/>
      <c r="L215" s="211"/>
      <c r="M215" s="211"/>
      <c r="N215" s="211"/>
      <c r="O215" s="211"/>
      <c r="P215" s="3"/>
    </row>
    <row r="216" spans="1:16" ht="39" customHeight="1">
      <c r="A216" s="705"/>
      <c r="B216" s="635"/>
      <c r="C216" s="657"/>
      <c r="D216" s="341" t="s">
        <v>452</v>
      </c>
      <c r="E216" s="460">
        <v>0.18</v>
      </c>
      <c r="F216" s="460">
        <v>0.17299999999999999</v>
      </c>
      <c r="G216" s="460">
        <v>0.2</v>
      </c>
      <c r="H216" s="211"/>
      <c r="I216" s="211"/>
      <c r="J216" s="211"/>
      <c r="K216" s="211"/>
      <c r="L216" s="211"/>
      <c r="M216" s="211"/>
      <c r="N216" s="211"/>
      <c r="O216" s="211"/>
      <c r="P216" s="3"/>
    </row>
    <row r="217" spans="1:16" ht="43.5" customHeight="1">
      <c r="A217" s="704" t="s">
        <v>459</v>
      </c>
      <c r="B217" s="674" t="s">
        <v>49</v>
      </c>
      <c r="C217" s="672"/>
      <c r="D217" s="340" t="s">
        <v>451</v>
      </c>
      <c r="E217" s="433" t="s">
        <v>368</v>
      </c>
      <c r="F217" s="433" t="s">
        <v>368</v>
      </c>
      <c r="G217" s="433" t="s">
        <v>368</v>
      </c>
      <c r="H217" s="288"/>
      <c r="I217" s="288"/>
      <c r="J217" s="212"/>
      <c r="K217" s="212"/>
      <c r="L217" s="212"/>
      <c r="M217" s="212"/>
      <c r="N217" s="212"/>
      <c r="O217" s="210"/>
      <c r="P217" s="3"/>
    </row>
    <row r="218" spans="1:16" ht="40.5" customHeight="1">
      <c r="A218" s="705"/>
      <c r="B218" s="675"/>
      <c r="C218" s="673"/>
      <c r="D218" s="340" t="s">
        <v>461</v>
      </c>
      <c r="E218" s="433" t="s">
        <v>463</v>
      </c>
      <c r="F218" s="433" t="s">
        <v>463</v>
      </c>
      <c r="G218" s="288" t="s">
        <v>637</v>
      </c>
      <c r="H218" s="288"/>
      <c r="I218" s="288"/>
      <c r="J218" s="210"/>
      <c r="K218" s="210"/>
      <c r="L218" s="210"/>
      <c r="M218" s="212"/>
      <c r="N218" s="212"/>
      <c r="O218" s="212"/>
      <c r="P218" s="3"/>
    </row>
    <row r="219" spans="1:16" ht="20.25" customHeight="1"/>
    <row r="220" spans="1:16">
      <c r="A220" t="s">
        <v>473</v>
      </c>
    </row>
    <row r="221" spans="1:16" ht="4.5" customHeight="1" thickBot="1"/>
    <row r="222" spans="1:16" ht="16" hidden="1" thickBot="1">
      <c r="A222" s="154"/>
    </row>
    <row r="223" spans="1:16" ht="72" customHeight="1">
      <c r="A223" s="27"/>
      <c r="B223" s="153" t="s">
        <v>432</v>
      </c>
      <c r="C223" s="192" t="s">
        <v>433</v>
      </c>
      <c r="D223" s="119"/>
      <c r="E223" s="182" t="str">
        <f t="shared" ref="E223:O223" si="13">B30</f>
        <v>P1</v>
      </c>
      <c r="F223" s="182" t="str">
        <f t="shared" si="13"/>
        <v>P2</v>
      </c>
      <c r="G223" s="182" t="str">
        <f t="shared" si="13"/>
        <v>P3</v>
      </c>
      <c r="H223" s="182" t="str">
        <f t="shared" si="13"/>
        <v>P4</v>
      </c>
      <c r="I223" s="182" t="str">
        <f t="shared" si="13"/>
        <v>P5</v>
      </c>
      <c r="J223" s="182" t="str">
        <f t="shared" si="13"/>
        <v>P6</v>
      </c>
      <c r="K223" s="182" t="str">
        <f t="shared" si="13"/>
        <v>P7</v>
      </c>
      <c r="L223" s="182" t="str">
        <f t="shared" si="13"/>
        <v>P8</v>
      </c>
      <c r="M223" s="182" t="str">
        <f t="shared" si="13"/>
        <v>P9</v>
      </c>
      <c r="N223" s="182" t="str">
        <f t="shared" si="13"/>
        <v>P10</v>
      </c>
      <c r="O223" s="182" t="str">
        <f t="shared" si="13"/>
        <v>P11</v>
      </c>
    </row>
    <row r="224" spans="1:16" ht="47.25" customHeight="1">
      <c r="A224" s="706" t="str">
        <f>A207</f>
        <v>MDR TB-6: Percentage of TB patients with a DST result of at least rifampicin among the total number of registered (new and previously treated) cases in the same year.</v>
      </c>
      <c r="B224" s="664" t="str">
        <f>IF(ISBLANK(B207),"",(B207))</f>
        <v xml:space="preserve"> Top 10</v>
      </c>
      <c r="C224" s="666" t="str">
        <f>IF(ISBLANK(C207),"",(C207))</f>
        <v>yes</v>
      </c>
      <c r="D224" s="340" t="s">
        <v>451</v>
      </c>
      <c r="E224" s="436">
        <f t="shared" ref="E224:O229" si="14">E207</f>
        <v>0.97</v>
      </c>
      <c r="F224" s="436">
        <f t="shared" si="14"/>
        <v>0.98</v>
      </c>
      <c r="G224" s="436">
        <f t="shared" si="14"/>
        <v>0.99</v>
      </c>
      <c r="H224" s="342">
        <f t="shared" si="14"/>
        <v>0</v>
      </c>
      <c r="I224" s="342">
        <f t="shared" si="14"/>
        <v>0</v>
      </c>
      <c r="J224" s="342">
        <f t="shared" si="14"/>
        <v>0</v>
      </c>
      <c r="K224" s="342">
        <f t="shared" si="14"/>
        <v>0</v>
      </c>
      <c r="L224" s="342">
        <f t="shared" si="14"/>
        <v>0</v>
      </c>
      <c r="M224" s="342">
        <f t="shared" si="14"/>
        <v>0</v>
      </c>
      <c r="N224" s="342">
        <f t="shared" si="14"/>
        <v>0</v>
      </c>
      <c r="O224" s="342">
        <f t="shared" si="14"/>
        <v>0</v>
      </c>
    </row>
    <row r="225" spans="1:15">
      <c r="A225" s="707"/>
      <c r="B225" s="670"/>
      <c r="C225" s="671"/>
      <c r="D225" s="343" t="s">
        <v>452</v>
      </c>
      <c r="E225" s="436">
        <f t="shared" ref="E225:H229" si="15">E208</f>
        <v>0.94</v>
      </c>
      <c r="F225" s="436">
        <f>F208</f>
        <v>0.95</v>
      </c>
      <c r="G225" s="436">
        <f t="shared" si="14"/>
        <v>0.95</v>
      </c>
      <c r="H225" s="342">
        <f t="shared" si="15"/>
        <v>0</v>
      </c>
      <c r="I225" s="342">
        <f t="shared" ref="I225:O229" si="16">I208</f>
        <v>0</v>
      </c>
      <c r="J225" s="342">
        <f t="shared" si="16"/>
        <v>0</v>
      </c>
      <c r="K225" s="342">
        <f t="shared" si="16"/>
        <v>0</v>
      </c>
      <c r="L225" s="342">
        <f t="shared" si="16"/>
        <v>0</v>
      </c>
      <c r="M225" s="342">
        <f t="shared" si="16"/>
        <v>0</v>
      </c>
      <c r="N225" s="342">
        <f t="shared" si="16"/>
        <v>0</v>
      </c>
      <c r="O225" s="342">
        <f t="shared" si="16"/>
        <v>0</v>
      </c>
    </row>
    <row r="226" spans="1:15" ht="25.5" customHeight="1">
      <c r="A226" s="708" t="str">
        <f>A209</f>
        <v xml:space="preserve">MDR TB-2: Number of bacteriologically confirmed registered DR-TB cases (RR-TB and/or MDR-TB)	</v>
      </c>
      <c r="B226" s="676" t="str">
        <f>IF(ISBLANK(B209),"",(B209))</f>
        <v>Top 10</v>
      </c>
      <c r="C226" s="668" t="str">
        <f>IF(ISBLANK(C209),"",(C209))</f>
        <v>yes</v>
      </c>
      <c r="D226" s="341" t="s">
        <v>451</v>
      </c>
      <c r="E226" s="437">
        <f t="shared" si="15"/>
        <v>1697</v>
      </c>
      <c r="F226" s="437">
        <f>F209</f>
        <v>1832</v>
      </c>
      <c r="G226" s="344">
        <f t="shared" si="14"/>
        <v>1850</v>
      </c>
      <c r="H226" s="344">
        <f>H209</f>
        <v>0</v>
      </c>
      <c r="I226" s="344">
        <f t="shared" si="16"/>
        <v>0</v>
      </c>
      <c r="J226" s="344">
        <f t="shared" si="16"/>
        <v>0</v>
      </c>
      <c r="K226" s="344">
        <f t="shared" si="16"/>
        <v>0</v>
      </c>
      <c r="L226" s="344">
        <f t="shared" si="16"/>
        <v>0</v>
      </c>
      <c r="M226" s="344">
        <f t="shared" si="16"/>
        <v>0</v>
      </c>
      <c r="N226" s="344">
        <f t="shared" si="16"/>
        <v>0</v>
      </c>
      <c r="O226" s="344">
        <f t="shared" si="16"/>
        <v>0</v>
      </c>
    </row>
    <row r="227" spans="1:15">
      <c r="A227" s="709"/>
      <c r="B227" s="677"/>
      <c r="C227" s="669"/>
      <c r="D227" s="341" t="s">
        <v>452</v>
      </c>
      <c r="E227" s="437">
        <f t="shared" si="15"/>
        <v>914</v>
      </c>
      <c r="F227" s="437">
        <f t="shared" si="15"/>
        <v>858</v>
      </c>
      <c r="G227" s="344">
        <f t="shared" si="14"/>
        <v>768</v>
      </c>
      <c r="H227" s="344">
        <f t="shared" si="15"/>
        <v>0</v>
      </c>
      <c r="I227" s="344">
        <f t="shared" si="16"/>
        <v>0</v>
      </c>
      <c r="J227" s="344">
        <f t="shared" si="16"/>
        <v>0</v>
      </c>
      <c r="K227" s="344">
        <f t="shared" si="16"/>
        <v>0</v>
      </c>
      <c r="L227" s="344">
        <f t="shared" si="16"/>
        <v>0</v>
      </c>
      <c r="M227" s="344">
        <f t="shared" si="16"/>
        <v>0</v>
      </c>
      <c r="N227" s="344">
        <f t="shared" si="16"/>
        <v>0</v>
      </c>
      <c r="O227" s="344">
        <f t="shared" si="16"/>
        <v>0</v>
      </c>
    </row>
    <row r="228" spans="1:15" ht="58.5" customHeight="1">
      <c r="A228" s="706" t="str">
        <f>A211</f>
        <v>MDR TB-3: Number of RR/MDR-TB cases started on second-line treatment</v>
      </c>
      <c r="B228" s="664" t="str">
        <f>IF(ISBLANK(B211),"",(B211))</f>
        <v xml:space="preserve"> Top 10</v>
      </c>
      <c r="C228" s="666" t="str">
        <f>IF(ISBLANK(C211),"",(C211))</f>
        <v>yes</v>
      </c>
      <c r="D228" s="345" t="s">
        <v>451</v>
      </c>
      <c r="E228" s="438">
        <f t="shared" si="15"/>
        <v>1612</v>
      </c>
      <c r="F228" s="438">
        <f t="shared" si="15"/>
        <v>1832</v>
      </c>
      <c r="G228" s="342">
        <f t="shared" si="14"/>
        <v>1850</v>
      </c>
      <c r="H228" s="346">
        <f t="shared" si="15"/>
        <v>0</v>
      </c>
      <c r="I228" s="342">
        <f t="shared" si="16"/>
        <v>0</v>
      </c>
      <c r="J228" s="342">
        <f t="shared" si="16"/>
        <v>0</v>
      </c>
      <c r="K228" s="342">
        <f t="shared" si="16"/>
        <v>0</v>
      </c>
      <c r="L228" s="342">
        <f t="shared" si="16"/>
        <v>0</v>
      </c>
      <c r="M228" s="342">
        <f t="shared" si="16"/>
        <v>0</v>
      </c>
      <c r="N228" s="342">
        <f t="shared" si="16"/>
        <v>0</v>
      </c>
      <c r="O228" s="342">
        <f t="shared" si="16"/>
        <v>0</v>
      </c>
    </row>
    <row r="229" spans="1:15" ht="15" thickBot="1">
      <c r="A229" s="707"/>
      <c r="B229" s="665"/>
      <c r="C229" s="667"/>
      <c r="D229" s="347" t="s">
        <v>452</v>
      </c>
      <c r="E229" s="439">
        <f t="shared" si="15"/>
        <v>934</v>
      </c>
      <c r="F229" s="439">
        <f t="shared" si="15"/>
        <v>904</v>
      </c>
      <c r="G229" s="348">
        <f t="shared" si="14"/>
        <v>776</v>
      </c>
      <c r="H229" s="349">
        <f t="shared" si="15"/>
        <v>0</v>
      </c>
      <c r="I229" s="342">
        <f t="shared" si="16"/>
        <v>0</v>
      </c>
      <c r="J229" s="342">
        <f t="shared" si="16"/>
        <v>0</v>
      </c>
      <c r="K229" s="342">
        <f t="shared" si="16"/>
        <v>0</v>
      </c>
      <c r="L229" s="342">
        <f t="shared" si="16"/>
        <v>0</v>
      </c>
      <c r="M229" s="342">
        <f t="shared" si="16"/>
        <v>0</v>
      </c>
      <c r="N229" s="342">
        <f t="shared" si="16"/>
        <v>0</v>
      </c>
      <c r="O229" s="342">
        <f t="shared" si="16"/>
        <v>0</v>
      </c>
    </row>
    <row r="232" spans="1:15" ht="14.25" customHeight="1"/>
    <row r="237" spans="1:15">
      <c r="G237" t="s">
        <v>50</v>
      </c>
    </row>
  </sheetData>
  <mergeCells count="106">
    <mergeCell ref="A217:A218"/>
    <mergeCell ref="A215:A216"/>
    <mergeCell ref="A224:A225"/>
    <mergeCell ref="A226:A227"/>
    <mergeCell ref="A228:A229"/>
    <mergeCell ref="A197:A198"/>
    <mergeCell ref="A199:A200"/>
    <mergeCell ref="A201:A202"/>
    <mergeCell ref="A209:A210"/>
    <mergeCell ref="A213:A214"/>
    <mergeCell ref="A174:A175"/>
    <mergeCell ref="A176:A177"/>
    <mergeCell ref="A178:A179"/>
    <mergeCell ref="A180:A181"/>
    <mergeCell ref="A182:A183"/>
    <mergeCell ref="F10:I10"/>
    <mergeCell ref="B211:B212"/>
    <mergeCell ref="C211:C212"/>
    <mergeCell ref="B213:B214"/>
    <mergeCell ref="A18:B18"/>
    <mergeCell ref="C213:C214"/>
    <mergeCell ref="A26:B26"/>
    <mergeCell ref="A88:B88"/>
    <mergeCell ref="A77:C77"/>
    <mergeCell ref="A91:B91"/>
    <mergeCell ref="A29:M29"/>
    <mergeCell ref="A92:B92"/>
    <mergeCell ref="G16:H16"/>
    <mergeCell ref="C24:D24"/>
    <mergeCell ref="F24:G24"/>
    <mergeCell ref="H24:I24"/>
    <mergeCell ref="C18:E18"/>
    <mergeCell ref="A21:I21"/>
    <mergeCell ref="C209:C210"/>
    <mergeCell ref="B1:C1"/>
    <mergeCell ref="B8:C8"/>
    <mergeCell ref="A14:I14"/>
    <mergeCell ref="B6:C6"/>
    <mergeCell ref="D6:E6"/>
    <mergeCell ref="H6:I6"/>
    <mergeCell ref="H8:I8"/>
    <mergeCell ref="B10:C10"/>
    <mergeCell ref="D12:E12"/>
    <mergeCell ref="F12:I12"/>
    <mergeCell ref="A2:I2"/>
    <mergeCell ref="B4:C4"/>
    <mergeCell ref="D4:E4"/>
    <mergeCell ref="D10:E10"/>
    <mergeCell ref="B12:C12"/>
    <mergeCell ref="B228:B229"/>
    <mergeCell ref="C228:C229"/>
    <mergeCell ref="C226:C227"/>
    <mergeCell ref="B224:B225"/>
    <mergeCell ref="C224:C225"/>
    <mergeCell ref="C215:C216"/>
    <mergeCell ref="C217:C218"/>
    <mergeCell ref="B217:B218"/>
    <mergeCell ref="B215:B216"/>
    <mergeCell ref="B226:B227"/>
    <mergeCell ref="B209:B210"/>
    <mergeCell ref="E64:H64"/>
    <mergeCell ref="C178:C179"/>
    <mergeCell ref="B180:B181"/>
    <mergeCell ref="C174:C175"/>
    <mergeCell ref="B176:B177"/>
    <mergeCell ref="C176:C177"/>
    <mergeCell ref="C180:C181"/>
    <mergeCell ref="B182:B183"/>
    <mergeCell ref="C182:C183"/>
    <mergeCell ref="B174:B175"/>
    <mergeCell ref="B178:B179"/>
    <mergeCell ref="A89:B89"/>
    <mergeCell ref="A90:B90"/>
    <mergeCell ref="B207:B208"/>
    <mergeCell ref="C207:C208"/>
    <mergeCell ref="C192:C193"/>
    <mergeCell ref="B197:B198"/>
    <mergeCell ref="B199:B200"/>
    <mergeCell ref="C199:C200"/>
    <mergeCell ref="B201:B202"/>
    <mergeCell ref="C201:C202"/>
    <mergeCell ref="C197:C198"/>
    <mergeCell ref="B192:B193"/>
    <mergeCell ref="N31:N34"/>
    <mergeCell ref="B172:B173"/>
    <mergeCell ref="C172:C173"/>
    <mergeCell ref="G130:H130"/>
    <mergeCell ref="B170:B171"/>
    <mergeCell ref="C170:C171"/>
    <mergeCell ref="A132:A144"/>
    <mergeCell ref="A145:A162"/>
    <mergeCell ref="A170:A171"/>
    <mergeCell ref="A172:A173"/>
    <mergeCell ref="A192:A193"/>
    <mergeCell ref="B190:B191"/>
    <mergeCell ref="C190:C191"/>
    <mergeCell ref="B184:B185"/>
    <mergeCell ref="C184:C185"/>
    <mergeCell ref="B186:B187"/>
    <mergeCell ref="C186:C187"/>
    <mergeCell ref="B188:B189"/>
    <mergeCell ref="C188:C189"/>
    <mergeCell ref="A184:A185"/>
    <mergeCell ref="A186:A187"/>
    <mergeCell ref="A188:A189"/>
    <mergeCell ref="A190:A191"/>
  </mergeCells>
  <phoneticPr fontId="31" type="noConversion"/>
  <conditionalFormatting sqref="A32 E32:G32 A34">
    <cfRule type="expression" dxfId="79" priority="31" stopIfTrue="1">
      <formula>+AND(A31&gt;=#REF!,A31&lt;=#REF!)</formula>
    </cfRule>
  </conditionalFormatting>
  <conditionalFormatting sqref="B12:C12">
    <cfRule type="cellIs" dxfId="78" priority="37" stopIfTrue="1" operator="equal">
      <formula>"C"</formula>
    </cfRule>
    <cfRule type="cellIs" dxfId="77" priority="38" stopIfTrue="1" operator="equal">
      <formula>"B2"</formula>
    </cfRule>
    <cfRule type="cellIs" dxfId="76" priority="39" stopIfTrue="1" operator="equal">
      <formula>"B1"</formula>
    </cfRule>
  </conditionalFormatting>
  <conditionalFormatting sqref="B33:D33">
    <cfRule type="expression" dxfId="75" priority="15" stopIfTrue="1">
      <formula>+AND(B32&gt;=#REF!,B32&lt;=#REF!)</formula>
    </cfRule>
  </conditionalFormatting>
  <conditionalFormatting sqref="B30:M30 B118:M118">
    <cfRule type="cellIs" dxfId="74" priority="35" stopIfTrue="1" operator="equal">
      <formula>$B$16</formula>
    </cfRule>
  </conditionalFormatting>
  <conditionalFormatting sqref="B34:M34">
    <cfRule type="expression" dxfId="73" priority="16" stopIfTrue="1">
      <formula>+AND(B32&gt;=#REF!,B32&lt;=#REF!)</formula>
    </cfRule>
  </conditionalFormatting>
  <conditionalFormatting sqref="D32 E33:M33">
    <cfRule type="expression" dxfId="72" priority="6" stopIfTrue="1">
      <formula>+AND(D31&gt;=#REF!,D31&lt;=#REF!)</formula>
    </cfRule>
  </conditionalFormatting>
  <conditionalFormatting sqref="E64:H64">
    <cfRule type="expression" dxfId="71" priority="20" stopIfTrue="1">
      <formula>LEFT($E$64,3)="Все"</formula>
    </cfRule>
  </conditionalFormatting>
  <conditionalFormatting sqref="E169:O169">
    <cfRule type="cellIs" dxfId="70" priority="46" stopIfTrue="1" operator="equal">
      <formula>$B$16</formula>
    </cfRule>
  </conditionalFormatting>
  <conditionalFormatting sqref="E196:O223">
    <cfRule type="cellIs" dxfId="69" priority="1" stopIfTrue="1" operator="equal">
      <formula>$B$16</formula>
    </cfRule>
  </conditionalFormatting>
  <dataValidations count="9">
    <dataValidation type="list" allowBlank="1" showInputMessage="1" showErrorMessage="1" sqref="F6 IW161 SS161 ACO161 AMK161 AWG161 BGC161 BPY161 BZU161 CJQ161 CTM161 DDI161 DNE161 DXA161 EGW161 EQS161 FAO161 FKK161 FUG161 GEC161 GNY161 GXU161 HHQ161 HRM161 IBI161 ILE161 IVA161 JEW161 JOS161 JYO161 KIK161 KSG161 LCC161 LLY161 LVU161 MFQ161 MPM161 MZI161 NJE161 NTA161 OCW161 OMS161 OWO161 PGK161 PQG161 QAC161 QJY161 QTU161 RDQ161 RNM161 RXI161 SHE161 SRA161 TAW161 TKS161 TUO161 UEK161 UOG161 UYC161 VHY161 VRU161 WBQ161 WLM161 WVI161" xr:uid="{00000000-0002-0000-0200-000000000000}">
      <formula1>Component</formula1>
    </dataValidation>
    <dataValidation type="list" allowBlank="1" showInputMessage="1" showErrorMessage="1" sqref="B16" xr:uid="{00000000-0002-0000-0200-000001000000}">
      <formula1>PERIOD</formula1>
    </dataValidation>
    <dataValidation type="list" allowBlank="1" showInputMessage="1" showErrorMessage="1" sqref="F10:I10" xr:uid="{00000000-0002-0000-0200-000002000000}">
      <formula1>LFA</formula1>
    </dataValidation>
    <dataValidation type="list" allowBlank="1" showInputMessage="1" showErrorMessage="1" sqref="B12:C12" xr:uid="{00000000-0002-0000-0200-000003000000}">
      <formula1>Rating</formula1>
    </dataValidation>
    <dataValidation type="list" allowBlank="1" showInputMessage="1" showErrorMessage="1" sqref="H8:I8" xr:uid="{00000000-0002-0000-0200-000004000000}">
      <formula1>Phase</formula1>
    </dataValidation>
    <dataValidation type="list" allowBlank="1" showInputMessage="1" showErrorMessage="1" sqref="F8" xr:uid="{00000000-0002-0000-0200-000005000000}">
      <formula1>Round</formula1>
    </dataValidation>
    <dataValidation type="list" allowBlank="1" showInputMessage="1" showErrorMessage="1" sqref="C26" xr:uid="{00000000-0002-0000-0200-000006000000}">
      <formula1>Currency</formula1>
    </dataValidation>
    <dataValidation type="list" allowBlank="1" showInputMessage="1" showErrorMessage="1" sqref="B145:B162 ST141:ST160 ACP141:ACP160 AML141:AML160 AWH141:AWH160 BGD141:BGD160 BPZ141:BPZ160 BZV141:BZV160 CJR141:CJR160 CTN141:CTN160 DDJ141:DDJ160 DNF141:DNF160 DXB141:DXB160 EGX141:EGX160 EQT141:EQT160 FAP141:FAP160 FKL141:FKL160 FUH141:FUH160 GED141:GED160 GNZ141:GNZ160 GXV141:GXV160 HHR141:HHR160 HRN141:HRN160 IBJ141:IBJ160 ILF141:ILF160 IVB141:IVB160 JEX141:JEX160 JOT141:JOT160 JYP141:JYP160 KIL141:KIL160 KSH141:KSH160 LCD141:LCD160 LLZ141:LLZ160 LVV141:LVV160 MFR141:MFR160 MPN141:MPN160 MZJ141:MZJ160 NJF141:NJF160 NTB141:NTB160 OCX141:OCX160 OMT141:OMT160 OWP141:OWP160 PGL141:PGL160 PQH141:PQH160 QAD141:QAD160 QJZ141:QJZ160 QTV141:QTV160 RDR141:RDR160 RNN141:RNN160 RXJ141:RXJ160 SHF141:SHF160 SRB141:SRB160 TAX141:TAX160 TKT141:TKT160 TUP141:TUP160 UEL141:UEL160 UOH141:UOH160 UYD141:UYD160 VHZ141:VHZ160 VRV141:VRV160 WBR141:WBR160 WLN141:WLN160 WVJ141:WVJ160 IX141:IX160 WVK138:WVK140 IY138:IY140 SU138:SU140 ACQ138:ACQ140 AMM138:AMM140 AWI138:AWI140 BGE138:BGE140 BQA138:BQA140 BZW138:BZW140 CJS138:CJS140 CTO138:CTO140 DDK138:DDK140 DNG138:DNG140 DXC138:DXC140 EGY138:EGY140 EQU138:EQU140 FAQ138:FAQ140 FKM138:FKM140 FUI138:FUI140 GEE138:GEE140 GOA138:GOA140 GXW138:GXW140 HHS138:HHS140 HRO138:HRO140 IBK138:IBK140 ILG138:ILG140 IVC138:IVC140 JEY138:JEY140 JOU138:JOU140 JYQ138:JYQ140 KIM138:KIM140 KSI138:KSI140 LCE138:LCE140 LMA138:LMA140 LVW138:LVW140 MFS138:MFS140 MPO138:MPO140 MZK138:MZK140 NJG138:NJG140 NTC138:NTC140 OCY138:OCY140 OMU138:OMU140 OWQ138:OWQ140 PGM138:PGM140 PQI138:PQI140 QAE138:QAE140 QKA138:QKA140 QTW138:QTW140 RDS138:RDS140 RNO138:RNO140 RXK138:RXK140 SHG138:SHG140 SRC138:SRC140 TAY138:TAY140 TKU138:TKU140 TUQ138:TUQ140 UEM138:UEM140 UOI138:UOI140 UYE138:UYE140 VIA138:VIA140 VRW138:VRW140 WBS138:WBS140 WLO138:WLO140" xr:uid="{00000000-0002-0000-0200-000007000000}">
      <formula1>мва</formula1>
    </dataValidation>
    <dataValidation type="list" allowBlank="1" showInputMessage="1" showErrorMessage="1" sqref="WVJ161:WVJ164 IX161:IX164 ST161:ST164 ACP161:ACP164 AML161:AML164 AWH161:AWH164 BGD161:BGD164 BPZ161:BPZ164 BZV161:BZV164 CJR161:CJR164 CTN161:CTN164 DDJ161:DDJ164 DNF161:DNF164 DXB161:DXB164 EGX161:EGX164 EQT161:EQT164 FAP161:FAP164 FKL161:FKL164 FUH161:FUH164 GED161:GED164 GNZ161:GNZ164 GXV161:GXV164 HHR161:HHR164 HRN161:HRN164 IBJ161:IBJ164 ILF161:ILF164 IVB161:IVB164 JEX161:JEX164 JOT161:JOT164 JYP161:JYP164 KIL161:KIL164 KSH161:KSH164 LCD161:LCD164 LLZ161:LLZ164 LVV161:LVV164 MFR161:MFR164 MPN161:MPN164 MZJ161:MZJ164 NJF161:NJF164 NTB161:NTB164 OCX161:OCX164 OMT161:OMT164 OWP161:OWP164 PGL161:PGL164 PQH161:PQH164 QAD161:QAD164 QJZ161:QJZ164 QTV161:QTV164 RDR161:RDR164 RNN161:RNN164 RXJ161:RXJ164 SHF161:SHF164 SRB161:SRB164 TAX161:TAX164 TKT161:TKT164 TUP161:TUP164 UEL161:UEL164 UOH161:UOH164 UYD161:UYD164 VHZ161:VHZ164 VRV161:VRV164 WBR161:WBR164 WLN161:WLN164 B137:B144" xr:uid="{00000000-0002-0000-0200-000008000000}">
      <formula1>Medicaments</formula1>
    </dataValidation>
  </dataValidations>
  <printOptions horizontalCentered="1"/>
  <pageMargins left="0.45866141700000002" right="0.45866141700000002" top="0.74803149606299202" bottom="0.74803149606299202" header="0.31496062992126" footer="0.31496062992126"/>
  <pageSetup paperSize="8" scale="70" orientation="landscape" r:id="rId1"/>
  <headerFooter>
    <oddFooter>&amp;L&amp;F&amp;C&amp;A&amp;RV1.0          &amp;D</oddFooter>
  </headerFooter>
  <rowBreaks count="1" manualBreakCount="1">
    <brk id="65" max="16383" man="1"/>
  </rowBreaks>
  <ignoredErrors>
    <ignoredError sqref="B224 E223:I223 J223:O223"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V76"/>
  <sheetViews>
    <sheetView showGridLines="0" zoomScale="80" zoomScaleNormal="80" workbookViewId="0">
      <pane ySplit="2" topLeftCell="A10" activePane="bottomLeft" state="frozen"/>
      <selection activeCell="E22" sqref="E22"/>
      <selection pane="bottomLeft" activeCell="B2" sqref="B2:M2"/>
    </sheetView>
  </sheetViews>
  <sheetFormatPr defaultColWidth="11" defaultRowHeight="14.5"/>
  <cols>
    <col min="1" max="1" width="2.7265625" customWidth="1"/>
    <col min="2" max="2" width="21.453125" customWidth="1"/>
    <col min="3" max="3" width="11.453125" customWidth="1"/>
    <col min="4" max="4" width="4.54296875" customWidth="1"/>
    <col min="5" max="5" width="16.453125" customWidth="1"/>
    <col min="6" max="6" width="15.7265625" customWidth="1"/>
    <col min="7" max="7" width="37.26953125" customWidth="1"/>
    <col min="8" max="8" width="17.26953125" customWidth="1"/>
    <col min="9" max="9" width="44.26953125" customWidth="1"/>
    <col min="10" max="10" width="14.26953125" customWidth="1"/>
    <col min="11" max="11" width="16" customWidth="1"/>
    <col min="12" max="12" width="20.453125" customWidth="1"/>
    <col min="13" max="13" width="49.453125" customWidth="1"/>
    <col min="14" max="14" width="2.54296875" customWidth="1"/>
    <col min="15" max="15" width="3" customWidth="1"/>
    <col min="16" max="16" width="2.54296875" customWidth="1"/>
    <col min="17" max="17" width="16.26953125" customWidth="1"/>
    <col min="18" max="18" width="28" customWidth="1"/>
    <col min="19" max="19" width="26.7265625" customWidth="1"/>
    <col min="20" max="20" width="14.7265625" customWidth="1"/>
    <col min="21" max="21" width="16" customWidth="1"/>
    <col min="22" max="22" width="11.453125" hidden="1" customWidth="1"/>
    <col min="23" max="23" width="15.54296875" customWidth="1"/>
    <col min="24" max="24" width="11.453125" customWidth="1"/>
    <col min="25" max="25" width="2.26953125" customWidth="1"/>
    <col min="26" max="26" width="1.26953125" customWidth="1"/>
    <col min="27" max="27" width="3.26953125" customWidth="1"/>
    <col min="28" max="28" width="17" customWidth="1"/>
    <col min="29" max="29" width="15" customWidth="1"/>
    <col min="30" max="30" width="11.453125" customWidth="1"/>
    <col min="31" max="31" width="13.54296875" customWidth="1"/>
    <col min="32" max="32" width="16.7265625" customWidth="1"/>
    <col min="33" max="33" width="11.453125" customWidth="1"/>
    <col min="34" max="34" width="2" customWidth="1"/>
    <col min="35" max="35" width="3.26953125" customWidth="1"/>
    <col min="36" max="36" width="2.26953125" customWidth="1"/>
    <col min="37" max="37" width="40.7265625" customWidth="1"/>
    <col min="38" max="38" width="15.453125" customWidth="1"/>
  </cols>
  <sheetData>
    <row r="1" spans="2:15" ht="34.5" customHeight="1"/>
    <row r="2" spans="2:15" ht="36" customHeight="1">
      <c r="B2" s="790" t="str">
        <f>+"Dashboard: "&amp;" "&amp;+IF('Data Input'!B4="Выберите","",'Data Input'!B4&amp;" - ")&amp;+IF('Data Input'!F6="Выберите","",'Data Input'!F6)</f>
        <v>Dashboard:  Kyrgyzstan - ВИЧ/СПИД/ТБ</v>
      </c>
      <c r="C2" s="790"/>
      <c r="D2" s="790"/>
      <c r="E2" s="790"/>
      <c r="F2" s="790"/>
      <c r="G2" s="790"/>
      <c r="H2" s="790"/>
      <c r="I2" s="790"/>
      <c r="J2" s="790"/>
      <c r="K2" s="790"/>
      <c r="L2" s="790"/>
      <c r="M2" s="790"/>
    </row>
    <row r="3" spans="2:15" ht="15.75" customHeight="1">
      <c r="B3" s="105"/>
      <c r="C3" s="105"/>
      <c r="D3" s="105"/>
      <c r="E3" s="105"/>
      <c r="F3" s="105"/>
      <c r="G3" s="105"/>
      <c r="H3" s="105"/>
      <c r="I3" s="105"/>
      <c r="J3" s="105"/>
      <c r="K3" s="106"/>
      <c r="L3" s="106"/>
    </row>
    <row r="5" spans="2:15" ht="23.5">
      <c r="B5" s="791" t="s">
        <v>464</v>
      </c>
      <c r="C5" s="791"/>
      <c r="D5" s="791"/>
      <c r="E5" s="791"/>
      <c r="F5" s="791"/>
      <c r="G5" s="791"/>
      <c r="H5" s="791"/>
      <c r="I5" s="791"/>
      <c r="J5" s="791"/>
      <c r="K5" s="791"/>
      <c r="L5" s="791"/>
      <c r="M5" s="791"/>
      <c r="N5" s="791"/>
      <c r="O5" s="791"/>
    </row>
    <row r="7" spans="2:15" s="28" customFormat="1" ht="21">
      <c r="B7" s="792" t="s">
        <v>465</v>
      </c>
      <c r="C7" s="793"/>
      <c r="D7" s="794"/>
      <c r="E7" s="792" t="s">
        <v>466</v>
      </c>
      <c r="F7" s="793"/>
      <c r="G7" s="793"/>
      <c r="H7" s="793"/>
      <c r="I7" s="794"/>
      <c r="J7" s="792" t="s">
        <v>467</v>
      </c>
      <c r="K7" s="793"/>
      <c r="L7" s="794"/>
      <c r="M7" s="792" t="s">
        <v>468</v>
      </c>
      <c r="N7" s="793"/>
      <c r="O7" s="794"/>
    </row>
    <row r="8" spans="2:15" ht="65.5" customHeight="1">
      <c r="B8" s="769" t="str">
        <f>+'Data Input'!A27</f>
        <v>F1: Budget and Global Fund disbursements</v>
      </c>
      <c r="C8" s="798"/>
      <c r="D8" s="799"/>
      <c r="E8" s="795" t="s">
        <v>469</v>
      </c>
      <c r="F8" s="796"/>
      <c r="G8" s="796"/>
      <c r="H8" s="796"/>
      <c r="I8" s="797"/>
      <c r="J8" s="759" t="s">
        <v>474</v>
      </c>
      <c r="K8" s="760"/>
      <c r="L8" s="761"/>
      <c r="M8" s="759" t="s">
        <v>478</v>
      </c>
      <c r="N8" s="760"/>
      <c r="O8" s="761"/>
    </row>
    <row r="9" spans="2:15" ht="71.5" customHeight="1">
      <c r="B9" s="800" t="str">
        <f>+'Data Input'!A36</f>
        <v>F2: Budget and actual expenses according to grant objectives</v>
      </c>
      <c r="C9" s="801"/>
      <c r="D9" s="802"/>
      <c r="E9" s="787" t="s">
        <v>470</v>
      </c>
      <c r="F9" s="776"/>
      <c r="G9" s="776"/>
      <c r="H9" s="776"/>
      <c r="I9" s="777"/>
      <c r="J9" s="803" t="s">
        <v>475</v>
      </c>
      <c r="K9" s="760"/>
      <c r="L9" s="761"/>
      <c r="M9" s="759" t="s">
        <v>478</v>
      </c>
      <c r="N9" s="760"/>
      <c r="O9" s="761"/>
    </row>
    <row r="10" spans="2:15" ht="213" customHeight="1">
      <c r="B10" s="800" t="str">
        <f>+'Data Input'!A66</f>
        <v>F3: Payments and expenses</v>
      </c>
      <c r="C10" s="801"/>
      <c r="D10" s="802"/>
      <c r="E10" s="787" t="s">
        <v>471</v>
      </c>
      <c r="F10" s="776"/>
      <c r="G10" s="776"/>
      <c r="H10" s="776"/>
      <c r="I10" s="777"/>
      <c r="J10" s="759" t="s">
        <v>476</v>
      </c>
      <c r="K10" s="760"/>
      <c r="L10" s="761"/>
      <c r="M10" s="759" t="s">
        <v>479</v>
      </c>
      <c r="N10" s="760"/>
      <c r="O10" s="761"/>
    </row>
    <row r="11" spans="2:15" ht="227.15" customHeight="1">
      <c r="B11" s="800" t="str">
        <f>+'Data Input'!A75</f>
        <v>F4: Last reporting and payment cycle of the PR</v>
      </c>
      <c r="C11" s="804"/>
      <c r="D11" s="805"/>
      <c r="E11" s="787" t="s">
        <v>1025</v>
      </c>
      <c r="F11" s="776"/>
      <c r="G11" s="776"/>
      <c r="H11" s="776"/>
      <c r="I11" s="777"/>
      <c r="J11" s="759" t="s">
        <v>477</v>
      </c>
      <c r="K11" s="760"/>
      <c r="L11" s="761"/>
      <c r="M11" s="759" t="s">
        <v>480</v>
      </c>
      <c r="N11" s="760"/>
      <c r="O11" s="761"/>
    </row>
    <row r="12" spans="2:15">
      <c r="B12" s="758"/>
      <c r="C12" s="758"/>
      <c r="D12" s="758"/>
      <c r="E12" s="816"/>
      <c r="F12" s="816"/>
      <c r="G12" s="816"/>
      <c r="H12" s="816"/>
      <c r="I12" s="816"/>
      <c r="J12" s="816"/>
      <c r="K12" s="816"/>
      <c r="L12" s="816"/>
      <c r="M12" s="816"/>
      <c r="N12" s="816"/>
      <c r="O12" s="816"/>
    </row>
    <row r="13" spans="2:15">
      <c r="B13" s="757"/>
      <c r="C13" s="757"/>
      <c r="D13" s="757"/>
      <c r="E13" s="762"/>
      <c r="F13" s="762"/>
      <c r="G13" s="762"/>
      <c r="H13" s="762"/>
      <c r="I13" s="762"/>
      <c r="J13" s="762"/>
      <c r="K13" s="762"/>
      <c r="L13" s="762"/>
      <c r="M13" s="762"/>
      <c r="N13" s="762"/>
      <c r="O13" s="762"/>
    </row>
    <row r="14" spans="2:15">
      <c r="B14" s="757"/>
      <c r="C14" s="757"/>
      <c r="D14" s="757"/>
      <c r="E14" s="762"/>
      <c r="F14" s="762"/>
      <c r="G14" s="762"/>
      <c r="H14" s="762"/>
      <c r="I14" s="762"/>
      <c r="J14" s="762"/>
      <c r="K14" s="762"/>
      <c r="L14" s="762"/>
      <c r="M14" s="762"/>
      <c r="N14" s="762"/>
      <c r="O14" s="762"/>
    </row>
    <row r="15" spans="2:15">
      <c r="B15" s="757"/>
      <c r="C15" s="757"/>
      <c r="D15" s="757"/>
      <c r="E15" s="762"/>
      <c r="F15" s="762"/>
      <c r="G15" s="762"/>
      <c r="H15" s="762"/>
      <c r="I15" s="762"/>
      <c r="J15" s="762"/>
      <c r="K15" s="762"/>
      <c r="L15" s="762"/>
      <c r="M15" s="762"/>
      <c r="N15" s="762"/>
      <c r="O15" s="762"/>
    </row>
    <row r="16" spans="2:15" ht="23.5">
      <c r="B16" s="815" t="s">
        <v>481</v>
      </c>
      <c r="C16" s="815"/>
      <c r="D16" s="815"/>
      <c r="E16" s="815"/>
      <c r="F16" s="815"/>
      <c r="G16" s="815"/>
      <c r="H16" s="815"/>
      <c r="I16" s="815"/>
      <c r="J16" s="815"/>
      <c r="K16" s="815"/>
      <c r="L16" s="815"/>
      <c r="M16" s="815"/>
      <c r="N16" s="815"/>
      <c r="O16" s="815"/>
    </row>
    <row r="17" spans="1:15">
      <c r="B17" s="424"/>
      <c r="C17" s="424"/>
      <c r="D17" s="424"/>
      <c r="E17" s="424"/>
      <c r="F17" s="424"/>
      <c r="G17" s="424"/>
      <c r="H17" s="424"/>
      <c r="I17" s="424"/>
      <c r="J17" s="424"/>
      <c r="K17" s="424"/>
      <c r="L17" s="424"/>
      <c r="M17" s="424"/>
      <c r="N17" s="424"/>
      <c r="O17" s="424"/>
    </row>
    <row r="18" spans="1:15" ht="21">
      <c r="B18" s="784" t="s">
        <v>465</v>
      </c>
      <c r="C18" s="785"/>
      <c r="D18" s="786"/>
      <c r="E18" s="784" t="s">
        <v>466</v>
      </c>
      <c r="F18" s="785"/>
      <c r="G18" s="785"/>
      <c r="H18" s="785"/>
      <c r="I18" s="786"/>
      <c r="J18" s="784" t="s">
        <v>467</v>
      </c>
      <c r="K18" s="785"/>
      <c r="L18" s="786"/>
      <c r="M18" s="784" t="s">
        <v>483</v>
      </c>
      <c r="N18" s="785"/>
      <c r="O18" s="786"/>
    </row>
    <row r="19" spans="1:15" ht="79" customHeight="1">
      <c r="B19" s="769" t="str">
        <f>+'Data Input'!A86</f>
        <v>M1:Status of Preliminary Conditions (PCs) and Due Date Actions (DDA)</v>
      </c>
      <c r="C19" s="770"/>
      <c r="D19" s="771"/>
      <c r="E19" s="787" t="s">
        <v>586</v>
      </c>
      <c r="F19" s="788"/>
      <c r="G19" s="788"/>
      <c r="H19" s="788"/>
      <c r="I19" s="789"/>
      <c r="J19" s="772" t="s">
        <v>489</v>
      </c>
      <c r="K19" s="773"/>
      <c r="L19" s="774"/>
      <c r="M19" s="772" t="s">
        <v>491</v>
      </c>
      <c r="N19" s="773"/>
      <c r="O19" s="774"/>
    </row>
    <row r="20" spans="1:15" ht="65.150000000000006" customHeight="1">
      <c r="B20" s="800" t="str">
        <f>+'Data Input'!A95</f>
        <v>M2: Status of key management positions in the PR structure</v>
      </c>
      <c r="C20" s="804"/>
      <c r="D20" s="805"/>
      <c r="E20" s="787" t="s">
        <v>484</v>
      </c>
      <c r="F20" s="776"/>
      <c r="G20" s="776"/>
      <c r="H20" s="776"/>
      <c r="I20" s="777"/>
      <c r="J20" s="772" t="s">
        <v>490</v>
      </c>
      <c r="K20" s="773"/>
      <c r="L20" s="774"/>
      <c r="M20" s="772" t="s">
        <v>492</v>
      </c>
      <c r="N20" s="773"/>
      <c r="O20" s="774"/>
    </row>
    <row r="21" spans="1:15" ht="120.65" customHeight="1">
      <c r="B21" s="769" t="str">
        <f>+'Data Input'!A102</f>
        <v>M3: Contractual Agreements (CA)</v>
      </c>
      <c r="C21" s="770"/>
      <c r="D21" s="771"/>
      <c r="E21" s="775" t="s">
        <v>1026</v>
      </c>
      <c r="F21" s="776"/>
      <c r="G21" s="776"/>
      <c r="H21" s="776"/>
      <c r="I21" s="777"/>
      <c r="J21" s="772" t="s">
        <v>493</v>
      </c>
      <c r="K21" s="773"/>
      <c r="L21" s="774"/>
      <c r="M21" s="772" t="s">
        <v>494</v>
      </c>
      <c r="N21" s="773"/>
      <c r="O21" s="774"/>
    </row>
    <row r="22" spans="1:15" ht="62.25" customHeight="1">
      <c r="B22" s="769" t="str">
        <f>+'Data Input'!A108</f>
        <v>M4: Number of complete reports received by deadline</v>
      </c>
      <c r="C22" s="770"/>
      <c r="D22" s="771"/>
      <c r="E22" s="772" t="s">
        <v>485</v>
      </c>
      <c r="F22" s="773"/>
      <c r="G22" s="773"/>
      <c r="H22" s="773"/>
      <c r="I22" s="774"/>
      <c r="J22" s="772" t="s">
        <v>495</v>
      </c>
      <c r="K22" s="773"/>
      <c r="L22" s="774"/>
      <c r="M22" s="772" t="s">
        <v>496</v>
      </c>
      <c r="N22" s="773"/>
      <c r="O22" s="774"/>
    </row>
    <row r="23" spans="1:15" ht="155.5" customHeight="1">
      <c r="B23" s="822" t="str">
        <f>'Data Input'!A116</f>
        <v>M5: Budget and procurement of medical supplies, medical equipment, medicines and pharmaceuticals</v>
      </c>
      <c r="C23" s="823"/>
      <c r="D23" s="824"/>
      <c r="E23" s="806" t="s">
        <v>486</v>
      </c>
      <c r="F23" s="807"/>
      <c r="G23" s="807"/>
      <c r="H23" s="807"/>
      <c r="I23" s="808"/>
      <c r="J23" s="763" t="s">
        <v>497</v>
      </c>
      <c r="K23" s="764"/>
      <c r="L23" s="765"/>
      <c r="M23" s="763" t="s">
        <v>498</v>
      </c>
      <c r="N23" s="764"/>
      <c r="O23" s="765"/>
    </row>
    <row r="24" spans="1:15" ht="50.15" customHeight="1">
      <c r="B24" s="825"/>
      <c r="C24" s="826"/>
      <c r="D24" s="827"/>
      <c r="E24" s="819" t="s">
        <v>487</v>
      </c>
      <c r="F24" s="820"/>
      <c r="G24" s="820"/>
      <c r="H24" s="820"/>
      <c r="I24" s="821"/>
      <c r="J24" s="766"/>
      <c r="K24" s="767"/>
      <c r="L24" s="768"/>
      <c r="M24" s="766"/>
      <c r="N24" s="767"/>
      <c r="O24" s="768"/>
    </row>
    <row r="25" spans="1:15" ht="166" customHeight="1">
      <c r="B25" s="769" t="str">
        <f>+'Data Input'!A129</f>
        <v>M6: Difference between current and reserve stocks</v>
      </c>
      <c r="C25" s="770"/>
      <c r="D25" s="771"/>
      <c r="E25" s="781" t="s">
        <v>488</v>
      </c>
      <c r="F25" s="817"/>
      <c r="G25" s="817"/>
      <c r="H25" s="817"/>
      <c r="I25" s="818"/>
      <c r="J25" s="781" t="s">
        <v>499</v>
      </c>
      <c r="K25" s="782"/>
      <c r="L25" s="783"/>
      <c r="M25" s="778" t="s">
        <v>500</v>
      </c>
      <c r="N25" s="779"/>
      <c r="O25" s="780"/>
    </row>
    <row r="27" spans="1:15" hidden="1"/>
    <row r="29" spans="1:15" ht="18.5" hidden="1">
      <c r="B29" s="121"/>
    </row>
    <row r="30" spans="1:15" ht="23.5">
      <c r="B30" s="791" t="s">
        <v>431</v>
      </c>
      <c r="C30" s="791"/>
      <c r="D30" s="791"/>
      <c r="E30" s="791"/>
      <c r="F30" s="791"/>
      <c r="G30" s="791"/>
      <c r="H30" s="791"/>
      <c r="I30" s="791"/>
      <c r="J30" s="791"/>
      <c r="K30" s="791"/>
      <c r="L30" s="791"/>
      <c r="M30" s="791"/>
      <c r="N30" s="791"/>
      <c r="O30" s="791"/>
    </row>
    <row r="32" spans="1:15" ht="28.5" customHeight="1">
      <c r="A32" s="19"/>
      <c r="B32" s="809" t="s">
        <v>482</v>
      </c>
      <c r="C32" s="810"/>
      <c r="D32" s="811"/>
      <c r="E32" s="812" t="s">
        <v>506</v>
      </c>
      <c r="F32" s="813"/>
      <c r="G32" s="813"/>
      <c r="H32" s="813"/>
      <c r="I32" s="814"/>
      <c r="J32" s="812" t="s">
        <v>467</v>
      </c>
      <c r="K32" s="813"/>
      <c r="L32" s="814"/>
      <c r="M32" s="812" t="s">
        <v>468</v>
      </c>
      <c r="N32" s="813"/>
      <c r="O32" s="814"/>
    </row>
    <row r="33" spans="1:19" ht="101.25" customHeight="1">
      <c r="A33" s="19"/>
      <c r="B33" s="723" t="s">
        <v>435</v>
      </c>
      <c r="C33" s="724"/>
      <c r="D33" s="725"/>
      <c r="E33" s="732" t="s">
        <v>507</v>
      </c>
      <c r="F33" s="737"/>
      <c r="G33" s="737"/>
      <c r="H33" s="737"/>
      <c r="I33" s="738"/>
      <c r="J33" s="720" t="s">
        <v>526</v>
      </c>
      <c r="K33" s="721"/>
      <c r="L33" s="722"/>
      <c r="M33" s="720" t="s">
        <v>543</v>
      </c>
      <c r="N33" s="721"/>
      <c r="O33" s="722"/>
    </row>
    <row r="34" spans="1:19" ht="61.5" customHeight="1">
      <c r="A34" s="19"/>
      <c r="B34" s="844" t="s">
        <v>440</v>
      </c>
      <c r="C34" s="844"/>
      <c r="D34" s="844"/>
      <c r="E34" s="845" t="s">
        <v>508</v>
      </c>
      <c r="F34" s="846"/>
      <c r="G34" s="846"/>
      <c r="H34" s="846"/>
      <c r="I34" s="847"/>
      <c r="J34" s="720" t="s">
        <v>527</v>
      </c>
      <c r="K34" s="721"/>
      <c r="L34" s="722"/>
      <c r="M34" s="720" t="s">
        <v>544</v>
      </c>
      <c r="N34" s="721"/>
      <c r="O34" s="722"/>
    </row>
    <row r="35" spans="1:19" ht="90" customHeight="1">
      <c r="A35" s="19"/>
      <c r="B35" s="729" t="s">
        <v>441</v>
      </c>
      <c r="C35" s="735"/>
      <c r="D35" s="736"/>
      <c r="E35" s="732" t="s">
        <v>509</v>
      </c>
      <c r="F35" s="737"/>
      <c r="G35" s="737"/>
      <c r="H35" s="737"/>
      <c r="I35" s="738"/>
      <c r="J35" s="720" t="s">
        <v>528</v>
      </c>
      <c r="K35" s="721"/>
      <c r="L35" s="722"/>
      <c r="M35" s="720" t="s">
        <v>544</v>
      </c>
      <c r="N35" s="721"/>
      <c r="O35" s="722"/>
    </row>
    <row r="36" spans="1:19" ht="157.5" customHeight="1">
      <c r="A36" s="19"/>
      <c r="B36" s="831" t="s">
        <v>442</v>
      </c>
      <c r="C36" s="832"/>
      <c r="D36" s="833"/>
      <c r="E36" s="720" t="s">
        <v>510</v>
      </c>
      <c r="F36" s="721"/>
      <c r="G36" s="721"/>
      <c r="H36" s="721"/>
      <c r="I36" s="722"/>
      <c r="J36" s="720" t="s">
        <v>529</v>
      </c>
      <c r="K36" s="721"/>
      <c r="L36" s="722"/>
      <c r="M36" s="720" t="s">
        <v>545</v>
      </c>
      <c r="N36" s="721"/>
      <c r="O36" s="722"/>
      <c r="Q36" s="717"/>
      <c r="R36" s="718"/>
      <c r="S36" s="719"/>
    </row>
    <row r="37" spans="1:19" ht="108.75" customHeight="1">
      <c r="A37" s="19"/>
      <c r="B37" s="723" t="s">
        <v>443</v>
      </c>
      <c r="C37" s="724"/>
      <c r="D37" s="725"/>
      <c r="E37" s="732" t="s">
        <v>511</v>
      </c>
      <c r="F37" s="733"/>
      <c r="G37" s="733"/>
      <c r="H37" s="733"/>
      <c r="I37" s="734"/>
      <c r="J37" s="720" t="s">
        <v>530</v>
      </c>
      <c r="K37" s="721"/>
      <c r="L37" s="722"/>
      <c r="M37" s="720" t="s">
        <v>543</v>
      </c>
      <c r="N37" s="721"/>
      <c r="O37" s="722"/>
    </row>
    <row r="38" spans="1:19" ht="90" customHeight="1">
      <c r="A38" s="19"/>
      <c r="B38" s="723" t="s">
        <v>444</v>
      </c>
      <c r="C38" s="724"/>
      <c r="D38" s="725"/>
      <c r="E38" s="834" t="s">
        <v>512</v>
      </c>
      <c r="F38" s="835"/>
      <c r="G38" s="835"/>
      <c r="H38" s="835"/>
      <c r="I38" s="836"/>
      <c r="J38" s="720" t="s">
        <v>531</v>
      </c>
      <c r="K38" s="721"/>
      <c r="L38" s="722"/>
      <c r="M38" s="720" t="s">
        <v>543</v>
      </c>
      <c r="N38" s="721"/>
      <c r="O38" s="722"/>
    </row>
    <row r="39" spans="1:19" ht="87" customHeight="1">
      <c r="A39" s="19"/>
      <c r="B39" s="723" t="s">
        <v>445</v>
      </c>
      <c r="C39" s="724"/>
      <c r="D39" s="725"/>
      <c r="E39" s="726" t="s">
        <v>513</v>
      </c>
      <c r="F39" s="727"/>
      <c r="G39" s="727"/>
      <c r="H39" s="727"/>
      <c r="I39" s="728"/>
      <c r="J39" s="720" t="s">
        <v>532</v>
      </c>
      <c r="K39" s="721"/>
      <c r="L39" s="722"/>
      <c r="M39" s="720" t="s">
        <v>546</v>
      </c>
      <c r="N39" s="721"/>
      <c r="O39" s="722"/>
    </row>
    <row r="40" spans="1:19" ht="101.15" customHeight="1">
      <c r="A40" s="19"/>
      <c r="B40" s="729" t="s">
        <v>446</v>
      </c>
      <c r="C40" s="730"/>
      <c r="D40" s="731"/>
      <c r="E40" s="732" t="s">
        <v>514</v>
      </c>
      <c r="F40" s="733"/>
      <c r="G40" s="733"/>
      <c r="H40" s="733"/>
      <c r="I40" s="734"/>
      <c r="J40" s="720" t="s">
        <v>533</v>
      </c>
      <c r="K40" s="721"/>
      <c r="L40" s="722"/>
      <c r="M40" s="720" t="s">
        <v>543</v>
      </c>
      <c r="N40" s="721"/>
      <c r="O40" s="722"/>
    </row>
    <row r="41" spans="1:19" ht="96" customHeight="1">
      <c r="A41" s="19"/>
      <c r="B41" s="729" t="s">
        <v>447</v>
      </c>
      <c r="C41" s="730"/>
      <c r="D41" s="731"/>
      <c r="E41" s="732" t="s">
        <v>515</v>
      </c>
      <c r="F41" s="733"/>
      <c r="G41" s="733"/>
      <c r="H41" s="733"/>
      <c r="I41" s="734"/>
      <c r="J41" s="720" t="s">
        <v>534</v>
      </c>
      <c r="K41" s="721"/>
      <c r="L41" s="722"/>
      <c r="M41" s="720" t="s">
        <v>543</v>
      </c>
      <c r="N41" s="721"/>
      <c r="O41" s="722"/>
    </row>
    <row r="42" spans="1:19" ht="102.65" customHeight="1">
      <c r="A42" s="19"/>
      <c r="B42" s="729" t="s">
        <v>448</v>
      </c>
      <c r="C42" s="735"/>
      <c r="D42" s="736"/>
      <c r="E42" s="732" t="s">
        <v>516</v>
      </c>
      <c r="F42" s="733"/>
      <c r="G42" s="733"/>
      <c r="H42" s="733"/>
      <c r="I42" s="734"/>
      <c r="J42" s="720" t="s">
        <v>535</v>
      </c>
      <c r="K42" s="721"/>
      <c r="L42" s="722"/>
      <c r="M42" s="720" t="s">
        <v>543</v>
      </c>
      <c r="N42" s="721"/>
      <c r="O42" s="722"/>
    </row>
    <row r="43" spans="1:19" ht="183.65" customHeight="1">
      <c r="A43" s="19"/>
      <c r="B43" s="729" t="s">
        <v>449</v>
      </c>
      <c r="C43" s="735"/>
      <c r="D43" s="736"/>
      <c r="E43" s="732" t="s">
        <v>517</v>
      </c>
      <c r="F43" s="733"/>
      <c r="G43" s="733"/>
      <c r="H43" s="733"/>
      <c r="I43" s="734"/>
      <c r="J43" s="720" t="s">
        <v>536</v>
      </c>
      <c r="K43" s="721"/>
      <c r="L43" s="722"/>
      <c r="M43" s="720" t="s">
        <v>544</v>
      </c>
      <c r="N43" s="721"/>
      <c r="O43" s="722"/>
    </row>
    <row r="44" spans="1:19" ht="84.75" customHeight="1">
      <c r="A44" s="19"/>
      <c r="B44" s="729" t="s">
        <v>450</v>
      </c>
      <c r="C44" s="735"/>
      <c r="D44" s="736"/>
      <c r="E44" s="732" t="s">
        <v>518</v>
      </c>
      <c r="F44" s="737"/>
      <c r="G44" s="737"/>
      <c r="H44" s="737"/>
      <c r="I44" s="738"/>
      <c r="J44" s="720" t="s">
        <v>537</v>
      </c>
      <c r="K44" s="721"/>
      <c r="L44" s="722"/>
      <c r="M44" s="720" t="s">
        <v>547</v>
      </c>
      <c r="N44" s="721"/>
      <c r="O44" s="722"/>
    </row>
    <row r="45" spans="1:19" ht="46.5" customHeight="1">
      <c r="A45" s="19"/>
      <c r="B45" s="739" t="s">
        <v>501</v>
      </c>
      <c r="C45" s="740"/>
      <c r="D45" s="741"/>
      <c r="E45" s="742" t="s">
        <v>506</v>
      </c>
      <c r="F45" s="743"/>
      <c r="G45" s="743"/>
      <c r="H45" s="743"/>
      <c r="I45" s="744"/>
      <c r="J45" s="745" t="s">
        <v>538</v>
      </c>
      <c r="K45" s="746"/>
      <c r="L45" s="747"/>
      <c r="M45" s="742" t="s">
        <v>468</v>
      </c>
      <c r="N45" s="743"/>
      <c r="O45" s="744"/>
    </row>
    <row r="46" spans="1:19" ht="58.5" customHeight="1">
      <c r="A46" s="19"/>
      <c r="B46" s="748" t="s">
        <v>454</v>
      </c>
      <c r="C46" s="749"/>
      <c r="D46" s="750"/>
      <c r="E46" s="720" t="s">
        <v>519</v>
      </c>
      <c r="F46" s="752"/>
      <c r="G46" s="752"/>
      <c r="H46" s="752"/>
      <c r="I46" s="753"/>
      <c r="J46" s="720" t="s">
        <v>539</v>
      </c>
      <c r="K46" s="721"/>
      <c r="L46" s="722"/>
      <c r="M46" s="720" t="s">
        <v>548</v>
      </c>
      <c r="N46" s="721"/>
      <c r="O46" s="722"/>
    </row>
    <row r="47" spans="1:19" ht="53.15" customHeight="1">
      <c r="A47" s="19"/>
      <c r="B47" s="748" t="s">
        <v>502</v>
      </c>
      <c r="C47" s="749"/>
      <c r="D47" s="750"/>
      <c r="E47" s="720" t="s">
        <v>520</v>
      </c>
      <c r="F47" s="752"/>
      <c r="G47" s="752"/>
      <c r="H47" s="752"/>
      <c r="I47" s="753"/>
      <c r="J47" s="720" t="s">
        <v>540</v>
      </c>
      <c r="K47" s="721"/>
      <c r="L47" s="722"/>
      <c r="M47" s="720" t="s">
        <v>549</v>
      </c>
      <c r="N47" s="721"/>
      <c r="O47" s="722"/>
    </row>
    <row r="48" spans="1:19" ht="69" customHeight="1">
      <c r="A48" s="19"/>
      <c r="B48" s="751" t="s">
        <v>503</v>
      </c>
      <c r="C48" s="752"/>
      <c r="D48" s="753"/>
      <c r="E48" s="720" t="s">
        <v>521</v>
      </c>
      <c r="F48" s="721"/>
      <c r="G48" s="721"/>
      <c r="H48" s="721"/>
      <c r="I48" s="722"/>
      <c r="J48" s="720" t="s">
        <v>550</v>
      </c>
      <c r="K48" s="721"/>
      <c r="L48" s="722"/>
      <c r="M48" s="720" t="s">
        <v>551</v>
      </c>
      <c r="N48" s="721"/>
      <c r="O48" s="722"/>
    </row>
    <row r="49" spans="1:15" ht="81.650000000000006" customHeight="1">
      <c r="A49" s="19"/>
      <c r="B49" s="751" t="s">
        <v>457</v>
      </c>
      <c r="C49" s="752"/>
      <c r="D49" s="753"/>
      <c r="E49" s="720" t="s">
        <v>522</v>
      </c>
      <c r="F49" s="721"/>
      <c r="G49" s="721"/>
      <c r="H49" s="721"/>
      <c r="I49" s="722"/>
      <c r="J49" s="720" t="s">
        <v>541</v>
      </c>
      <c r="K49" s="721"/>
      <c r="L49" s="722"/>
      <c r="M49" s="720" t="s">
        <v>552</v>
      </c>
      <c r="N49" s="721"/>
      <c r="O49" s="722"/>
    </row>
    <row r="50" spans="1:15" ht="118.5" customHeight="1">
      <c r="A50" s="19"/>
      <c r="B50" s="751" t="s">
        <v>458</v>
      </c>
      <c r="C50" s="752"/>
      <c r="D50" s="753"/>
      <c r="E50" s="754" t="s">
        <v>523</v>
      </c>
      <c r="F50" s="755"/>
      <c r="G50" s="755"/>
      <c r="H50" s="755"/>
      <c r="I50" s="756"/>
      <c r="J50" s="837" t="s">
        <v>542</v>
      </c>
      <c r="K50" s="838"/>
      <c r="L50" s="839"/>
      <c r="M50" s="720" t="s">
        <v>553</v>
      </c>
      <c r="N50" s="721"/>
      <c r="O50" s="722"/>
    </row>
    <row r="51" spans="1:15" ht="57.65" customHeight="1">
      <c r="A51" s="19"/>
      <c r="B51" s="751" t="s">
        <v>504</v>
      </c>
      <c r="C51" s="752"/>
      <c r="D51" s="753"/>
      <c r="E51" s="720" t="s">
        <v>524</v>
      </c>
      <c r="F51" s="721"/>
      <c r="G51" s="721"/>
      <c r="H51" s="721"/>
      <c r="I51" s="722"/>
      <c r="J51" s="720"/>
      <c r="K51" s="721"/>
      <c r="L51" s="722"/>
      <c r="M51" s="720" t="s">
        <v>554</v>
      </c>
      <c r="N51" s="721"/>
      <c r="O51" s="722"/>
    </row>
    <row r="52" spans="1:15" ht="2.25" hidden="1" customHeight="1">
      <c r="A52" s="19"/>
      <c r="B52" s="828"/>
      <c r="C52" s="829"/>
      <c r="D52" s="830"/>
      <c r="E52" s="720"/>
      <c r="F52" s="721"/>
      <c r="G52" s="721"/>
      <c r="H52" s="721"/>
      <c r="I52" s="722"/>
      <c r="J52" s="720"/>
      <c r="K52" s="721"/>
      <c r="L52" s="722"/>
      <c r="M52" s="720"/>
      <c r="N52" s="721"/>
      <c r="O52" s="722"/>
    </row>
    <row r="53" spans="1:15" ht="27" customHeight="1">
      <c r="A53" s="19"/>
      <c r="B53" s="828"/>
      <c r="C53" s="829"/>
      <c r="D53" s="830"/>
      <c r="E53" s="732"/>
      <c r="F53" s="737"/>
      <c r="G53" s="737"/>
      <c r="H53" s="737"/>
      <c r="I53" s="738"/>
      <c r="J53" s="720"/>
      <c r="K53" s="721"/>
      <c r="L53" s="722"/>
      <c r="M53" s="720"/>
      <c r="N53" s="721"/>
      <c r="O53" s="722"/>
    </row>
    <row r="54" spans="1:15" ht="14.25" customHeight="1">
      <c r="A54" s="19"/>
      <c r="B54" s="828"/>
      <c r="C54" s="851"/>
      <c r="D54" s="852"/>
      <c r="E54" s="732"/>
      <c r="F54" s="840"/>
      <c r="G54" s="840"/>
      <c r="H54" s="840"/>
      <c r="I54" s="841"/>
      <c r="J54" s="720"/>
      <c r="K54" s="842"/>
      <c r="L54" s="843"/>
      <c r="M54" s="425"/>
      <c r="N54" s="426"/>
      <c r="O54" s="427"/>
    </row>
    <row r="55" spans="1:15" ht="119.25" hidden="1" customHeight="1">
      <c r="A55" s="19"/>
      <c r="B55" s="828"/>
      <c r="C55" s="851"/>
      <c r="D55" s="852"/>
      <c r="E55" s="732"/>
      <c r="F55" s="840"/>
      <c r="G55" s="840"/>
      <c r="H55" s="840"/>
      <c r="I55" s="841"/>
      <c r="J55" s="720"/>
      <c r="K55" s="842"/>
      <c r="L55" s="843"/>
      <c r="M55" s="720"/>
      <c r="N55" s="842"/>
      <c r="O55" s="843"/>
    </row>
    <row r="56" spans="1:15" ht="88.5" hidden="1" customHeight="1">
      <c r="A56" s="19"/>
      <c r="B56" s="828"/>
      <c r="C56" s="851"/>
      <c r="D56" s="852"/>
      <c r="E56" s="732"/>
      <c r="F56" s="840"/>
      <c r="G56" s="840"/>
      <c r="H56" s="840"/>
      <c r="I56" s="841"/>
      <c r="J56" s="720"/>
      <c r="K56" s="842"/>
      <c r="L56" s="843"/>
      <c r="M56" s="425"/>
      <c r="N56" s="426"/>
      <c r="O56" s="427"/>
    </row>
    <row r="57" spans="1:15" ht="30" customHeight="1">
      <c r="B57" s="745" t="s">
        <v>505</v>
      </c>
      <c r="C57" s="746"/>
      <c r="D57" s="747"/>
      <c r="E57" s="742" t="s">
        <v>466</v>
      </c>
      <c r="F57" s="743"/>
      <c r="G57" s="743"/>
      <c r="H57" s="743"/>
      <c r="I57" s="744"/>
      <c r="J57" s="742" t="s">
        <v>467</v>
      </c>
      <c r="K57" s="743"/>
      <c r="L57" s="744"/>
      <c r="M57" s="742" t="s">
        <v>468</v>
      </c>
      <c r="N57" s="743"/>
      <c r="O57" s="744"/>
    </row>
    <row r="58" spans="1:15" ht="33.75" customHeight="1">
      <c r="B58" s="428"/>
      <c r="C58" s="423"/>
      <c r="D58" s="423"/>
      <c r="E58" s="429"/>
      <c r="F58" s="430"/>
      <c r="G58" s="430"/>
      <c r="H58" s="430"/>
      <c r="I58" s="430"/>
      <c r="J58" s="429"/>
      <c r="K58" s="429"/>
      <c r="L58" s="431"/>
      <c r="M58" s="432"/>
      <c r="N58" s="429"/>
      <c r="O58" s="431"/>
    </row>
    <row r="59" spans="1:15" ht="15.75" customHeight="1">
      <c r="B59" s="853" t="s">
        <v>525</v>
      </c>
      <c r="C59" s="854"/>
      <c r="D59" s="854"/>
      <c r="E59" s="854"/>
      <c r="F59" s="854"/>
      <c r="G59" s="854"/>
      <c r="H59" s="854"/>
      <c r="I59" s="854"/>
      <c r="J59" s="854"/>
      <c r="K59" s="854"/>
      <c r="L59" s="855"/>
      <c r="M59" s="848" t="s">
        <v>555</v>
      </c>
      <c r="N59" s="849"/>
      <c r="O59" s="850"/>
    </row>
    <row r="60" spans="1:15">
      <c r="D60" s="107"/>
    </row>
    <row r="62" spans="1:15">
      <c r="D62" s="107"/>
    </row>
    <row r="63" spans="1:15">
      <c r="D63" s="107"/>
    </row>
    <row r="76" spans="1:1">
      <c r="A76" s="109"/>
    </row>
  </sheetData>
  <mergeCells count="174">
    <mergeCell ref="E56:I56"/>
    <mergeCell ref="M55:O55"/>
    <mergeCell ref="E55:I55"/>
    <mergeCell ref="B34:D34"/>
    <mergeCell ref="E34:I34"/>
    <mergeCell ref="J34:L34"/>
    <mergeCell ref="M59:O59"/>
    <mergeCell ref="M57:O57"/>
    <mergeCell ref="J53:L53"/>
    <mergeCell ref="M52:O52"/>
    <mergeCell ref="J52:L52"/>
    <mergeCell ref="B57:D57"/>
    <mergeCell ref="M53:O53"/>
    <mergeCell ref="E57:I57"/>
    <mergeCell ref="J57:L57"/>
    <mergeCell ref="B54:D54"/>
    <mergeCell ref="B55:D55"/>
    <mergeCell ref="B56:D56"/>
    <mergeCell ref="J56:L56"/>
    <mergeCell ref="E54:I54"/>
    <mergeCell ref="J54:L54"/>
    <mergeCell ref="J55:L55"/>
    <mergeCell ref="B59:L59"/>
    <mergeCell ref="B53:D53"/>
    <mergeCell ref="B52:D52"/>
    <mergeCell ref="E52:I52"/>
    <mergeCell ref="E53:I53"/>
    <mergeCell ref="B43:D43"/>
    <mergeCell ref="E43:I43"/>
    <mergeCell ref="J43:L43"/>
    <mergeCell ref="B36:D36"/>
    <mergeCell ref="E36:I36"/>
    <mergeCell ref="J36:L36"/>
    <mergeCell ref="B38:D38"/>
    <mergeCell ref="E38:I38"/>
    <mergeCell ref="J38:L38"/>
    <mergeCell ref="B42:D42"/>
    <mergeCell ref="E42:I42"/>
    <mergeCell ref="J42:L42"/>
    <mergeCell ref="J51:L51"/>
    <mergeCell ref="B49:D49"/>
    <mergeCell ref="E49:I49"/>
    <mergeCell ref="J49:L49"/>
    <mergeCell ref="J44:L44"/>
    <mergeCell ref="J50:L50"/>
    <mergeCell ref="J22:L22"/>
    <mergeCell ref="B20:D20"/>
    <mergeCell ref="E20:I20"/>
    <mergeCell ref="E25:I25"/>
    <mergeCell ref="E24:I24"/>
    <mergeCell ref="B22:D22"/>
    <mergeCell ref="B23:D24"/>
    <mergeCell ref="B33:D33"/>
    <mergeCell ref="M36:O36"/>
    <mergeCell ref="E35:I35"/>
    <mergeCell ref="J35:L35"/>
    <mergeCell ref="M35:O35"/>
    <mergeCell ref="B11:D11"/>
    <mergeCell ref="E11:I11"/>
    <mergeCell ref="B46:D46"/>
    <mergeCell ref="E23:I23"/>
    <mergeCell ref="E22:I22"/>
    <mergeCell ref="M33:O33"/>
    <mergeCell ref="B30:O30"/>
    <mergeCell ref="B32:D32"/>
    <mergeCell ref="E32:I32"/>
    <mergeCell ref="J32:L32"/>
    <mergeCell ref="M32:O32"/>
    <mergeCell ref="E33:I33"/>
    <mergeCell ref="M18:O18"/>
    <mergeCell ref="J18:L18"/>
    <mergeCell ref="B16:O16"/>
    <mergeCell ref="J33:L33"/>
    <mergeCell ref="B35:D35"/>
    <mergeCell ref="J19:L19"/>
    <mergeCell ref="M11:O11"/>
    <mergeCell ref="J12:L12"/>
    <mergeCell ref="M12:O12"/>
    <mergeCell ref="E12:I12"/>
    <mergeCell ref="M15:O15"/>
    <mergeCell ref="M13:O13"/>
    <mergeCell ref="J14:L14"/>
    <mergeCell ref="M14:O14"/>
    <mergeCell ref="J13:L13"/>
    <mergeCell ref="E13:I13"/>
    <mergeCell ref="M34:O34"/>
    <mergeCell ref="B2:M2"/>
    <mergeCell ref="B5:O5"/>
    <mergeCell ref="M8:O8"/>
    <mergeCell ref="J8:L8"/>
    <mergeCell ref="E7:I7"/>
    <mergeCell ref="B7:D7"/>
    <mergeCell ref="E8:I8"/>
    <mergeCell ref="J7:L7"/>
    <mergeCell ref="M7:O7"/>
    <mergeCell ref="B8:D8"/>
    <mergeCell ref="M9:O9"/>
    <mergeCell ref="B9:D9"/>
    <mergeCell ref="E9:I9"/>
    <mergeCell ref="J9:L9"/>
    <mergeCell ref="J10:L10"/>
    <mergeCell ref="E10:I10"/>
    <mergeCell ref="M10:O10"/>
    <mergeCell ref="B10:D10"/>
    <mergeCell ref="E15:I15"/>
    <mergeCell ref="B15:D15"/>
    <mergeCell ref="B13:D13"/>
    <mergeCell ref="B12:D12"/>
    <mergeCell ref="J11:L11"/>
    <mergeCell ref="E14:I14"/>
    <mergeCell ref="M23:O24"/>
    <mergeCell ref="B25:D25"/>
    <mergeCell ref="M21:O21"/>
    <mergeCell ref="M22:O22"/>
    <mergeCell ref="B21:D21"/>
    <mergeCell ref="E21:I21"/>
    <mergeCell ref="M19:O19"/>
    <mergeCell ref="J23:L24"/>
    <mergeCell ref="J20:L20"/>
    <mergeCell ref="M20:O20"/>
    <mergeCell ref="M25:O25"/>
    <mergeCell ref="J25:L25"/>
    <mergeCell ref="J21:L21"/>
    <mergeCell ref="E18:I18"/>
    <mergeCell ref="J15:L15"/>
    <mergeCell ref="E19:I19"/>
    <mergeCell ref="B18:D18"/>
    <mergeCell ref="B19:D19"/>
    <mergeCell ref="B14:D14"/>
    <mergeCell ref="M51:O51"/>
    <mergeCell ref="B45:D45"/>
    <mergeCell ref="E45:I45"/>
    <mergeCell ref="J45:L45"/>
    <mergeCell ref="M45:O45"/>
    <mergeCell ref="M46:O46"/>
    <mergeCell ref="B47:D47"/>
    <mergeCell ref="J48:L48"/>
    <mergeCell ref="M48:O48"/>
    <mergeCell ref="M50:O50"/>
    <mergeCell ref="B50:D50"/>
    <mergeCell ref="E50:I50"/>
    <mergeCell ref="B51:D51"/>
    <mergeCell ref="E51:I51"/>
    <mergeCell ref="E46:I46"/>
    <mergeCell ref="J46:L46"/>
    <mergeCell ref="M47:O47"/>
    <mergeCell ref="B48:D48"/>
    <mergeCell ref="E47:I47"/>
    <mergeCell ref="J47:L47"/>
    <mergeCell ref="E48:I48"/>
    <mergeCell ref="M49:O49"/>
    <mergeCell ref="Q36:S36"/>
    <mergeCell ref="M44:O44"/>
    <mergeCell ref="M38:O38"/>
    <mergeCell ref="B39:D39"/>
    <mergeCell ref="E39:I39"/>
    <mergeCell ref="J39:L39"/>
    <mergeCell ref="M39:O39"/>
    <mergeCell ref="M40:O40"/>
    <mergeCell ref="B41:D41"/>
    <mergeCell ref="E41:I41"/>
    <mergeCell ref="J41:L41"/>
    <mergeCell ref="M41:O41"/>
    <mergeCell ref="B37:D37"/>
    <mergeCell ref="E37:I37"/>
    <mergeCell ref="J37:L37"/>
    <mergeCell ref="B40:D40"/>
    <mergeCell ref="E40:I40"/>
    <mergeCell ref="J40:L40"/>
    <mergeCell ref="M37:O37"/>
    <mergeCell ref="M42:O42"/>
    <mergeCell ref="M43:O43"/>
    <mergeCell ref="B44:D44"/>
    <mergeCell ref="E44:I44"/>
  </mergeCells>
  <phoneticPr fontId="31" type="noConversion"/>
  <pageMargins left="0.70866141732283472" right="0.70866141732283472" top="0.74803149606299213" bottom="0.74803149606299213" header="0.31496062992125984" footer="0.31496062992125984"/>
  <pageSetup paperSize="8" orientation="landscape" r:id="rId1"/>
  <headerFooter alignWithMargins="0">
    <oddFooter>&amp;L&amp;F&amp;C&amp;A&amp;RV1.0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1"/>
  </sheetPr>
  <dimension ref="A1:X17"/>
  <sheetViews>
    <sheetView showGridLines="0" topLeftCell="A2" zoomScale="90" zoomScaleNormal="110" zoomScaleSheetLayoutView="100" workbookViewId="0">
      <selection activeCell="I11" sqref="I11:J11"/>
    </sheetView>
  </sheetViews>
  <sheetFormatPr defaultColWidth="11.453125" defaultRowHeight="14.5"/>
  <cols>
    <col min="1" max="1" width="21.26953125" customWidth="1"/>
    <col min="2" max="2" width="19.54296875" customWidth="1"/>
    <col min="3" max="3" width="20.54296875" customWidth="1"/>
    <col min="4" max="4" width="20.453125" customWidth="1"/>
    <col min="5" max="5" width="10.7265625" customWidth="1"/>
    <col min="6" max="6" width="17.453125" customWidth="1"/>
    <col min="7" max="7" width="15.54296875" customWidth="1"/>
    <col min="8" max="8" width="20.26953125" bestFit="1" customWidth="1"/>
    <col min="9" max="9" width="9.453125" customWidth="1"/>
    <col min="10" max="10" width="10.26953125" customWidth="1"/>
    <col min="11" max="11" width="11.453125" customWidth="1"/>
    <col min="12" max="12" width="8.26953125" customWidth="1"/>
    <col min="13" max="13" width="9.7265625" customWidth="1"/>
    <col min="14" max="14" width="8.54296875" customWidth="1"/>
    <col min="15" max="15" width="7.26953125" customWidth="1"/>
  </cols>
  <sheetData>
    <row r="1" spans="1:24" ht="21" customHeight="1">
      <c r="G1" s="130"/>
    </row>
    <row r="2" spans="1:24" ht="25.5" customHeight="1"/>
    <row r="3" spans="1:24" ht="36">
      <c r="B3" s="862" t="str">
        <f>+"Dashboard: "&amp;" "&amp;+IF('Data Input'!B4="Выберите","",'Data Input'!B4&amp;" - ")&amp;+IF('Data Input'!F6="Выберите","",'Data Input'!F6)</f>
        <v>Dashboard:  Kyrgyzstan - ВИЧ/СПИД/ТБ</v>
      </c>
      <c r="C3" s="862"/>
      <c r="D3" s="862"/>
      <c r="E3" s="862"/>
      <c r="F3" s="862"/>
      <c r="G3" s="862"/>
      <c r="H3" s="862"/>
      <c r="I3" s="862"/>
      <c r="J3" s="862"/>
      <c r="K3" s="2"/>
      <c r="L3" s="2"/>
      <c r="M3" s="2"/>
      <c r="N3" s="3"/>
      <c r="O3" s="3"/>
      <c r="P3" s="3"/>
      <c r="Q3" s="3"/>
      <c r="R3" s="3"/>
      <c r="S3" s="3"/>
      <c r="T3" s="3"/>
    </row>
    <row r="4" spans="1:24" ht="15" customHeight="1">
      <c r="L4" s="3"/>
      <c r="M4" s="3"/>
      <c r="N4" s="3"/>
      <c r="O4" s="3"/>
      <c r="P4" s="3"/>
      <c r="Q4" s="3"/>
      <c r="R4" s="3"/>
      <c r="S4" s="3"/>
      <c r="T4" s="3"/>
    </row>
    <row r="5" spans="1:24">
      <c r="L5" s="3"/>
      <c r="M5" s="3"/>
      <c r="N5" s="3"/>
      <c r="O5" s="3"/>
      <c r="P5" s="3"/>
      <c r="Q5" s="3"/>
      <c r="R5" s="3"/>
      <c r="S5" s="3"/>
      <c r="T5" s="3"/>
    </row>
    <row r="6" spans="1:24" ht="32.25" customHeight="1">
      <c r="A6" s="387" t="s">
        <v>291</v>
      </c>
      <c r="B6" s="863" t="str">
        <f>+IF('Data Input'!B4="Выберите","",'Data Input'!B4)</f>
        <v>Kyrgyzstan</v>
      </c>
      <c r="C6" s="863"/>
      <c r="D6" s="866" t="s">
        <v>556</v>
      </c>
      <c r="E6" s="866"/>
      <c r="F6" s="867" t="str">
        <f>+'Data Input'!F4</f>
        <v>“Effective control of HIV infection and tuberculosis in the Kyrgyz Republic”</v>
      </c>
      <c r="G6" s="867"/>
      <c r="H6" s="867"/>
      <c r="I6" s="867"/>
      <c r="J6" s="867"/>
      <c r="K6" s="32"/>
      <c r="L6" s="52"/>
      <c r="M6" s="32"/>
      <c r="N6" s="32"/>
      <c r="O6" s="32"/>
      <c r="P6" s="33"/>
      <c r="Q6" s="12"/>
      <c r="R6" s="12"/>
      <c r="S6" s="12"/>
      <c r="T6" s="12"/>
      <c r="U6" s="12"/>
    </row>
    <row r="7" spans="1:24" ht="8.25" customHeight="1">
      <c r="B7" s="4"/>
      <c r="C7" s="5"/>
      <c r="D7" s="5"/>
      <c r="E7" s="6"/>
      <c r="F7" s="6"/>
      <c r="G7" s="5"/>
      <c r="H7" s="5"/>
      <c r="K7" s="32"/>
      <c r="L7" s="32"/>
      <c r="M7" s="32"/>
      <c r="N7" s="32"/>
      <c r="O7" s="32"/>
      <c r="P7" s="33"/>
      <c r="Q7" s="12"/>
      <c r="R7" s="12"/>
      <c r="S7" s="12"/>
      <c r="T7" s="12"/>
      <c r="U7" s="12"/>
    </row>
    <row r="8" spans="1:24" ht="3.75" customHeight="1">
      <c r="C8" s="7"/>
      <c r="D8" s="7"/>
      <c r="E8" s="7"/>
      <c r="F8" s="7"/>
      <c r="G8" s="7"/>
      <c r="H8" s="7"/>
      <c r="I8" s="7"/>
      <c r="J8" s="7"/>
      <c r="K8" s="32"/>
      <c r="L8" s="32"/>
      <c r="M8" s="32"/>
      <c r="N8" s="32"/>
      <c r="O8" s="34"/>
      <c r="P8" s="33"/>
      <c r="Q8" s="34"/>
      <c r="R8" s="35"/>
      <c r="S8" s="12"/>
      <c r="T8" s="12"/>
      <c r="U8" s="12"/>
    </row>
    <row r="9" spans="1:24" ht="15.5">
      <c r="A9" s="386" t="s">
        <v>557</v>
      </c>
      <c r="B9" s="194" t="str">
        <f>+IF('Data Input'!F6="Please Select","",'Data Input'!F6)</f>
        <v>ВИЧ/СПИД/ТБ</v>
      </c>
      <c r="C9" s="108" t="s">
        <v>562</v>
      </c>
      <c r="D9" s="161" t="str">
        <f>+'Data Input'!B6</f>
        <v>KGZ-C-UNDP</v>
      </c>
      <c r="E9" s="865" t="s">
        <v>563</v>
      </c>
      <c r="F9" s="865"/>
      <c r="G9" s="162">
        <f>+IF(ISBLANK('Data Input'!B10),"",'Data Input'!B10)</f>
        <v>44197</v>
      </c>
      <c r="H9" s="204" t="s">
        <v>565</v>
      </c>
      <c r="I9" s="864" t="str">
        <f>+IF(ISBLANK('Data Input'!H6),"",'Data Input'!H6)</f>
        <v xml:space="preserve">34061297
</v>
      </c>
      <c r="J9" s="864"/>
      <c r="K9" s="32"/>
      <c r="L9" s="32"/>
      <c r="M9" s="32"/>
      <c r="N9" s="32"/>
      <c r="O9" s="34"/>
      <c r="P9" s="33"/>
      <c r="Q9" s="34"/>
      <c r="R9" s="35"/>
      <c r="S9" s="12"/>
      <c r="T9" s="8"/>
      <c r="U9" s="8"/>
      <c r="V9" s="7"/>
      <c r="W9" s="7"/>
      <c r="X9" s="7"/>
    </row>
    <row r="10" spans="1:24" ht="15.75" customHeight="1">
      <c r="A10" s="386" t="s">
        <v>558</v>
      </c>
      <c r="B10" s="195">
        <f>+IF('Data Input'!F8="Please Select","",'Data Input'!F8)</f>
        <v>0</v>
      </c>
      <c r="C10" s="108" t="s">
        <v>301</v>
      </c>
      <c r="D10" s="193">
        <f>+IF('Data Input'!H8="Please Select","",'Data Input'!H8)</f>
        <v>0</v>
      </c>
      <c r="E10" s="857" t="s">
        <v>564</v>
      </c>
      <c r="F10" s="858"/>
      <c r="G10" s="856" t="str">
        <f>+'Data Input'!B8</f>
        <v>UNDP</v>
      </c>
      <c r="H10" s="856"/>
      <c r="I10" s="856"/>
      <c r="J10" s="856"/>
      <c r="K10" s="12"/>
      <c r="L10" s="12"/>
      <c r="M10" s="32"/>
      <c r="N10" s="12"/>
      <c r="O10" s="34"/>
      <c r="P10" s="33"/>
      <c r="Q10" s="8"/>
      <c r="R10" s="35"/>
      <c r="S10" s="12"/>
      <c r="T10" s="8"/>
      <c r="U10" s="8"/>
    </row>
    <row r="11" spans="1:24" ht="31.5" customHeight="1">
      <c r="A11" s="386" t="s">
        <v>559</v>
      </c>
      <c r="B11" s="385" t="str">
        <f>+'Data Input'!B16</f>
        <v>P3</v>
      </c>
      <c r="C11" s="157" t="s">
        <v>305</v>
      </c>
      <c r="D11" s="388">
        <f>+IF(ISBLANK('Data Input'!D16),"",'Data Input'!D16)</f>
        <v>44927</v>
      </c>
      <c r="E11" s="865" t="s">
        <v>306</v>
      </c>
      <c r="F11" s="865"/>
      <c r="G11" s="388">
        <f>+IF(ISBLANK('Data Input'!F16),"",'Data Input'!F16)</f>
        <v>45291</v>
      </c>
      <c r="H11" s="203" t="s">
        <v>1030</v>
      </c>
      <c r="I11" s="859" t="str">
        <f>+IF('Data Input'!B12="Пожалуйста Выберите","",'Data Input'!B12)</f>
        <v>C</v>
      </c>
      <c r="J11" s="859"/>
      <c r="K11" s="53"/>
      <c r="L11" s="12"/>
      <c r="M11" s="32"/>
      <c r="N11" s="12"/>
      <c r="O11" s="12"/>
      <c r="P11" s="33"/>
      <c r="Q11" s="8"/>
      <c r="R11" s="35"/>
      <c r="S11" s="12"/>
      <c r="T11" s="9"/>
      <c r="U11" s="8"/>
    </row>
    <row r="12" spans="1:24" ht="31.5" customHeight="1">
      <c r="A12" s="197" t="s">
        <v>560</v>
      </c>
      <c r="B12" s="856" t="str">
        <f>+IF('Data Input'!F10="Пожалуйста Выберите","",'Data Input'!F10)</f>
        <v>UNOPS</v>
      </c>
      <c r="C12" s="856"/>
      <c r="D12" s="856"/>
      <c r="E12" s="860" t="s">
        <v>566</v>
      </c>
      <c r="F12" s="860"/>
      <c r="G12" s="856" t="str">
        <f>+'Data Input'!F12</f>
        <v>Corina Maxim</v>
      </c>
      <c r="H12" s="856"/>
      <c r="I12" s="856"/>
      <c r="J12" s="856"/>
      <c r="K12" s="12"/>
      <c r="L12" s="12"/>
      <c r="M12" s="32"/>
      <c r="N12" s="12"/>
      <c r="O12" s="12"/>
      <c r="P12" s="33"/>
      <c r="Q12" s="8"/>
      <c r="R12" s="35"/>
      <c r="S12" s="12"/>
      <c r="T12" s="8"/>
      <c r="U12" s="36"/>
      <c r="V12" s="8"/>
      <c r="W12" s="9"/>
      <c r="X12" s="8"/>
    </row>
    <row r="13" spans="1:24" ht="27.75" customHeight="1">
      <c r="A13" s="196" t="s">
        <v>561</v>
      </c>
      <c r="B13" s="856" t="str">
        <f>+'Data Input'!C18</f>
        <v>UNDP</v>
      </c>
      <c r="C13" s="856"/>
      <c r="D13" s="856"/>
      <c r="E13" s="860" t="s">
        <v>567</v>
      </c>
      <c r="F13" s="860"/>
      <c r="G13" s="861">
        <f>+IF(ISBLANK('Data Input'!I16),"",'Data Input'!I16)</f>
        <v>45484</v>
      </c>
      <c r="H13" s="858"/>
      <c r="I13" s="858"/>
      <c r="J13" s="858"/>
      <c r="K13" s="12"/>
      <c r="L13" s="13"/>
      <c r="M13" s="13"/>
      <c r="N13" s="13"/>
      <c r="O13" s="12"/>
      <c r="P13" s="13"/>
      <c r="Q13" s="13"/>
      <c r="R13" s="35"/>
      <c r="S13" s="12"/>
      <c r="T13" s="13"/>
      <c r="U13" s="37"/>
    </row>
    <row r="14" spans="1:24">
      <c r="A14" s="11"/>
      <c r="B14" s="11"/>
      <c r="C14" s="10"/>
      <c r="D14" s="10"/>
      <c r="E14" s="10"/>
      <c r="F14" s="10"/>
      <c r="L14" s="10"/>
      <c r="M14" s="10"/>
      <c r="N14" s="10"/>
      <c r="O14" s="10"/>
      <c r="P14" s="10"/>
      <c r="Q14" s="10"/>
      <c r="R14" s="10"/>
      <c r="S14" s="10"/>
      <c r="T14" s="10"/>
      <c r="U14" s="10"/>
    </row>
    <row r="15" spans="1:24">
      <c r="A15" s="10"/>
      <c r="B15" s="10"/>
      <c r="C15" s="10"/>
      <c r="D15" s="10"/>
      <c r="E15" s="10"/>
      <c r="F15" s="10"/>
      <c r="L15" s="10"/>
      <c r="M15" s="10"/>
      <c r="N15" s="10"/>
      <c r="O15" s="10"/>
      <c r="P15" s="10"/>
      <c r="Q15" s="10"/>
      <c r="R15" s="10"/>
      <c r="S15" s="10"/>
      <c r="T15" s="10"/>
      <c r="U15" s="10"/>
    </row>
    <row r="16" spans="1:24">
      <c r="A16" s="10"/>
      <c r="B16" s="10"/>
      <c r="C16" s="115"/>
      <c r="D16" s="10"/>
      <c r="E16" s="350"/>
      <c r="L16" s="10"/>
      <c r="M16" s="10"/>
      <c r="N16" s="10"/>
      <c r="O16" s="10"/>
      <c r="P16" s="10"/>
      <c r="Q16" s="10"/>
      <c r="R16" s="10"/>
      <c r="S16" s="10"/>
      <c r="T16" s="10"/>
      <c r="U16" s="10"/>
    </row>
    <row r="17" spans="1:5">
      <c r="A17" s="10"/>
      <c r="B17" s="10"/>
      <c r="C17" s="10"/>
      <c r="D17" s="10"/>
      <c r="E17" s="10"/>
    </row>
  </sheetData>
  <dataConsolidate/>
  <mergeCells count="16">
    <mergeCell ref="B3:J3"/>
    <mergeCell ref="B12:D12"/>
    <mergeCell ref="B6:C6"/>
    <mergeCell ref="I9:J9"/>
    <mergeCell ref="E11:F11"/>
    <mergeCell ref="E12:F12"/>
    <mergeCell ref="D6:E6"/>
    <mergeCell ref="F6:J6"/>
    <mergeCell ref="E9:F9"/>
    <mergeCell ref="G10:J10"/>
    <mergeCell ref="B13:D13"/>
    <mergeCell ref="E10:F10"/>
    <mergeCell ref="I11:J11"/>
    <mergeCell ref="G12:J12"/>
    <mergeCell ref="E13:F13"/>
    <mergeCell ref="G13:J13"/>
  </mergeCells>
  <phoneticPr fontId="31" type="noConversion"/>
  <conditionalFormatting sqref="I11:J11">
    <cfRule type="cellIs" dxfId="68" priority="1" stopIfTrue="1" operator="equal">
      <formula>"C"</formula>
    </cfRule>
    <cfRule type="cellIs" dxfId="67" priority="2" stopIfTrue="1" operator="equal">
      <formula>"B2"</formula>
    </cfRule>
    <cfRule type="cellIs" dxfId="66" priority="3" stopIfTrue="1" operator="equal">
      <formula>"B1"</formula>
    </cfRule>
  </conditionalFormatting>
  <dataValidations count="1">
    <dataValidation type="list" allowBlank="1" showInputMessage="1" showErrorMessage="1" sqref="G7" xr:uid="{00000000-0002-0000-0300-000000000000}">
      <formula1>$K$8:$K$9</formula1>
    </dataValidation>
  </dataValidations>
  <pageMargins left="0.70866141732283472" right="0.70866141732283472" top="0.74803149606299213" bottom="0.74803149606299213" header="0.31496062992125984" footer="0.31496062992125984"/>
  <pageSetup paperSize="8" scale="92" orientation="landscape" r:id="rId1"/>
  <headerFooter>
    <oddFooter>&amp;L&amp;F&amp;C&amp;A&amp;RV1.0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1"/>
  </sheetPr>
  <dimension ref="B1:Q36"/>
  <sheetViews>
    <sheetView showGridLines="0" topLeftCell="A14" zoomScale="130" zoomScaleNormal="130" workbookViewId="0">
      <selection activeCell="T9" sqref="T9"/>
    </sheetView>
  </sheetViews>
  <sheetFormatPr defaultColWidth="11" defaultRowHeight="14.5"/>
  <cols>
    <col min="1" max="1" width="3.7265625" customWidth="1"/>
    <col min="2" max="2" width="11.7265625" customWidth="1"/>
    <col min="3" max="3" width="5.26953125" customWidth="1"/>
    <col min="4" max="4" width="12.453125" customWidth="1"/>
    <col min="5" max="5" width="11.453125" customWidth="1"/>
    <col min="6" max="6" width="14.26953125" customWidth="1"/>
    <col min="7" max="9" width="3.7265625" customWidth="1"/>
    <col min="10" max="10" width="10.26953125" customWidth="1"/>
    <col min="11" max="11" width="14.7265625" customWidth="1"/>
    <col min="12" max="12" width="12" customWidth="1"/>
    <col min="13" max="13" width="11.7265625" customWidth="1"/>
  </cols>
  <sheetData>
    <row r="1" spans="2:17" ht="30.75" customHeight="1"/>
    <row r="2" spans="2:17" ht="27.75" customHeight="1">
      <c r="B2" s="881" t="str">
        <f>+"Dashboard:  "&amp;"  "&amp;IF(+'Data Input'!B4="Выберите","",'Data Input'!B4&amp;" - ")&amp;IF('Data Input'!F6="Выберите","",'Data Input'!F6)</f>
        <v>Dashboard:    Kyrgyzstan - ВИЧ/СПИД/ТБ</v>
      </c>
      <c r="C2" s="881"/>
      <c r="D2" s="881"/>
      <c r="E2" s="881"/>
      <c r="F2" s="881"/>
      <c r="G2" s="881"/>
      <c r="H2" s="881"/>
      <c r="I2" s="881"/>
      <c r="J2" s="881"/>
      <c r="K2" s="881"/>
      <c r="L2" s="881"/>
      <c r="M2" s="881"/>
      <c r="N2" s="1"/>
      <c r="O2" s="1"/>
      <c r="P2" s="1"/>
      <c r="Q2" s="1"/>
    </row>
    <row r="3" spans="2:17">
      <c r="B3" s="198">
        <f>+IF('Data Input'!F8="Выберите","",'Data Input'!F8)</f>
        <v>0</v>
      </c>
      <c r="C3" s="886"/>
      <c r="D3" s="886"/>
      <c r="E3" s="885"/>
      <c r="F3" s="885"/>
      <c r="G3" s="885"/>
      <c r="H3" s="885"/>
      <c r="I3" s="885"/>
      <c r="J3" s="885"/>
      <c r="K3" s="883" t="str">
        <f>+'Data Input'!A16</f>
        <v xml:space="preserve">Reporting period: </v>
      </c>
      <c r="L3" s="883"/>
      <c r="M3" s="93" t="str">
        <f>+'Data Input'!B16</f>
        <v>P3</v>
      </c>
      <c r="N3" s="53"/>
    </row>
    <row r="4" spans="2:17">
      <c r="B4" s="205" t="str">
        <f>+'Data Input'!A12</f>
        <v>Last evaluation:</v>
      </c>
      <c r="C4" s="887" t="str">
        <f>+IF('Data Input'!B12="Выберите","",'Data Input'!B12)</f>
        <v>C</v>
      </c>
      <c r="D4" s="887"/>
      <c r="E4" s="885" t="str">
        <f>+'Data Input'!B8</f>
        <v>UNDP</v>
      </c>
      <c r="F4" s="885"/>
      <c r="G4" s="885"/>
      <c r="H4" s="885"/>
      <c r="I4" s="885"/>
      <c r="J4" s="885"/>
      <c r="K4" s="883" t="str">
        <f>+'Data Input'!C16</f>
        <v>from:</v>
      </c>
      <c r="L4" s="884"/>
      <c r="M4" s="94">
        <f>+IF(ISBLANK('Data Input'!D16),"",'Data Input'!D16)</f>
        <v>44927</v>
      </c>
    </row>
    <row r="5" spans="2:17" ht="18.75" customHeight="1">
      <c r="B5" s="84"/>
      <c r="C5" s="84"/>
      <c r="D5" s="882" t="str">
        <f>+'Data Input'!F4</f>
        <v>“Effective control of HIV infection and tuberculosis in the Kyrgyz Republic”</v>
      </c>
      <c r="E5" s="882"/>
      <c r="F5" s="882"/>
      <c r="G5" s="882"/>
      <c r="H5" s="882"/>
      <c r="I5" s="882"/>
      <c r="J5" s="882"/>
      <c r="K5" s="882"/>
      <c r="L5" s="84" t="str">
        <f>+'Data Input'!E16</f>
        <v>to:</v>
      </c>
      <c r="M5" s="94">
        <f>+IF(ISBLANK('Data Input'!F16),"",'Data Input'!F16)</f>
        <v>45291</v>
      </c>
    </row>
    <row r="6" spans="2:17" ht="18.5">
      <c r="B6" s="15"/>
      <c r="C6" s="84"/>
      <c r="D6" s="82"/>
      <c r="E6" s="888" t="s">
        <v>568</v>
      </c>
      <c r="F6" s="888"/>
      <c r="G6" s="888"/>
      <c r="H6" s="888"/>
      <c r="I6" s="888"/>
      <c r="J6" s="888"/>
    </row>
    <row r="7" spans="2:17" ht="10.5" customHeight="1">
      <c r="B7" s="15"/>
      <c r="C7" s="84"/>
      <c r="D7" s="85"/>
      <c r="E7" s="86"/>
      <c r="F7" s="86"/>
      <c r="G7" s="86"/>
      <c r="H7" s="86"/>
      <c r="I7" s="86"/>
      <c r="J7" s="86"/>
      <c r="K7" s="389"/>
      <c r="L7" s="389"/>
      <c r="M7" s="83"/>
    </row>
    <row r="8" spans="2:17">
      <c r="B8" s="97" t="str">
        <f>+'Data Input'!A27&amp; " - в ("&amp;'Data Input'!C26&amp;")  "&amp;+K3&amp;" "&amp;+M3</f>
        <v>F1: Budget and Global Fund disbursements - в ($)  Reporting period:  P3</v>
      </c>
      <c r="C8" s="87"/>
      <c r="J8" s="97" t="str">
        <f>+'Data Input'!A66&amp; " - в ("&amp;'Data Input'!C26&amp;")         "&amp;+K3&amp;" "&amp;+M3</f>
        <v>F3: Payments and expenses - в ($)         Reporting period:  P3</v>
      </c>
    </row>
    <row r="9" spans="2:17" ht="123.65" customHeight="1">
      <c r="B9" s="163" t="s">
        <v>569</v>
      </c>
      <c r="C9" s="868" t="s">
        <v>1035</v>
      </c>
      <c r="D9" s="869"/>
      <c r="E9" s="869"/>
      <c r="F9" s="870"/>
      <c r="J9" s="164" t="s">
        <v>569</v>
      </c>
      <c r="K9" s="871" t="s">
        <v>1027</v>
      </c>
      <c r="L9" s="869"/>
      <c r="M9" s="870"/>
    </row>
    <row r="22" spans="2:13" ht="17.25" customHeight="1">
      <c r="B22" s="97" t="str">
        <f>+'Data Input'!A36&amp; " - в ("&amp;'Data Input'!C26&amp;")  "&amp;+K3&amp;" "&amp;+M3</f>
        <v>F2: Budget and actual expenses according to grant objectives - в ($)  Reporting period:  P3</v>
      </c>
      <c r="J22" s="97" t="str">
        <f>+'Data Input'!A75&amp;"      "&amp;+K3&amp;" "&amp;+M3</f>
        <v>F4: Last reporting and payment cycle of the PR      Reporting period:  P3</v>
      </c>
    </row>
    <row r="23" spans="2:13" ht="53.5" customHeight="1">
      <c r="B23" s="164" t="s">
        <v>569</v>
      </c>
      <c r="C23" s="874" t="s">
        <v>1028</v>
      </c>
      <c r="D23" s="875"/>
      <c r="E23" s="875"/>
      <c r="F23" s="876"/>
      <c r="G23" s="175"/>
      <c r="H23" s="175"/>
      <c r="I23" s="175"/>
      <c r="J23" s="164" t="s">
        <v>569</v>
      </c>
      <c r="K23" s="871" t="s">
        <v>1029</v>
      </c>
      <c r="L23" s="872"/>
      <c r="M23" s="873"/>
    </row>
    <row r="24" spans="2:13" ht="15" thickBot="1">
      <c r="B24" s="104"/>
      <c r="C24" s="104"/>
      <c r="D24" s="104"/>
      <c r="E24" s="104"/>
      <c r="F24" s="104"/>
      <c r="G24" s="104"/>
      <c r="H24" s="104"/>
      <c r="I24" s="104"/>
      <c r="J24" s="104"/>
      <c r="K24" s="104"/>
      <c r="L24" s="104"/>
      <c r="M24" s="104"/>
    </row>
    <row r="25" spans="2:13" ht="29.25" customHeight="1" thickBot="1">
      <c r="G25" s="155"/>
      <c r="H25" s="155"/>
      <c r="I25" s="155"/>
      <c r="J25" s="889" t="s">
        <v>359</v>
      </c>
      <c r="K25" s="890"/>
      <c r="L25" s="890"/>
      <c r="M25" s="891"/>
    </row>
    <row r="26" spans="2:13">
      <c r="J26" s="892"/>
      <c r="K26" s="893"/>
      <c r="L26" s="144" t="s">
        <v>361</v>
      </c>
      <c r="M26" s="145" t="s">
        <v>362</v>
      </c>
    </row>
    <row r="27" spans="2:13" ht="26.15" customHeight="1">
      <c r="G27" s="156"/>
      <c r="H27" s="156"/>
      <c r="I27" s="156"/>
      <c r="J27" s="877" t="str">
        <f>'Data Input'!A79</f>
        <v xml:space="preserve">How many days did it take to submit the FAR/FTR to the LFA office? </v>
      </c>
      <c r="K27" s="878"/>
      <c r="L27" s="146">
        <f>+'Data Input'!C79</f>
        <v>60</v>
      </c>
      <c r="M27" s="143">
        <f>+'Data Input'!D79</f>
        <v>60</v>
      </c>
    </row>
    <row r="28" spans="2:13" ht="30.75" customHeight="1">
      <c r="G28" s="156"/>
      <c r="H28" s="156"/>
      <c r="I28" s="156"/>
      <c r="J28" s="877" t="str">
        <f>'Data Input'!A80</f>
        <v>How many days later did the PR receive the payment?</v>
      </c>
      <c r="K28" s="878"/>
      <c r="L28" s="146" t="str">
        <f>+'Data Input'!C80</f>
        <v>n/a</v>
      </c>
      <c r="M28" s="143" t="str">
        <f>+'Data Input'!D80</f>
        <v>n/a</v>
      </c>
    </row>
    <row r="29" spans="2:13" ht="25.5" customHeight="1" thickBot="1">
      <c r="G29" s="156"/>
      <c r="H29" s="156"/>
      <c r="I29" s="156"/>
      <c r="J29" s="879" t="str">
        <f>'Data Input'!A81</f>
        <v>How many days later did sub-recipients receive payments?</v>
      </c>
      <c r="K29" s="880"/>
      <c r="L29" s="147" t="str">
        <f>+'Data Input'!C81</f>
        <v>n/a</v>
      </c>
      <c r="M29" s="148" t="str">
        <f>+'Data Input'!D81</f>
        <v>n/a</v>
      </c>
    </row>
    <row r="31" spans="2:13">
      <c r="D31" s="116"/>
    </row>
    <row r="32" spans="2:13">
      <c r="D32" s="116"/>
    </row>
    <row r="34" spans="2:2">
      <c r="B34" s="100" t="s">
        <v>53</v>
      </c>
    </row>
    <row r="35" spans="2:2">
      <c r="B35" s="110"/>
    </row>
    <row r="36" spans="2:2">
      <c r="B36" s="100" t="s">
        <v>54</v>
      </c>
    </row>
  </sheetData>
  <mergeCells count="18">
    <mergeCell ref="J29:K29"/>
    <mergeCell ref="B2:M2"/>
    <mergeCell ref="D5:K5"/>
    <mergeCell ref="K4:L4"/>
    <mergeCell ref="K3:L3"/>
    <mergeCell ref="E3:J3"/>
    <mergeCell ref="C3:D3"/>
    <mergeCell ref="C4:D4"/>
    <mergeCell ref="E4:J4"/>
    <mergeCell ref="E6:J6"/>
    <mergeCell ref="J25:M25"/>
    <mergeCell ref="J26:K26"/>
    <mergeCell ref="J27:K27"/>
    <mergeCell ref="C9:F9"/>
    <mergeCell ref="K23:M23"/>
    <mergeCell ref="C23:F23"/>
    <mergeCell ref="K9:M9"/>
    <mergeCell ref="J28:K28"/>
  </mergeCells>
  <phoneticPr fontId="31" type="noConversion"/>
  <conditionalFormatting sqref="C4:D4">
    <cfRule type="cellIs" dxfId="65" priority="3" stopIfTrue="1" operator="equal">
      <formula>"C"</formula>
    </cfRule>
    <cfRule type="cellIs" dxfId="64" priority="4" stopIfTrue="1" operator="equal">
      <formula>"B2"</formula>
    </cfRule>
    <cfRule type="cellIs" dxfId="63" priority="5" stopIfTrue="1" operator="equal">
      <formula>"B1"</formula>
    </cfRule>
  </conditionalFormatting>
  <conditionalFormatting sqref="M27:M29">
    <cfRule type="expression" dxfId="62" priority="1" stopIfTrue="1">
      <formula>$M27&gt;$L27</formula>
    </cfRule>
    <cfRule type="expression" dxfId="61" priority="2" stopIfTrue="1">
      <formula>$M27&lt;=$L27</formula>
    </cfRule>
  </conditionalFormatting>
  <pageMargins left="0.70866141732283472" right="0.70866141732283472" top="0.74803149606299213" bottom="0.74803149606299213" header="0.31496062992125984" footer="0.31496062992125984"/>
  <pageSetup paperSize="8" scale="97" orientation="landscape" r:id="rId1"/>
  <headerFooter>
    <oddFooter>&amp;L&amp;F&amp;C&amp;A&amp;RV1.0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1"/>
  </sheetPr>
  <dimension ref="B1:AI71"/>
  <sheetViews>
    <sheetView showGridLines="0" topLeftCell="D51" zoomScale="70" zoomScaleNormal="70" workbookViewId="0">
      <selection activeCell="L54" sqref="L54:Q54"/>
    </sheetView>
  </sheetViews>
  <sheetFormatPr defaultColWidth="11" defaultRowHeight="14.5"/>
  <cols>
    <col min="1" max="1" width="3.453125" customWidth="1"/>
    <col min="2" max="2" width="14.26953125" customWidth="1"/>
    <col min="3" max="3" width="16.26953125" customWidth="1"/>
    <col min="4" max="4" width="26.26953125" customWidth="1"/>
    <col min="5" max="5" width="17.453125" customWidth="1"/>
    <col min="6" max="6" width="11.54296875" customWidth="1"/>
    <col min="7" max="7" width="5.7265625" customWidth="1"/>
    <col min="8" max="8" width="6.26953125" customWidth="1"/>
    <col min="9" max="9" width="6" customWidth="1"/>
    <col min="10" max="10" width="5.54296875" customWidth="1"/>
    <col min="11" max="11" width="37.1796875" customWidth="1"/>
    <col min="12" max="12" width="12.26953125" customWidth="1"/>
    <col min="13" max="13" width="5" customWidth="1"/>
    <col min="14" max="14" width="6.54296875" customWidth="1"/>
    <col min="15" max="15" width="4.26953125" customWidth="1"/>
    <col min="16" max="16" width="10.7265625" customWidth="1"/>
    <col min="17" max="17" width="53" customWidth="1"/>
    <col min="18" max="18" width="87.26953125" customWidth="1"/>
    <col min="19" max="19" width="21.453125" customWidth="1"/>
  </cols>
  <sheetData>
    <row r="1" spans="2:35" ht="26.25" customHeight="1"/>
    <row r="2" spans="2:35" ht="21.75" customHeight="1">
      <c r="B2" s="894" t="str">
        <f>+"Dashboard:  "&amp;"  "&amp;IF(+'Data Input'!B4="Выберите","",'Data Input'!B4&amp;" - ")&amp;IF('Data Input'!F6="Выберите","",'Data Input'!F6)</f>
        <v>Dashboard:    Kyrgyzstan - ВИЧ/СПИД/ТБ</v>
      </c>
      <c r="C2" s="894"/>
      <c r="D2" s="894"/>
      <c r="E2" s="894"/>
      <c r="F2" s="894"/>
      <c r="G2" s="894"/>
      <c r="H2" s="894"/>
      <c r="I2" s="894"/>
      <c r="J2" s="894"/>
      <c r="K2" s="894"/>
      <c r="L2" s="894"/>
      <c r="M2" s="894"/>
      <c r="N2" s="894"/>
      <c r="O2" s="894"/>
      <c r="P2" s="894"/>
      <c r="Q2" s="894"/>
    </row>
    <row r="3" spans="2:35" ht="18.5">
      <c r="B3" s="84">
        <f>+IF('Data Input'!F8="Выберите","",'Data Input'!F8)</f>
        <v>0</v>
      </c>
      <c r="C3" s="886">
        <f>+IF('Data Input'!H8="Выберите","",'Data Input'!H8)</f>
        <v>0</v>
      </c>
      <c r="D3" s="886"/>
      <c r="E3" s="885"/>
      <c r="F3" s="885"/>
      <c r="G3" s="885"/>
      <c r="H3" s="885"/>
      <c r="I3" s="628"/>
      <c r="J3" s="628"/>
      <c r="K3" s="628"/>
      <c r="O3" s="883" t="str">
        <f>+'Data Input'!A16</f>
        <v xml:space="preserve">Reporting period: </v>
      </c>
      <c r="P3" s="883"/>
      <c r="Q3" s="93" t="str">
        <f>+'Data Input'!B16</f>
        <v>P3</v>
      </c>
    </row>
    <row r="4" spans="2:35">
      <c r="B4" s="207" t="str">
        <f>+'Data Input'!A12</f>
        <v>Last evaluation:</v>
      </c>
      <c r="C4" s="896" t="str">
        <f>+IF('Data Input'!B12="Выберите","",'Data Input'!B12)</f>
        <v>C</v>
      </c>
      <c r="D4" s="896"/>
      <c r="E4" s="885" t="str">
        <f>+'Data Input'!B8</f>
        <v>UNDP</v>
      </c>
      <c r="F4" s="885"/>
      <c r="G4" s="885"/>
      <c r="H4" s="885"/>
      <c r="I4" s="885"/>
      <c r="J4" s="885"/>
      <c r="K4" s="885"/>
      <c r="L4" s="885"/>
      <c r="O4" s="15"/>
      <c r="P4" s="84" t="str">
        <f>+'Data Input'!C16</f>
        <v>from:</v>
      </c>
      <c r="Q4" s="440">
        <v>44927</v>
      </c>
      <c r="Y4" s="12"/>
      <c r="Z4" s="12"/>
      <c r="AA4" s="12"/>
      <c r="AB4" s="12"/>
      <c r="AC4" s="12"/>
    </row>
    <row r="5" spans="2:35" ht="15.75" customHeight="1">
      <c r="B5" s="84"/>
      <c r="C5" s="84"/>
      <c r="D5" s="885" t="str">
        <f>+'Data Input'!F4</f>
        <v>“Effective control of HIV infection and tuberculosis in the Kyrgyz Republic”</v>
      </c>
      <c r="E5" s="885"/>
      <c r="F5" s="885"/>
      <c r="G5" s="885"/>
      <c r="H5" s="885"/>
      <c r="I5" s="885"/>
      <c r="J5" s="885"/>
      <c r="K5" s="885"/>
      <c r="L5" s="885"/>
      <c r="M5" s="885"/>
      <c r="N5" s="885"/>
      <c r="P5" s="84" t="str">
        <f>+'Data Input'!E16</f>
        <v>to:</v>
      </c>
      <c r="Q5" s="440">
        <v>45291</v>
      </c>
      <c r="S5" s="109"/>
      <c r="T5" s="109"/>
      <c r="U5" s="109"/>
      <c r="V5" s="109"/>
      <c r="W5" s="109"/>
      <c r="X5" s="109"/>
      <c r="Y5" s="12"/>
      <c r="Z5" s="12"/>
      <c r="AA5" s="12" t="s">
        <v>55</v>
      </c>
      <c r="AB5" s="12"/>
      <c r="AC5" s="12" t="s">
        <v>56</v>
      </c>
      <c r="AD5" s="109"/>
      <c r="AE5" s="109"/>
      <c r="AF5" s="109"/>
      <c r="AG5" s="109"/>
      <c r="AH5" s="109"/>
      <c r="AI5" s="109"/>
    </row>
    <row r="6" spans="2:35" ht="15.75" customHeight="1">
      <c r="B6" s="84"/>
      <c r="C6" s="84"/>
      <c r="D6" s="390"/>
      <c r="E6" s="897" t="s">
        <v>662</v>
      </c>
      <c r="F6" s="898"/>
      <c r="G6" s="898"/>
      <c r="H6" s="898"/>
      <c r="I6" s="898"/>
      <c r="J6" s="898"/>
      <c r="K6" s="898"/>
      <c r="L6" s="898"/>
      <c r="O6" s="95"/>
      <c r="P6" s="282"/>
      <c r="S6" s="109"/>
      <c r="T6" s="109"/>
      <c r="U6" s="109"/>
      <c r="V6" s="109"/>
      <c r="W6" s="109"/>
      <c r="X6" s="109"/>
      <c r="Y6" s="12"/>
      <c r="Z6" s="12"/>
      <c r="AA6" s="12"/>
      <c r="AB6" s="12"/>
      <c r="AC6" s="12"/>
      <c r="AD6" s="109"/>
      <c r="AE6" s="109"/>
      <c r="AF6" s="109"/>
      <c r="AG6" s="109"/>
      <c r="AH6" s="109"/>
      <c r="AI6" s="109"/>
    </row>
    <row r="7" spans="2:35" ht="3" customHeight="1">
      <c r="B7" s="84"/>
      <c r="C7" s="84"/>
      <c r="D7" s="390"/>
      <c r="E7" s="390"/>
      <c r="F7" s="390"/>
      <c r="G7" s="390"/>
      <c r="H7" s="390"/>
      <c r="I7" s="390"/>
      <c r="J7" s="390"/>
      <c r="K7" s="390"/>
      <c r="L7" s="390"/>
      <c r="O7" s="95"/>
      <c r="P7" s="94"/>
      <c r="Q7" s="94"/>
      <c r="S7" s="109"/>
      <c r="T7" s="109"/>
      <c r="U7" s="109"/>
      <c r="V7" s="109"/>
      <c r="W7" s="109"/>
      <c r="X7" s="109"/>
      <c r="Y7" s="12"/>
      <c r="Z7" s="12"/>
      <c r="AA7" s="12"/>
      <c r="AB7" s="12"/>
      <c r="AC7" s="12"/>
      <c r="AD7" s="109"/>
      <c r="AE7" s="109"/>
      <c r="AF7" s="109"/>
      <c r="AG7" s="109"/>
      <c r="AH7" s="109"/>
      <c r="AI7" s="109"/>
    </row>
    <row r="8" spans="2:35" ht="60.75" customHeight="1">
      <c r="B8" s="899" t="s">
        <v>435</v>
      </c>
      <c r="C8" s="899"/>
      <c r="D8" s="899"/>
      <c r="E8" s="899"/>
      <c r="F8" s="899" t="s">
        <v>440</v>
      </c>
      <c r="G8" s="899"/>
      <c r="H8" s="899"/>
      <c r="I8" s="899"/>
      <c r="J8" s="899"/>
      <c r="K8" s="899"/>
      <c r="L8" s="899" t="s">
        <v>570</v>
      </c>
      <c r="M8" s="899"/>
      <c r="N8" s="899"/>
      <c r="O8" s="899"/>
      <c r="P8" s="899"/>
      <c r="Q8" s="899"/>
      <c r="S8" s="109"/>
      <c r="T8" s="109"/>
      <c r="U8" s="109"/>
      <c r="V8" s="109"/>
      <c r="W8" s="109"/>
      <c r="X8" s="109"/>
      <c r="Y8" s="12"/>
      <c r="Z8" s="12"/>
      <c r="AA8" s="12"/>
      <c r="AB8" s="12"/>
      <c r="AC8" s="12"/>
      <c r="AD8" s="109"/>
      <c r="AE8" s="109"/>
      <c r="AF8" s="109"/>
      <c r="AG8" s="109"/>
      <c r="AH8" s="109"/>
      <c r="AI8" s="109"/>
    </row>
    <row r="9" spans="2:35" ht="176.5" customHeight="1">
      <c r="B9" s="418" t="s">
        <v>569</v>
      </c>
      <c r="C9" s="900" t="s">
        <v>659</v>
      </c>
      <c r="D9" s="901"/>
      <c r="E9" s="901"/>
      <c r="F9" s="419" t="s">
        <v>569</v>
      </c>
      <c r="G9" s="900" t="s">
        <v>660</v>
      </c>
      <c r="H9" s="902"/>
      <c r="I9" s="902"/>
      <c r="J9" s="902"/>
      <c r="K9" s="903"/>
      <c r="L9" s="419" t="s">
        <v>569</v>
      </c>
      <c r="M9" s="904" t="s">
        <v>661</v>
      </c>
      <c r="N9" s="905"/>
      <c r="O9" s="905"/>
      <c r="P9" s="905"/>
      <c r="Q9" s="906"/>
      <c r="S9" s="318"/>
      <c r="T9" s="109"/>
      <c r="U9" s="109"/>
      <c r="V9" s="109"/>
      <c r="W9" s="109"/>
      <c r="X9" s="109"/>
      <c r="Y9" s="109"/>
      <c r="Z9" s="109"/>
      <c r="AA9" s="109"/>
      <c r="AB9" s="109"/>
      <c r="AC9" s="109"/>
      <c r="AD9" s="109"/>
      <c r="AE9" s="109"/>
      <c r="AF9" s="109"/>
      <c r="AG9" s="109"/>
      <c r="AH9" s="109"/>
      <c r="AI9" s="109"/>
    </row>
    <row r="10" spans="2:35" ht="18.75" customHeight="1">
      <c r="B10" s="84"/>
      <c r="C10" s="84"/>
      <c r="D10" s="390"/>
      <c r="E10" s="390"/>
      <c r="F10" s="390"/>
      <c r="G10" s="390"/>
      <c r="H10" s="390"/>
      <c r="I10" s="390"/>
      <c r="J10" s="390"/>
      <c r="K10" s="390"/>
      <c r="L10" s="390"/>
      <c r="O10" s="95"/>
      <c r="P10" s="94"/>
      <c r="S10" s="109"/>
      <c r="T10" s="109"/>
      <c r="U10" s="109"/>
      <c r="V10" s="109"/>
      <c r="W10" s="109"/>
      <c r="X10" s="109"/>
      <c r="Y10" s="109"/>
      <c r="Z10" s="109"/>
      <c r="AA10" s="109"/>
      <c r="AB10" s="109"/>
      <c r="AC10" s="109"/>
      <c r="AD10" s="109"/>
      <c r="AE10" s="109"/>
      <c r="AF10" s="109"/>
      <c r="AG10" s="109"/>
      <c r="AH10" s="109"/>
      <c r="AI10" s="109"/>
    </row>
    <row r="11" spans="2:35" ht="18.75" customHeight="1">
      <c r="B11" s="84"/>
      <c r="C11" s="84"/>
      <c r="D11" s="390"/>
      <c r="E11" s="390"/>
      <c r="F11" s="390"/>
      <c r="G11" s="390"/>
      <c r="H11" s="390"/>
      <c r="I11" s="390"/>
      <c r="J11" s="390"/>
      <c r="K11" s="390"/>
      <c r="L11" s="390"/>
      <c r="O11" s="95"/>
      <c r="P11" s="94"/>
      <c r="S11" s="109"/>
      <c r="T11" s="109"/>
      <c r="U11" s="109"/>
      <c r="V11" s="109"/>
      <c r="W11" s="109"/>
      <c r="X11" s="109"/>
      <c r="Y11" s="109"/>
      <c r="Z11" s="109"/>
      <c r="AA11" s="109"/>
      <c r="AB11" s="109"/>
      <c r="AC11" s="109"/>
      <c r="AD11" s="109"/>
      <c r="AE11" s="109"/>
      <c r="AF11" s="109"/>
      <c r="AG11" s="109"/>
      <c r="AH11" s="109"/>
      <c r="AI11" s="109"/>
    </row>
    <row r="12" spans="2:35" ht="18.75" customHeight="1">
      <c r="B12" s="84"/>
      <c r="C12" s="84"/>
      <c r="D12" s="390"/>
      <c r="E12" s="390"/>
      <c r="F12" s="390"/>
      <c r="G12" s="390"/>
      <c r="H12" s="390"/>
      <c r="I12" s="390"/>
      <c r="J12" s="390"/>
      <c r="K12" s="390"/>
      <c r="L12" s="390"/>
      <c r="O12" s="95"/>
      <c r="P12" s="94"/>
      <c r="S12" s="109"/>
      <c r="T12" s="109"/>
      <c r="U12" s="109"/>
      <c r="V12" s="109"/>
      <c r="W12" s="109"/>
      <c r="X12" s="109"/>
      <c r="Y12" s="109"/>
      <c r="Z12" s="109"/>
      <c r="AA12" s="109"/>
      <c r="AB12" s="109"/>
      <c r="AC12" s="109"/>
      <c r="AD12" s="109"/>
      <c r="AE12" s="109"/>
      <c r="AF12" s="109"/>
      <c r="AG12" s="109"/>
      <c r="AH12" s="109"/>
      <c r="AI12" s="109"/>
    </row>
    <row r="13" spans="2:35" ht="18.75" customHeight="1">
      <c r="B13" s="84"/>
      <c r="C13" s="84"/>
      <c r="D13" s="390"/>
      <c r="E13" s="390"/>
      <c r="F13" s="390"/>
      <c r="G13" s="390"/>
      <c r="H13" s="390"/>
      <c r="I13" s="390"/>
      <c r="J13" s="390"/>
      <c r="K13" s="390"/>
      <c r="L13" s="390"/>
      <c r="O13" s="95"/>
      <c r="P13" s="94"/>
      <c r="S13" s="109"/>
      <c r="T13" s="109"/>
      <c r="U13" s="109"/>
      <c r="V13" s="109"/>
      <c r="W13" s="109"/>
      <c r="X13" s="109"/>
      <c r="Y13" s="109"/>
      <c r="Z13" s="109"/>
      <c r="AA13" s="109"/>
      <c r="AB13" s="109"/>
      <c r="AC13" s="109"/>
      <c r="AD13" s="109"/>
      <c r="AE13" s="109"/>
      <c r="AF13" s="109"/>
      <c r="AG13" s="109"/>
      <c r="AH13" s="109"/>
      <c r="AI13" s="109"/>
    </row>
    <row r="14" spans="2:35" ht="18.75" customHeight="1">
      <c r="B14" s="84"/>
      <c r="C14" s="84"/>
      <c r="D14" s="390"/>
      <c r="E14" s="390"/>
      <c r="F14" s="390"/>
      <c r="G14" s="390"/>
      <c r="H14" s="390"/>
      <c r="I14" s="390"/>
      <c r="J14" s="390"/>
      <c r="K14" s="390"/>
      <c r="L14" s="390"/>
      <c r="O14" s="95"/>
      <c r="P14" s="94"/>
      <c r="S14" s="109"/>
      <c r="T14" s="109"/>
      <c r="U14" s="109"/>
      <c r="V14" s="109"/>
      <c r="W14" s="109"/>
      <c r="X14" s="109"/>
      <c r="Y14" s="109"/>
      <c r="Z14" s="109"/>
      <c r="AA14" s="109"/>
      <c r="AB14" s="109"/>
      <c r="AC14" s="109"/>
      <c r="AD14" s="109"/>
      <c r="AE14" s="109"/>
      <c r="AF14" s="109"/>
      <c r="AG14" s="109"/>
      <c r="AH14" s="109"/>
      <c r="AI14" s="109"/>
    </row>
    <row r="15" spans="2:35" ht="18.75" customHeight="1">
      <c r="B15" s="84"/>
      <c r="C15" s="84"/>
      <c r="D15" s="390"/>
      <c r="E15" s="390"/>
      <c r="F15" s="390"/>
      <c r="G15" s="390"/>
      <c r="H15" s="390"/>
      <c r="I15" s="390"/>
      <c r="J15" s="390"/>
      <c r="K15" s="390"/>
      <c r="L15" s="390"/>
      <c r="O15" s="95"/>
      <c r="P15" s="94"/>
      <c r="S15" s="109"/>
      <c r="T15" s="109"/>
      <c r="U15" s="109"/>
      <c r="V15" s="109"/>
      <c r="W15" s="109"/>
      <c r="X15" s="109"/>
      <c r="Y15" s="109"/>
      <c r="Z15" s="109"/>
      <c r="AA15" s="109"/>
      <c r="AB15" s="109"/>
      <c r="AC15" s="109"/>
      <c r="AD15" s="109"/>
      <c r="AE15" s="109"/>
      <c r="AF15" s="109"/>
      <c r="AG15" s="109"/>
      <c r="AH15" s="109"/>
      <c r="AI15" s="109"/>
    </row>
    <row r="16" spans="2:35" ht="18.75" customHeight="1">
      <c r="B16" s="84"/>
      <c r="C16" s="84"/>
      <c r="D16" s="390"/>
      <c r="E16" s="390"/>
      <c r="F16" s="390"/>
      <c r="G16" s="390"/>
      <c r="H16" s="390"/>
      <c r="I16" s="390"/>
      <c r="J16" s="390"/>
      <c r="K16" s="390"/>
      <c r="L16" s="390"/>
      <c r="O16" s="95"/>
      <c r="P16" s="94"/>
      <c r="S16" s="109"/>
      <c r="T16" s="109"/>
      <c r="U16" s="109"/>
      <c r="V16" s="109"/>
      <c r="W16" s="109"/>
      <c r="X16" s="109"/>
      <c r="Y16" s="109"/>
      <c r="Z16" s="109"/>
      <c r="AA16" s="109"/>
      <c r="AB16" s="109"/>
      <c r="AC16" s="109"/>
      <c r="AD16" s="109"/>
      <c r="AE16" s="109"/>
      <c r="AF16" s="109"/>
      <c r="AG16" s="109"/>
      <c r="AH16" s="109"/>
      <c r="AI16" s="109"/>
    </row>
    <row r="17" spans="2:35" ht="18.75" customHeight="1">
      <c r="B17" s="84"/>
      <c r="C17" s="84"/>
      <c r="D17" s="390"/>
      <c r="E17" s="390"/>
      <c r="F17" s="390"/>
      <c r="G17" s="390"/>
      <c r="H17" s="390"/>
      <c r="I17" s="390"/>
      <c r="J17" s="390"/>
      <c r="K17" s="390"/>
      <c r="L17" s="390"/>
      <c r="O17" s="95"/>
      <c r="P17" s="94"/>
      <c r="S17" s="109"/>
      <c r="T17" s="109"/>
      <c r="U17" s="109"/>
      <c r="V17" s="109"/>
      <c r="W17" s="109"/>
      <c r="X17" s="109"/>
      <c r="Y17" s="109"/>
      <c r="Z17" s="109"/>
      <c r="AA17" s="109"/>
      <c r="AB17" s="109"/>
      <c r="AC17" s="109"/>
      <c r="AD17" s="109"/>
      <c r="AE17" s="109"/>
      <c r="AF17" s="109"/>
      <c r="AG17" s="109"/>
      <c r="AH17" s="109"/>
      <c r="AI17" s="109"/>
    </row>
    <row r="18" spans="2:35" ht="18.75" customHeight="1">
      <c r="B18" s="84"/>
      <c r="C18" s="84"/>
      <c r="D18" s="390"/>
      <c r="E18" s="390"/>
      <c r="F18" s="390"/>
      <c r="G18" s="390"/>
      <c r="H18" s="390"/>
      <c r="I18" s="390"/>
      <c r="J18" s="390"/>
      <c r="K18" s="390"/>
      <c r="L18" s="390"/>
      <c r="O18" s="95"/>
      <c r="P18" s="94"/>
      <c r="S18" s="109"/>
      <c r="T18" s="109"/>
      <c r="U18" s="109"/>
      <c r="V18" s="109"/>
      <c r="W18" s="109"/>
      <c r="X18" s="109"/>
      <c r="Y18" s="109"/>
      <c r="Z18" s="109"/>
      <c r="AA18" s="109"/>
      <c r="AB18" s="109"/>
      <c r="AC18" s="109"/>
      <c r="AD18" s="109"/>
      <c r="AE18" s="109"/>
      <c r="AF18" s="109"/>
      <c r="AG18" s="109"/>
      <c r="AH18" s="109"/>
      <c r="AI18" s="109"/>
    </row>
    <row r="19" spans="2:35" ht="17.25" customHeight="1">
      <c r="B19" s="84"/>
      <c r="C19" s="84"/>
      <c r="E19" s="390"/>
      <c r="F19" s="390"/>
      <c r="G19" s="390"/>
      <c r="H19" s="390"/>
      <c r="I19" s="390"/>
      <c r="J19" s="390"/>
      <c r="K19" s="390"/>
      <c r="L19" s="390"/>
      <c r="O19" s="95"/>
      <c r="P19" s="94"/>
      <c r="S19" s="109"/>
      <c r="T19" s="109"/>
      <c r="U19" s="109"/>
      <c r="V19" s="109"/>
      <c r="W19" s="109"/>
      <c r="X19" s="109"/>
      <c r="Y19" s="109"/>
      <c r="Z19" s="109"/>
      <c r="AA19" s="109"/>
      <c r="AB19" s="109"/>
      <c r="AC19" s="109"/>
      <c r="AD19" s="109"/>
      <c r="AE19" s="109"/>
      <c r="AF19" s="109"/>
      <c r="AG19" s="109"/>
      <c r="AH19" s="109"/>
      <c r="AI19" s="109"/>
    </row>
    <row r="20" spans="2:35" ht="6" customHeight="1">
      <c r="B20" s="15"/>
      <c r="C20" s="84"/>
      <c r="D20" s="82"/>
      <c r="E20" s="907"/>
      <c r="F20" s="907"/>
      <c r="G20" s="907"/>
      <c r="H20" s="907"/>
      <c r="I20" s="907"/>
      <c r="J20" s="907"/>
      <c r="K20" s="907"/>
      <c r="S20" s="109"/>
      <c r="T20" s="109"/>
      <c r="U20" s="109"/>
      <c r="V20" s="109"/>
      <c r="W20" s="109"/>
      <c r="X20" s="109"/>
      <c r="Y20" s="109"/>
      <c r="Z20" s="109"/>
      <c r="AA20" s="109"/>
      <c r="AB20" s="109"/>
      <c r="AC20" s="109"/>
      <c r="AD20" s="109"/>
      <c r="AE20" s="109"/>
      <c r="AF20" s="109"/>
      <c r="AG20" s="109"/>
      <c r="AH20" s="109"/>
      <c r="AI20" s="109"/>
    </row>
    <row r="21" spans="2:35" ht="45" customHeight="1">
      <c r="B21" s="911" t="s">
        <v>571</v>
      </c>
      <c r="C21" s="911"/>
      <c r="D21" s="911"/>
      <c r="E21" s="395" t="s">
        <v>572</v>
      </c>
      <c r="F21" s="395" t="s">
        <v>452</v>
      </c>
      <c r="G21" s="915" t="s">
        <v>58</v>
      </c>
      <c r="H21" s="916"/>
      <c r="I21" s="981" t="s">
        <v>59</v>
      </c>
      <c r="J21" s="982"/>
      <c r="K21" s="283" t="s">
        <v>60</v>
      </c>
      <c r="L21" s="976" t="s">
        <v>573</v>
      </c>
      <c r="M21" s="977"/>
      <c r="N21" s="977"/>
      <c r="O21" s="977"/>
      <c r="P21" s="977"/>
      <c r="Q21" s="978"/>
      <c r="S21" s="43" t="s">
        <v>61</v>
      </c>
      <c r="T21" s="44">
        <v>0</v>
      </c>
      <c r="U21" s="45">
        <v>0.3</v>
      </c>
      <c r="V21" s="45">
        <v>0.6</v>
      </c>
      <c r="W21" s="45">
        <v>0.9</v>
      </c>
      <c r="X21" s="45">
        <v>1</v>
      </c>
      <c r="Y21" s="12"/>
      <c r="Z21" s="12"/>
      <c r="AA21" s="43" t="s">
        <v>61</v>
      </c>
      <c r="AB21" s="44">
        <v>0</v>
      </c>
      <c r="AC21" s="45">
        <v>0.2</v>
      </c>
      <c r="AD21" s="45">
        <v>0.4</v>
      </c>
      <c r="AE21" s="45">
        <v>0.6</v>
      </c>
      <c r="AF21" s="45">
        <v>0.8</v>
      </c>
      <c r="AG21" s="12"/>
      <c r="AH21" s="12"/>
      <c r="AI21" s="12"/>
    </row>
    <row r="22" spans="2:35" ht="142" customHeight="1">
      <c r="B22" s="912" t="s">
        <v>435</v>
      </c>
      <c r="C22" s="913"/>
      <c r="D22" s="914"/>
      <c r="E22" s="420">
        <v>0.8</v>
      </c>
      <c r="F22" s="464">
        <v>0.79320000000000002</v>
      </c>
      <c r="G22" s="921">
        <v>0.99</v>
      </c>
      <c r="H22" s="922"/>
      <c r="I22" s="922"/>
      <c r="J22" s="922"/>
      <c r="K22" s="923"/>
      <c r="L22" s="983" t="s">
        <v>638</v>
      </c>
      <c r="M22" s="983"/>
      <c r="N22" s="983"/>
      <c r="O22" s="983"/>
      <c r="P22" s="983"/>
      <c r="Q22" s="983"/>
      <c r="S22" s="43" t="s">
        <v>62</v>
      </c>
      <c r="T22" s="45">
        <v>0.3</v>
      </c>
      <c r="U22" s="45">
        <v>0.6</v>
      </c>
      <c r="V22" s="45">
        <v>0.9</v>
      </c>
      <c r="W22" s="45">
        <v>1</v>
      </c>
      <c r="X22" s="45">
        <v>2</v>
      </c>
      <c r="Y22" s="12"/>
      <c r="Z22" s="12"/>
      <c r="AA22" s="43" t="s">
        <v>62</v>
      </c>
      <c r="AB22" s="45">
        <v>0.2</v>
      </c>
      <c r="AC22" s="45">
        <v>0.4</v>
      </c>
      <c r="AD22" s="45">
        <v>0.6</v>
      </c>
      <c r="AE22" s="45">
        <v>0.8</v>
      </c>
      <c r="AF22" s="45">
        <v>1</v>
      </c>
      <c r="AG22" s="12"/>
      <c r="AH22" s="12"/>
      <c r="AI22" s="12"/>
    </row>
    <row r="23" spans="2:35" ht="153" customHeight="1">
      <c r="B23" s="984" t="s">
        <v>440</v>
      </c>
      <c r="C23" s="984"/>
      <c r="D23" s="984"/>
      <c r="E23" s="421" t="s">
        <v>63</v>
      </c>
      <c r="F23" s="464">
        <v>0.89039999999999997</v>
      </c>
      <c r="G23" s="921">
        <v>0.99</v>
      </c>
      <c r="H23" s="922"/>
      <c r="I23" s="922"/>
      <c r="J23" s="922"/>
      <c r="K23" s="923"/>
      <c r="L23" s="983" t="s">
        <v>639</v>
      </c>
      <c r="M23" s="983"/>
      <c r="N23" s="983"/>
      <c r="O23" s="983"/>
      <c r="P23" s="983"/>
      <c r="Q23" s="983"/>
      <c r="S23" s="46"/>
      <c r="T23" s="47" t="str">
        <f>"de "&amp;T21&amp;" a "&amp;T22</f>
        <v>de 0 a 0.3</v>
      </c>
      <c r="U23" s="47" t="str">
        <f>"de "&amp;U21&amp;" a "&amp;U22</f>
        <v>de 0.3 a 0.6</v>
      </c>
      <c r="V23" s="47" t="str">
        <f>"de "&amp;V21&amp;" a "&amp;V22</f>
        <v>de 0.6 a 0.9</v>
      </c>
      <c r="W23" s="47" t="str">
        <f>"de "&amp;W21&amp;" a "&amp;W22</f>
        <v>de 0.9 a 1</v>
      </c>
      <c r="X23" s="47" t="str">
        <f>"de "&amp;X21&amp;" a "&amp;X22</f>
        <v>de 1 a 2</v>
      </c>
      <c r="Y23" s="12"/>
      <c r="Z23" s="12" t="s">
        <v>64</v>
      </c>
      <c r="AA23" s="46" t="s">
        <v>56</v>
      </c>
      <c r="AB23" s="47" t="str">
        <f>"de "&amp;AB21&amp;" a "&amp;AB22</f>
        <v>de 0 a 0.2</v>
      </c>
      <c r="AC23" s="47" t="str">
        <f>"de "&amp;AC21&amp;" a "&amp;AC22</f>
        <v>de 0.2 a 0.4</v>
      </c>
      <c r="AD23" s="47" t="str">
        <f>"de "&amp;AD21&amp;" a "&amp;AD22</f>
        <v>de 0.4 a 0.6</v>
      </c>
      <c r="AE23" s="47" t="str">
        <f>"de "&amp;AE21&amp;" a "&amp;AE22</f>
        <v>de 0.6 a 0.8</v>
      </c>
      <c r="AF23" s="47" t="str">
        <f>"de "&amp;AF21&amp;" a "&amp;AF22</f>
        <v>de 0.8 a 1</v>
      </c>
      <c r="AG23" s="12"/>
      <c r="AH23" s="12"/>
      <c r="AI23" s="12"/>
    </row>
    <row r="24" spans="2:35" ht="235.15" customHeight="1">
      <c r="B24" s="908" t="s">
        <v>441</v>
      </c>
      <c r="C24" s="909"/>
      <c r="D24" s="910"/>
      <c r="E24" s="420">
        <v>0.9</v>
      </c>
      <c r="F24" s="464">
        <v>0.57750000000000001</v>
      </c>
      <c r="G24" s="921">
        <v>0.64</v>
      </c>
      <c r="H24" s="922"/>
      <c r="I24" s="922"/>
      <c r="J24" s="922"/>
      <c r="K24" s="923"/>
      <c r="L24" s="924" t="s">
        <v>640</v>
      </c>
      <c r="M24" s="925"/>
      <c r="N24" s="925"/>
      <c r="O24" s="925"/>
      <c r="P24" s="925"/>
      <c r="Q24" s="926"/>
      <c r="S24" s="46"/>
      <c r="T24" s="47"/>
      <c r="U24" s="47"/>
      <c r="V24" s="47"/>
      <c r="W24" s="47"/>
      <c r="X24" s="47"/>
      <c r="Y24" s="12"/>
      <c r="Z24" s="12"/>
      <c r="AA24" s="46"/>
      <c r="AB24" s="47"/>
      <c r="AC24" s="47"/>
      <c r="AD24" s="47"/>
      <c r="AE24" s="47"/>
      <c r="AF24" s="47"/>
      <c r="AG24" s="12"/>
      <c r="AH24" s="12"/>
      <c r="AI24" s="12"/>
    </row>
    <row r="25" spans="2:35" ht="216.65" customHeight="1">
      <c r="B25" s="912" t="s">
        <v>442</v>
      </c>
      <c r="C25" s="913"/>
      <c r="D25" s="914"/>
      <c r="E25" s="522">
        <v>0.8</v>
      </c>
      <c r="F25" s="464">
        <v>0.48609999999999998</v>
      </c>
      <c r="G25" s="917">
        <v>0.61</v>
      </c>
      <c r="H25" s="918"/>
      <c r="I25" s="918"/>
      <c r="J25" s="918"/>
      <c r="K25" s="919"/>
      <c r="L25" s="920" t="s">
        <v>641</v>
      </c>
      <c r="M25" s="920"/>
      <c r="N25" s="920"/>
      <c r="O25" s="920"/>
      <c r="P25" s="920"/>
      <c r="Q25" s="920"/>
      <c r="R25" s="218"/>
      <c r="S25" s="46"/>
      <c r="T25" s="45" t="e">
        <f>IF($K23&gt;T$21,IF($K23&lt;=T$22,$K23,NA()),NA())</f>
        <v>#N/A</v>
      </c>
      <c r="U25" s="45" t="e">
        <f>IF($K23&gt;U$21,IF($K23&lt;=U$22,$K23,NA()),NA())</f>
        <v>#N/A</v>
      </c>
      <c r="V25" s="45" t="e">
        <f>IF($K23&gt;V$21,IF($K23&lt;=V$22,$K23,NA()),NA())</f>
        <v>#N/A</v>
      </c>
      <c r="W25" s="45" t="e">
        <f>IF($K23&gt;W$21,IF($K23&lt;=W$22,$K23,NA()),NA())</f>
        <v>#N/A</v>
      </c>
      <c r="X25" s="45" t="e">
        <f>IF($K23&gt;X$21,IF($K23&lt;=X$22,1,1),NA())</f>
        <v>#N/A</v>
      </c>
      <c r="Y25" s="12"/>
      <c r="Z25" s="92" t="e">
        <v>#REF!</v>
      </c>
      <c r="AA25" s="45" t="e">
        <f>+IF(Z25="A1",1,IF(Z25="A2",0.8,IF(Z25="B1",0.6,IF(Z25="B2",0.4,0.2))))</f>
        <v>#REF!</v>
      </c>
      <c r="AB25" s="45" t="e">
        <f>IF($AA25&gt;AB$21,IF($AA25&lt;=AB$22,$AA25,NA()),NA())</f>
        <v>#REF!</v>
      </c>
      <c r="AC25" s="45" t="e">
        <f t="shared" ref="AC25:AF26" si="0">IF($AA25&gt;AC$21,IF($AA25&lt;=AC$22,$AA25,NA()),NA())</f>
        <v>#REF!</v>
      </c>
      <c r="AD25" s="45" t="e">
        <f t="shared" si="0"/>
        <v>#REF!</v>
      </c>
      <c r="AE25" s="45" t="e">
        <f t="shared" si="0"/>
        <v>#REF!</v>
      </c>
      <c r="AF25" s="45" t="e">
        <f t="shared" si="0"/>
        <v>#REF!</v>
      </c>
      <c r="AG25" s="12"/>
      <c r="AH25" s="12"/>
      <c r="AI25" s="12"/>
    </row>
    <row r="26" spans="2:35" ht="124" customHeight="1">
      <c r="B26" s="912" t="s">
        <v>443</v>
      </c>
      <c r="C26" s="913"/>
      <c r="D26" s="914"/>
      <c r="E26" s="522">
        <v>0.70630000000000004</v>
      </c>
      <c r="F26" s="464">
        <v>1.1123000000000001</v>
      </c>
      <c r="G26" s="917">
        <v>1.2</v>
      </c>
      <c r="H26" s="918"/>
      <c r="I26" s="918"/>
      <c r="J26" s="918"/>
      <c r="K26" s="919"/>
      <c r="L26" s="920" t="s">
        <v>642</v>
      </c>
      <c r="M26" s="920"/>
      <c r="N26" s="920"/>
      <c r="O26" s="920"/>
      <c r="P26" s="920"/>
      <c r="Q26" s="920"/>
      <c r="R26" s="318"/>
      <c r="S26" s="46"/>
      <c r="T26" s="45" t="e">
        <f>IF(#REF!&gt;T$21,IF(#REF!&lt;=T$22,#REF!,NA()),NA())</f>
        <v>#REF!</v>
      </c>
      <c r="U26" s="45" t="e">
        <f>IF(#REF!&gt;U$21,IF(#REF!&lt;=U$22,#REF!,NA()),NA())</f>
        <v>#REF!</v>
      </c>
      <c r="V26" s="45" t="e">
        <f>IF(#REF!&gt;V$21,IF(#REF!&lt;=V$22,#REF!,NA()),NA())</f>
        <v>#REF!</v>
      </c>
      <c r="W26" s="45" t="e">
        <f>IF(#REF!&gt;W$21,IF(#REF!&lt;=W$22,#REF!,NA()),NA())</f>
        <v>#REF!</v>
      </c>
      <c r="X26" s="45" t="e">
        <f>IF(#REF!&gt;X$21,IF(#REF!&lt;=X$22,1,NA()),NA())</f>
        <v>#REF!</v>
      </c>
      <c r="Y26" s="12"/>
      <c r="Z26" s="92" t="e">
        <v>#REF!</v>
      </c>
      <c r="AA26" s="45" t="e">
        <f>+IF(Z26="A1",1,IF(Z26="A2",0.8,IF(Z26="B1",0.6,IF(Z26="B2",0.4,0.2))))</f>
        <v>#REF!</v>
      </c>
      <c r="AB26" s="45" t="e">
        <f>IF($AA26&gt;AB$21,IF($AA26&lt;=AB$22,$AA26,NA()),NA())</f>
        <v>#REF!</v>
      </c>
      <c r="AC26" s="45" t="e">
        <f t="shared" si="0"/>
        <v>#REF!</v>
      </c>
      <c r="AD26" s="45" t="e">
        <f t="shared" si="0"/>
        <v>#REF!</v>
      </c>
      <c r="AE26" s="45" t="e">
        <f t="shared" si="0"/>
        <v>#REF!</v>
      </c>
      <c r="AF26" s="45" t="e">
        <f t="shared" si="0"/>
        <v>#REF!</v>
      </c>
      <c r="AG26" s="12"/>
      <c r="AH26" s="12"/>
      <c r="AI26" s="12"/>
    </row>
    <row r="27" spans="2:35" ht="117.65" customHeight="1">
      <c r="B27" s="912" t="s">
        <v>444</v>
      </c>
      <c r="C27" s="913"/>
      <c r="D27" s="914"/>
      <c r="E27" s="522">
        <v>0.80249999999999999</v>
      </c>
      <c r="F27" s="464">
        <v>0.81840000000000002</v>
      </c>
      <c r="G27" s="921">
        <v>1.02</v>
      </c>
      <c r="H27" s="922"/>
      <c r="I27" s="922"/>
      <c r="J27" s="922"/>
      <c r="K27" s="923"/>
      <c r="L27" s="933" t="s">
        <v>643</v>
      </c>
      <c r="M27" s="933"/>
      <c r="N27" s="933"/>
      <c r="O27" s="933"/>
      <c r="P27" s="933"/>
      <c r="Q27" s="933"/>
      <c r="R27" s="318"/>
      <c r="S27" s="46"/>
      <c r="T27" s="45"/>
      <c r="U27" s="45"/>
      <c r="V27" s="45"/>
      <c r="W27" s="45"/>
      <c r="X27" s="45"/>
      <c r="Y27" s="12"/>
      <c r="Z27" s="92"/>
      <c r="AA27" s="284"/>
      <c r="AB27" s="284"/>
      <c r="AC27" s="284"/>
      <c r="AD27" s="284"/>
      <c r="AE27" s="284"/>
      <c r="AF27" s="284"/>
      <c r="AG27" s="12"/>
      <c r="AH27" s="12"/>
      <c r="AI27" s="12"/>
    </row>
    <row r="28" spans="2:35" ht="107.15" customHeight="1">
      <c r="B28" s="912" t="s">
        <v>445</v>
      </c>
      <c r="C28" s="913"/>
      <c r="D28" s="914"/>
      <c r="E28" s="420">
        <v>0.8</v>
      </c>
      <c r="F28" s="464">
        <v>0.93630000000000002</v>
      </c>
      <c r="G28" s="921">
        <v>1.17</v>
      </c>
      <c r="H28" s="922"/>
      <c r="I28" s="922"/>
      <c r="J28" s="922"/>
      <c r="K28" s="923"/>
      <c r="L28" s="924" t="s">
        <v>644</v>
      </c>
      <c r="M28" s="985"/>
      <c r="N28" s="985"/>
      <c r="O28" s="985"/>
      <c r="P28" s="985"/>
      <c r="Q28" s="986"/>
      <c r="R28" s="318"/>
      <c r="S28" s="46"/>
      <c r="T28" s="45" t="e">
        <f t="shared" ref="T28:W29" si="1">IF($K25&gt;T$21,IF($K25&lt;=T$22,$K25,NA()),NA())</f>
        <v>#N/A</v>
      </c>
      <c r="U28" s="45" t="e">
        <f t="shared" si="1"/>
        <v>#N/A</v>
      </c>
      <c r="V28" s="45" t="e">
        <f t="shared" si="1"/>
        <v>#N/A</v>
      </c>
      <c r="W28" s="45" t="e">
        <f t="shared" si="1"/>
        <v>#N/A</v>
      </c>
      <c r="X28" s="45" t="e">
        <f>IF($K25&gt;X$21,IF($K25&lt;=X$22,1,NA()),NA())</f>
        <v>#N/A</v>
      </c>
      <c r="Y28" s="12"/>
      <c r="Z28" s="12"/>
      <c r="AA28" s="12"/>
      <c r="AB28" s="12"/>
      <c r="AC28" s="12"/>
      <c r="AD28" s="12"/>
      <c r="AE28" s="12"/>
      <c r="AF28" s="12"/>
      <c r="AG28" s="12"/>
      <c r="AH28" s="12"/>
      <c r="AI28" s="12"/>
    </row>
    <row r="29" spans="2:35" ht="112" customHeight="1">
      <c r="B29" s="908" t="s">
        <v>446</v>
      </c>
      <c r="C29" s="909"/>
      <c r="D29" s="910"/>
      <c r="E29" s="522">
        <v>0.71040000000000003</v>
      </c>
      <c r="F29" s="464">
        <v>0.7077</v>
      </c>
      <c r="G29" s="927">
        <v>1.02</v>
      </c>
      <c r="H29" s="928"/>
      <c r="I29" s="928"/>
      <c r="J29" s="928"/>
      <c r="K29" s="929"/>
      <c r="L29" s="924" t="s">
        <v>645</v>
      </c>
      <c r="M29" s="925"/>
      <c r="N29" s="925"/>
      <c r="O29" s="925"/>
      <c r="P29" s="925"/>
      <c r="Q29" s="926"/>
      <c r="R29" s="318"/>
      <c r="S29" s="46"/>
      <c r="T29" s="45" t="e">
        <f t="shared" si="1"/>
        <v>#N/A</v>
      </c>
      <c r="U29" s="45" t="e">
        <f t="shared" si="1"/>
        <v>#N/A</v>
      </c>
      <c r="V29" s="45" t="e">
        <f t="shared" si="1"/>
        <v>#N/A</v>
      </c>
      <c r="W29" s="45" t="e">
        <f t="shared" si="1"/>
        <v>#N/A</v>
      </c>
      <c r="X29" s="45" t="e">
        <f>IF($K26&gt;X$21,IF($K26&lt;=X$22,1,NA()),NA())</f>
        <v>#N/A</v>
      </c>
      <c r="Y29" s="12"/>
      <c r="Z29" s="12"/>
      <c r="AA29" s="12"/>
      <c r="AB29" s="12"/>
      <c r="AC29" s="12"/>
      <c r="AD29" s="12"/>
      <c r="AE29" s="12"/>
      <c r="AF29" s="12"/>
      <c r="AG29" s="12"/>
      <c r="AH29" s="12"/>
      <c r="AI29" s="12"/>
    </row>
    <row r="30" spans="2:35" ht="98.15" customHeight="1">
      <c r="B30" s="908" t="s">
        <v>447</v>
      </c>
      <c r="C30" s="909"/>
      <c r="D30" s="910"/>
      <c r="E30" s="421">
        <v>70.39</v>
      </c>
      <c r="F30" s="464">
        <v>0.65749999999999997</v>
      </c>
      <c r="G30" s="934">
        <v>0.93400000000000005</v>
      </c>
      <c r="H30" s="935"/>
      <c r="I30" s="935"/>
      <c r="J30" s="935"/>
      <c r="K30" s="936"/>
      <c r="L30" s="937" t="s">
        <v>646</v>
      </c>
      <c r="M30" s="938"/>
      <c r="N30" s="938"/>
      <c r="O30" s="938"/>
      <c r="P30" s="938"/>
      <c r="Q30" s="939"/>
      <c r="R30" s="318"/>
      <c r="S30" s="46"/>
      <c r="T30" s="45"/>
      <c r="U30" s="45"/>
      <c r="V30" s="45"/>
      <c r="W30" s="45"/>
      <c r="X30" s="45"/>
      <c r="Y30" s="12"/>
      <c r="Z30" s="12"/>
      <c r="AA30" s="12"/>
      <c r="AB30" s="12"/>
      <c r="AC30" s="12"/>
      <c r="AD30" s="12"/>
      <c r="AE30" s="12"/>
      <c r="AF30" s="12"/>
      <c r="AG30" s="12"/>
      <c r="AH30" s="12"/>
      <c r="AI30" s="12"/>
    </row>
    <row r="31" spans="2:35" ht="165.65" customHeight="1">
      <c r="B31" s="908" t="s">
        <v>448</v>
      </c>
      <c r="C31" s="909"/>
      <c r="D31" s="910"/>
      <c r="E31" s="522">
        <v>0.71009999999999995</v>
      </c>
      <c r="F31" s="464">
        <v>0.62080000000000002</v>
      </c>
      <c r="G31" s="930">
        <v>0.87</v>
      </c>
      <c r="H31" s="931"/>
      <c r="I31" s="931"/>
      <c r="J31" s="931"/>
      <c r="K31" s="932"/>
      <c r="L31" s="924" t="s">
        <v>647</v>
      </c>
      <c r="M31" s="925"/>
      <c r="N31" s="925"/>
      <c r="O31" s="925"/>
      <c r="P31" s="925"/>
      <c r="Q31" s="926"/>
      <c r="R31" s="422"/>
      <c r="S31" s="46"/>
      <c r="T31" s="45"/>
      <c r="U31" s="45"/>
      <c r="V31" s="45"/>
      <c r="W31" s="45"/>
      <c r="X31" s="45"/>
      <c r="Y31" s="12"/>
      <c r="Z31" s="12"/>
      <c r="AA31" s="12"/>
      <c r="AB31" s="12"/>
      <c r="AC31" s="12"/>
      <c r="AD31" s="12"/>
      <c r="AE31" s="12"/>
      <c r="AF31" s="12"/>
      <c r="AG31" s="12"/>
      <c r="AH31" s="12"/>
      <c r="AI31" s="12"/>
    </row>
    <row r="32" spans="2:35" ht="151.5" customHeight="1">
      <c r="B32" s="908" t="s">
        <v>449</v>
      </c>
      <c r="C32" s="909"/>
      <c r="D32" s="910"/>
      <c r="E32" s="420">
        <v>1</v>
      </c>
      <c r="F32" s="420">
        <v>1</v>
      </c>
      <c r="G32" s="921">
        <v>1.74</v>
      </c>
      <c r="H32" s="922"/>
      <c r="I32" s="922"/>
      <c r="J32" s="922"/>
      <c r="K32" s="923"/>
      <c r="L32" s="983" t="s">
        <v>648</v>
      </c>
      <c r="M32" s="983"/>
      <c r="N32" s="983"/>
      <c r="O32" s="983"/>
      <c r="P32" s="983"/>
      <c r="Q32" s="983"/>
      <c r="R32" s="318"/>
      <c r="S32" s="46"/>
      <c r="T32" s="45" t="e">
        <f t="shared" ref="T32:W33" si="2">IF($K28&gt;T$21,IF($K28&lt;=T$22,$K28,NA()),NA())</f>
        <v>#N/A</v>
      </c>
      <c r="U32" s="45" t="e">
        <f t="shared" si="2"/>
        <v>#N/A</v>
      </c>
      <c r="V32" s="45" t="e">
        <f t="shared" si="2"/>
        <v>#N/A</v>
      </c>
      <c r="W32" s="45" t="e">
        <f t="shared" si="2"/>
        <v>#N/A</v>
      </c>
      <c r="X32" s="45" t="e">
        <f>IF($K28&gt;X$21,IF($K28&lt;=X$22,1,NA()),NA())</f>
        <v>#N/A</v>
      </c>
      <c r="Y32" s="12"/>
      <c r="Z32" s="12"/>
      <c r="AA32" s="12"/>
      <c r="AB32" s="12"/>
      <c r="AC32" s="12"/>
      <c r="AD32" s="12"/>
      <c r="AE32" s="12"/>
      <c r="AF32" s="12"/>
      <c r="AG32" s="12"/>
      <c r="AH32" s="12"/>
      <c r="AI32" s="12"/>
    </row>
    <row r="33" spans="2:35" ht="55.5" customHeight="1">
      <c r="B33" s="908" t="s">
        <v>450</v>
      </c>
      <c r="C33" s="909"/>
      <c r="D33" s="910"/>
      <c r="E33" s="420">
        <v>0.96</v>
      </c>
      <c r="F33" s="522">
        <v>0.99129999999999996</v>
      </c>
      <c r="G33" s="921">
        <v>1.03</v>
      </c>
      <c r="H33" s="922"/>
      <c r="I33" s="922"/>
      <c r="J33" s="922"/>
      <c r="K33" s="923"/>
      <c r="L33" s="983" t="s">
        <v>649</v>
      </c>
      <c r="M33" s="983"/>
      <c r="N33" s="983"/>
      <c r="O33" s="983"/>
      <c r="P33" s="983"/>
      <c r="Q33" s="983"/>
      <c r="R33" s="318"/>
      <c r="S33" s="46"/>
      <c r="T33" s="45" t="e">
        <f t="shared" si="2"/>
        <v>#N/A</v>
      </c>
      <c r="U33" s="45" t="e">
        <f t="shared" si="2"/>
        <v>#N/A</v>
      </c>
      <c r="V33" s="45" t="e">
        <f t="shared" si="2"/>
        <v>#N/A</v>
      </c>
      <c r="W33" s="45" t="e">
        <f t="shared" si="2"/>
        <v>#N/A</v>
      </c>
      <c r="X33" s="45" t="e">
        <f>IF($K29&gt;X$21,IF($K29&lt;=X$22,1,NA()),NA())</f>
        <v>#N/A</v>
      </c>
      <c r="Y33" s="12"/>
      <c r="Z33" s="12"/>
      <c r="AA33" s="12"/>
      <c r="AB33" s="12"/>
      <c r="AC33" s="12"/>
      <c r="AD33" s="12"/>
      <c r="AE33" s="12"/>
      <c r="AF33" s="12"/>
      <c r="AG33" s="12"/>
      <c r="AH33" s="12"/>
      <c r="AI33" s="12"/>
    </row>
    <row r="34" spans="2:35" ht="18.5">
      <c r="E34" s="394"/>
      <c r="F34" s="897" t="s">
        <v>574</v>
      </c>
      <c r="G34" s="898"/>
      <c r="H34" s="898"/>
      <c r="I34" s="898"/>
      <c r="J34" s="898"/>
      <c r="K34" s="898"/>
      <c r="L34" s="898"/>
      <c r="M34" s="898"/>
    </row>
    <row r="35" spans="2:35" ht="59.25" customHeight="1">
      <c r="B35" s="980" t="s">
        <v>575</v>
      </c>
      <c r="C35" s="895"/>
      <c r="D35" s="895"/>
      <c r="E35" s="895"/>
      <c r="F35" s="895" t="s">
        <v>576</v>
      </c>
      <c r="G35" s="895"/>
      <c r="H35" s="895"/>
      <c r="I35" s="895"/>
      <c r="J35" s="895"/>
      <c r="K35" s="895"/>
      <c r="L35" s="895" t="s">
        <v>577</v>
      </c>
      <c r="M35" s="895"/>
      <c r="N35" s="895"/>
      <c r="O35" s="895"/>
      <c r="P35" s="895"/>
      <c r="Q35" s="895"/>
      <c r="S35" s="109"/>
      <c r="T35" s="109"/>
      <c r="U35" s="109"/>
      <c r="V35" s="109"/>
      <c r="W35" s="109"/>
      <c r="X35" s="109"/>
      <c r="Y35" s="12"/>
      <c r="Z35" s="12"/>
      <c r="AA35" s="12"/>
      <c r="AB35" s="12"/>
      <c r="AC35" s="12"/>
      <c r="AD35" s="109"/>
      <c r="AE35" s="109"/>
      <c r="AF35" s="109"/>
      <c r="AG35" s="109"/>
      <c r="AH35" s="109"/>
      <c r="AI35" s="109"/>
    </row>
    <row r="36" spans="2:35" ht="77" customHeight="1">
      <c r="B36" s="441" t="s">
        <v>569</v>
      </c>
      <c r="C36" s="987" t="s">
        <v>650</v>
      </c>
      <c r="D36" s="988"/>
      <c r="E36" s="989"/>
      <c r="F36" s="442" t="s">
        <v>569</v>
      </c>
      <c r="G36" s="987" t="s">
        <v>651</v>
      </c>
      <c r="H36" s="988"/>
      <c r="I36" s="988"/>
      <c r="J36" s="988"/>
      <c r="K36" s="989"/>
      <c r="L36" s="442" t="s">
        <v>569</v>
      </c>
      <c r="M36" s="987" t="s">
        <v>578</v>
      </c>
      <c r="N36" s="988"/>
      <c r="O36" s="988"/>
      <c r="P36" s="988"/>
      <c r="Q36" s="990"/>
      <c r="S36" s="109"/>
      <c r="T36" s="109"/>
      <c r="U36" s="109"/>
      <c r="V36" s="109"/>
      <c r="W36" s="109"/>
      <c r="X36" s="109"/>
      <c r="Y36" s="109"/>
      <c r="Z36" s="109"/>
      <c r="AA36" s="109"/>
      <c r="AB36" s="109"/>
      <c r="AC36" s="109"/>
      <c r="AD36" s="109"/>
      <c r="AE36" s="109"/>
      <c r="AF36" s="109"/>
      <c r="AG36" s="109"/>
      <c r="AH36" s="109"/>
      <c r="AI36" s="109"/>
    </row>
    <row r="37" spans="2:35" ht="18.75" customHeight="1">
      <c r="B37" s="84"/>
      <c r="C37" s="84"/>
      <c r="D37" s="390"/>
      <c r="E37" s="390"/>
      <c r="F37" s="390"/>
      <c r="G37" s="390"/>
      <c r="H37" s="390"/>
      <c r="I37" s="390"/>
      <c r="J37" s="390"/>
      <c r="K37" s="390"/>
      <c r="L37" s="390"/>
      <c r="O37" s="95"/>
      <c r="P37" s="94"/>
      <c r="S37" s="109"/>
      <c r="T37" s="109"/>
      <c r="U37" s="109"/>
      <c r="V37" s="109"/>
      <c r="W37" s="109"/>
      <c r="X37" s="109"/>
      <c r="Y37" s="109"/>
      <c r="Z37" s="109"/>
      <c r="AA37" s="109"/>
      <c r="AB37" s="109"/>
      <c r="AC37" s="109"/>
      <c r="AD37" s="109"/>
      <c r="AE37" s="109"/>
      <c r="AF37" s="109"/>
      <c r="AG37" s="109"/>
      <c r="AH37" s="109"/>
      <c r="AI37" s="109"/>
    </row>
    <row r="38" spans="2:35" ht="18.75" customHeight="1">
      <c r="B38" s="84"/>
      <c r="C38" s="84"/>
      <c r="D38" s="390"/>
      <c r="E38" s="390"/>
      <c r="F38" s="390"/>
      <c r="G38" s="390"/>
      <c r="H38" s="390"/>
      <c r="I38" s="390"/>
      <c r="J38" s="390"/>
      <c r="K38" s="390"/>
      <c r="L38" s="390"/>
      <c r="O38" s="95"/>
      <c r="P38" s="94"/>
      <c r="S38" s="109"/>
      <c r="T38" s="109"/>
      <c r="U38" s="109"/>
      <c r="V38" s="109"/>
      <c r="W38" s="109"/>
      <c r="X38" s="109"/>
      <c r="Y38" s="109"/>
      <c r="Z38" s="109"/>
      <c r="AA38" s="109"/>
      <c r="AB38" s="109"/>
      <c r="AC38" s="109"/>
      <c r="AD38" s="109"/>
      <c r="AE38" s="109"/>
      <c r="AF38" s="109"/>
      <c r="AG38" s="109"/>
      <c r="AH38" s="109"/>
      <c r="AI38" s="109"/>
    </row>
    <row r="39" spans="2:35" ht="18.75" customHeight="1">
      <c r="B39" s="84"/>
      <c r="C39" s="84"/>
      <c r="D39" s="390"/>
      <c r="E39" s="390"/>
      <c r="F39" s="390"/>
      <c r="G39" s="390"/>
      <c r="H39" s="390"/>
      <c r="I39" s="390"/>
      <c r="J39" s="390"/>
      <c r="K39" s="390"/>
      <c r="L39" s="390"/>
      <c r="O39" s="95"/>
      <c r="P39" s="94"/>
      <c r="S39" s="109"/>
      <c r="T39" s="109"/>
      <c r="U39" s="109"/>
      <c r="V39" s="109"/>
      <c r="W39" s="109"/>
      <c r="X39" s="109"/>
      <c r="Y39" s="109"/>
      <c r="Z39" s="109"/>
      <c r="AA39" s="109"/>
      <c r="AB39" s="109"/>
      <c r="AC39" s="109"/>
      <c r="AD39" s="109"/>
      <c r="AE39" s="109"/>
      <c r="AF39" s="109"/>
      <c r="AG39" s="109"/>
      <c r="AH39" s="109"/>
      <c r="AI39" s="109"/>
    </row>
    <row r="40" spans="2:35" ht="18.75" customHeight="1">
      <c r="B40" s="84"/>
      <c r="C40" s="84"/>
      <c r="D40" s="390"/>
      <c r="E40" s="390"/>
      <c r="F40" s="390"/>
      <c r="G40" s="390"/>
      <c r="H40" s="390"/>
      <c r="I40" s="390"/>
      <c r="J40" s="390"/>
      <c r="K40" s="390"/>
      <c r="L40" s="390"/>
      <c r="O40" s="95"/>
      <c r="P40" s="94"/>
      <c r="S40" s="109"/>
      <c r="T40" s="109"/>
      <c r="U40" s="109"/>
      <c r="V40" s="109"/>
      <c r="W40" s="109"/>
      <c r="X40" s="109"/>
      <c r="Y40" s="109"/>
      <c r="Z40" s="109"/>
      <c r="AA40" s="109"/>
      <c r="AB40" s="109"/>
      <c r="AC40" s="109"/>
      <c r="AD40" s="109"/>
      <c r="AE40" s="109"/>
      <c r="AF40" s="109"/>
      <c r="AG40" s="109"/>
      <c r="AH40" s="109"/>
      <c r="AI40" s="109"/>
    </row>
    <row r="41" spans="2:35" ht="18.75" customHeight="1">
      <c r="B41" s="84"/>
      <c r="C41" s="84"/>
      <c r="D41" s="390"/>
      <c r="E41" s="390"/>
      <c r="F41" s="390"/>
      <c r="G41" s="390"/>
      <c r="H41" s="390"/>
      <c r="I41" s="390"/>
      <c r="J41" s="390"/>
      <c r="K41" s="390"/>
      <c r="L41" s="390"/>
      <c r="O41" s="95"/>
      <c r="P41" s="94"/>
      <c r="S41" s="109"/>
      <c r="T41" s="109"/>
      <c r="U41" s="109"/>
      <c r="V41" s="109"/>
      <c r="W41" s="109"/>
      <c r="X41" s="109"/>
      <c r="Y41" s="109"/>
      <c r="Z41" s="109"/>
      <c r="AA41" s="109"/>
      <c r="AB41" s="109"/>
      <c r="AC41" s="109"/>
      <c r="AD41" s="109"/>
      <c r="AE41" s="109"/>
      <c r="AF41" s="109"/>
      <c r="AG41" s="109"/>
      <c r="AH41" s="109"/>
      <c r="AI41" s="109"/>
    </row>
    <row r="42" spans="2:35" ht="18.75" customHeight="1">
      <c r="B42" s="84"/>
      <c r="C42" s="84"/>
      <c r="D42" s="390"/>
      <c r="E42" s="390"/>
      <c r="F42" s="390"/>
      <c r="G42" s="390"/>
      <c r="H42" s="390"/>
      <c r="I42" s="390"/>
      <c r="J42" s="390"/>
      <c r="K42" s="390"/>
      <c r="L42" s="390"/>
      <c r="O42" s="95"/>
      <c r="P42" s="94"/>
      <c r="S42" s="109"/>
      <c r="T42" s="109"/>
      <c r="U42" s="109"/>
      <c r="V42" s="109"/>
      <c r="W42" s="109"/>
      <c r="X42" s="109"/>
      <c r="Y42" s="109"/>
      <c r="Z42" s="109"/>
      <c r="AA42" s="109"/>
      <c r="AB42" s="109"/>
      <c r="AC42" s="109"/>
      <c r="AD42" s="109"/>
      <c r="AE42" s="109"/>
      <c r="AF42" s="109"/>
      <c r="AG42" s="109"/>
      <c r="AH42" s="109"/>
      <c r="AI42" s="109"/>
    </row>
    <row r="43" spans="2:35" ht="18.75" customHeight="1">
      <c r="B43" s="84"/>
      <c r="C43" s="84"/>
      <c r="D43" s="390"/>
      <c r="E43" s="390"/>
      <c r="F43" s="390"/>
      <c r="G43" s="390"/>
      <c r="H43" s="390"/>
      <c r="I43" s="390"/>
      <c r="J43" s="390"/>
      <c r="K43" s="390"/>
      <c r="L43" s="390"/>
      <c r="O43" s="95"/>
      <c r="P43" s="94"/>
      <c r="S43" s="109"/>
      <c r="T43" s="109"/>
      <c r="U43" s="109"/>
      <c r="V43" s="109"/>
      <c r="W43" s="109"/>
      <c r="X43" s="109"/>
      <c r="Y43" s="109"/>
      <c r="Z43" s="109"/>
      <c r="AA43" s="109"/>
      <c r="AB43" s="109"/>
      <c r="AC43" s="109"/>
      <c r="AD43" s="109"/>
      <c r="AE43" s="109"/>
      <c r="AF43" s="109"/>
      <c r="AG43" s="109"/>
      <c r="AH43" s="109"/>
      <c r="AI43" s="109"/>
    </row>
    <row r="44" spans="2:35" ht="18.75" customHeight="1">
      <c r="B44" s="84"/>
      <c r="C44" s="84"/>
      <c r="D44" s="390"/>
      <c r="E44" s="390"/>
      <c r="F44" s="390"/>
      <c r="G44" s="390"/>
      <c r="H44" s="390"/>
      <c r="I44" s="390"/>
      <c r="J44" s="390"/>
      <c r="K44" s="390"/>
      <c r="L44" s="390"/>
      <c r="O44" s="95"/>
      <c r="P44" s="94"/>
      <c r="S44" s="109"/>
      <c r="T44" s="109"/>
      <c r="U44" s="109"/>
      <c r="V44" s="109"/>
      <c r="W44" s="109"/>
      <c r="X44" s="109"/>
      <c r="Y44" s="109"/>
      <c r="Z44" s="109"/>
      <c r="AA44" s="109"/>
      <c r="AB44" s="109"/>
      <c r="AC44" s="109"/>
      <c r="AD44" s="109"/>
      <c r="AE44" s="109"/>
      <c r="AF44" s="109"/>
      <c r="AG44" s="109"/>
      <c r="AH44" s="109"/>
      <c r="AI44" s="109"/>
    </row>
    <row r="45" spans="2:35" ht="18.75" customHeight="1">
      <c r="B45" s="84"/>
      <c r="C45" s="84"/>
      <c r="D45" s="390"/>
      <c r="E45" s="390"/>
      <c r="F45" s="390"/>
      <c r="G45" s="390"/>
      <c r="H45" s="390"/>
      <c r="I45" s="390"/>
      <c r="J45" s="390"/>
      <c r="K45" s="390"/>
      <c r="L45" s="390"/>
      <c r="O45" s="95"/>
      <c r="P45" s="94"/>
      <c r="S45" s="109"/>
      <c r="T45" s="109"/>
      <c r="U45" s="109"/>
      <c r="V45" s="109"/>
      <c r="W45" s="109"/>
      <c r="X45" s="109"/>
      <c r="Y45" s="109"/>
      <c r="Z45" s="109"/>
      <c r="AA45" s="109"/>
      <c r="AB45" s="109"/>
      <c r="AC45" s="109"/>
      <c r="AD45" s="109"/>
      <c r="AE45" s="109"/>
      <c r="AF45" s="109"/>
      <c r="AG45" s="109"/>
      <c r="AH45" s="109"/>
      <c r="AI45" s="109"/>
    </row>
    <row r="46" spans="2:35" ht="17.25" customHeight="1">
      <c r="B46" s="84"/>
      <c r="C46" s="84"/>
      <c r="D46" s="390"/>
      <c r="E46" s="390"/>
      <c r="F46" s="390"/>
      <c r="G46" s="390"/>
      <c r="H46" s="390"/>
      <c r="I46" s="390"/>
      <c r="J46" s="390"/>
      <c r="K46" s="390"/>
      <c r="L46" s="390"/>
      <c r="O46" s="95"/>
      <c r="P46" s="94"/>
      <c r="S46" s="109"/>
      <c r="T46" s="109"/>
      <c r="U46" s="109"/>
      <c r="V46" s="109"/>
      <c r="W46" s="109"/>
      <c r="X46" s="109"/>
      <c r="Y46" s="109"/>
      <c r="Z46" s="109"/>
      <c r="AA46" s="109"/>
      <c r="AB46" s="109"/>
      <c r="AC46" s="109"/>
      <c r="AD46" s="109"/>
      <c r="AE46" s="109"/>
      <c r="AF46" s="109"/>
      <c r="AG46" s="109"/>
      <c r="AH46" s="109"/>
      <c r="AI46" s="109"/>
    </row>
    <row r="47" spans="2:35" ht="6" customHeight="1">
      <c r="B47" s="15"/>
      <c r="C47" s="84"/>
      <c r="D47" s="82"/>
      <c r="E47" s="907"/>
      <c r="F47" s="907"/>
      <c r="G47" s="907"/>
      <c r="H47" s="907"/>
      <c r="I47" s="907"/>
      <c r="J47" s="907"/>
      <c r="K47" s="907"/>
      <c r="S47" s="109"/>
      <c r="T47" s="109"/>
      <c r="U47" s="109"/>
      <c r="V47" s="109"/>
      <c r="W47" s="109"/>
      <c r="X47" s="109"/>
      <c r="Y47" s="109"/>
      <c r="Z47" s="109"/>
      <c r="AA47" s="109"/>
      <c r="AB47" s="109"/>
      <c r="AC47" s="109"/>
      <c r="AD47" s="109"/>
      <c r="AE47" s="109"/>
      <c r="AF47" s="109"/>
      <c r="AG47" s="109"/>
      <c r="AH47" s="109"/>
      <c r="AI47" s="109"/>
    </row>
    <row r="48" spans="2:35" ht="50.25" customHeight="1">
      <c r="B48" s="963" t="s">
        <v>571</v>
      </c>
      <c r="C48" s="963"/>
      <c r="D48" s="963"/>
      <c r="E48" s="213" t="s">
        <v>572</v>
      </c>
      <c r="F48" s="213" t="s">
        <v>452</v>
      </c>
      <c r="G48" s="959" t="s">
        <v>58</v>
      </c>
      <c r="H48" s="960"/>
      <c r="I48" s="961" t="s">
        <v>59</v>
      </c>
      <c r="J48" s="962"/>
      <c r="K48" s="215" t="s">
        <v>60</v>
      </c>
      <c r="L48" s="976" t="s">
        <v>579</v>
      </c>
      <c r="M48" s="977"/>
      <c r="N48" s="977"/>
      <c r="O48" s="977"/>
      <c r="P48" s="977"/>
      <c r="Q48" s="978"/>
      <c r="S48" s="43" t="s">
        <v>61</v>
      </c>
      <c r="T48" s="44">
        <v>0</v>
      </c>
      <c r="U48" s="45">
        <v>0.3</v>
      </c>
      <c r="V48" s="45">
        <v>0.6</v>
      </c>
      <c r="W48" s="45">
        <v>0.9</v>
      </c>
      <c r="X48" s="45">
        <v>1</v>
      </c>
      <c r="Y48" s="12"/>
      <c r="Z48" s="12"/>
      <c r="AA48" s="43" t="s">
        <v>61</v>
      </c>
      <c r="AB48" s="44">
        <v>0</v>
      </c>
      <c r="AC48" s="45">
        <v>0.2</v>
      </c>
      <c r="AD48" s="45">
        <v>0.4</v>
      </c>
      <c r="AE48" s="45">
        <v>0.6</v>
      </c>
      <c r="AF48" s="45">
        <v>0.8</v>
      </c>
      <c r="AG48" s="12"/>
      <c r="AH48" s="12"/>
      <c r="AI48" s="12"/>
    </row>
    <row r="49" spans="2:35" ht="154.15" customHeight="1">
      <c r="B49" s="964" t="s">
        <v>580</v>
      </c>
      <c r="C49" s="965"/>
      <c r="D49" s="966"/>
      <c r="E49" s="403">
        <v>0.99</v>
      </c>
      <c r="F49" s="403">
        <v>0.95</v>
      </c>
      <c r="G49" s="967">
        <f>(F49/E49)</f>
        <v>0.95959595959595956</v>
      </c>
      <c r="H49" s="968"/>
      <c r="I49" s="968"/>
      <c r="J49" s="968"/>
      <c r="K49" s="969"/>
      <c r="L49" s="953" t="s">
        <v>652</v>
      </c>
      <c r="M49" s="954"/>
      <c r="N49" s="954"/>
      <c r="O49" s="954"/>
      <c r="P49" s="954"/>
      <c r="Q49" s="954"/>
      <c r="S49" s="43" t="s">
        <v>62</v>
      </c>
      <c r="T49" s="45">
        <v>0.3</v>
      </c>
      <c r="U49" s="45">
        <v>0.6</v>
      </c>
      <c r="V49" s="45">
        <v>0.9</v>
      </c>
      <c r="W49" s="45">
        <v>1</v>
      </c>
      <c r="X49" s="45">
        <v>2</v>
      </c>
      <c r="Y49" s="12"/>
      <c r="Z49" s="12"/>
      <c r="AA49" s="43" t="s">
        <v>62</v>
      </c>
      <c r="AB49" s="45">
        <v>0.2</v>
      </c>
      <c r="AC49" s="45">
        <v>0.4</v>
      </c>
      <c r="AD49" s="45">
        <v>0.6</v>
      </c>
      <c r="AE49" s="45">
        <v>0.8</v>
      </c>
      <c r="AF49" s="45">
        <v>1</v>
      </c>
      <c r="AG49" s="12"/>
      <c r="AH49" s="12"/>
      <c r="AI49" s="12"/>
    </row>
    <row r="50" spans="2:35" ht="320.5" customHeight="1">
      <c r="B50" s="970" t="str">
        <f>+'Data Input'!A209</f>
        <v xml:space="preserve">MDR TB-2: Number of bacteriologically confirmed registered DR-TB cases (RR-TB and/or MDR-TB)	</v>
      </c>
      <c r="C50" s="971"/>
      <c r="D50" s="972"/>
      <c r="E50" s="214">
        <v>1850</v>
      </c>
      <c r="F50" s="214">
        <v>768</v>
      </c>
      <c r="G50" s="967">
        <f t="shared" ref="G50:G52" si="3">(F50/E50)</f>
        <v>0.41513513513513511</v>
      </c>
      <c r="H50" s="968"/>
      <c r="I50" s="968"/>
      <c r="J50" s="968"/>
      <c r="K50" s="969"/>
      <c r="L50" s="953" t="s">
        <v>653</v>
      </c>
      <c r="M50" s="953"/>
      <c r="N50" s="953"/>
      <c r="O50" s="953"/>
      <c r="P50" s="953"/>
      <c r="Q50" s="953"/>
      <c r="S50" s="46"/>
      <c r="T50" s="47" t="str">
        <f>"de "&amp;T48&amp;" a "&amp;T49</f>
        <v>de 0 a 0.3</v>
      </c>
      <c r="U50" s="47" t="str">
        <f>"de "&amp;U48&amp;" a "&amp;U49</f>
        <v>de 0.3 a 0.6</v>
      </c>
      <c r="AH50" s="12"/>
      <c r="AI50" s="12"/>
    </row>
    <row r="51" spans="2:35" ht="190" customHeight="1">
      <c r="B51" s="970" t="str">
        <f>+'Data Input'!A211</f>
        <v>MDR TB-3: Number of RR/MDR-TB cases started on second-line treatment</v>
      </c>
      <c r="C51" s="971"/>
      <c r="D51" s="972"/>
      <c r="E51" s="214">
        <v>1850</v>
      </c>
      <c r="F51" s="214">
        <v>776</v>
      </c>
      <c r="G51" s="967">
        <f t="shared" si="3"/>
        <v>0.41945945945945945</v>
      </c>
      <c r="H51" s="968"/>
      <c r="I51" s="968"/>
      <c r="J51" s="968"/>
      <c r="K51" s="969"/>
      <c r="L51" s="953" t="s">
        <v>654</v>
      </c>
      <c r="M51" s="953"/>
      <c r="N51" s="953"/>
      <c r="O51" s="953"/>
      <c r="P51" s="953"/>
      <c r="Q51" s="953"/>
      <c r="S51" s="46"/>
      <c r="T51" s="45" t="e">
        <f>IF($K49&gt;T$48,IF($K49&lt;=T$49,$K49,NA()),NA())</f>
        <v>#N/A</v>
      </c>
      <c r="U51" s="45" t="e">
        <f>IF($K49&gt;U$48,IF($K49&lt;=U$49,$K49,NA()),NA())</f>
        <v>#N/A</v>
      </c>
      <c r="AH51" s="12"/>
      <c r="AI51" s="12"/>
    </row>
    <row r="52" spans="2:35" ht="110.5" customHeight="1">
      <c r="B52" s="973" t="str">
        <f>+'Data Input'!A213</f>
        <v>MDR TB-7: Percentage of confirmed MDR-TB cases tested for susceptibility to fluoroquinolones and second-line injectable drugs</v>
      </c>
      <c r="C52" s="974"/>
      <c r="D52" s="975"/>
      <c r="E52" s="403">
        <v>0.8</v>
      </c>
      <c r="F52" s="403">
        <v>0.86</v>
      </c>
      <c r="G52" s="967">
        <f t="shared" si="3"/>
        <v>1.075</v>
      </c>
      <c r="H52" s="968"/>
      <c r="I52" s="968"/>
      <c r="J52" s="968"/>
      <c r="K52" s="969"/>
      <c r="L52" s="956" t="s">
        <v>656</v>
      </c>
      <c r="M52" s="957"/>
      <c r="N52" s="957"/>
      <c r="O52" s="957"/>
      <c r="P52" s="957"/>
      <c r="Q52" s="958"/>
      <c r="S52" s="46"/>
      <c r="T52" s="45"/>
      <c r="U52" s="45"/>
      <c r="AH52" s="12"/>
      <c r="AI52" s="12"/>
    </row>
    <row r="53" spans="2:35" ht="164.15" customHeight="1">
      <c r="B53" s="941" t="s">
        <v>458</v>
      </c>
      <c r="C53" s="942"/>
      <c r="D53" s="943"/>
      <c r="E53" s="411">
        <v>0.45</v>
      </c>
      <c r="F53" s="411">
        <v>0.2</v>
      </c>
      <c r="G53" s="944">
        <f>(F53/E53)</f>
        <v>0.44444444444444448</v>
      </c>
      <c r="H53" s="945"/>
      <c r="I53" s="945"/>
      <c r="J53" s="945"/>
      <c r="K53" s="946"/>
      <c r="L53" s="953" t="s">
        <v>657</v>
      </c>
      <c r="M53" s="954"/>
      <c r="N53" s="954"/>
      <c r="O53" s="954"/>
      <c r="P53" s="954"/>
      <c r="Q53" s="954"/>
      <c r="AH53" s="12"/>
      <c r="AI53" s="12"/>
    </row>
    <row r="54" spans="2:35" ht="123" customHeight="1">
      <c r="B54" s="952" t="s">
        <v>504</v>
      </c>
      <c r="C54" s="942"/>
      <c r="D54" s="943"/>
      <c r="E54" s="412" t="s">
        <v>581</v>
      </c>
      <c r="F54" s="412" t="s">
        <v>658</v>
      </c>
      <c r="G54" s="944">
        <v>0</v>
      </c>
      <c r="H54" s="945"/>
      <c r="I54" s="945"/>
      <c r="J54" s="945"/>
      <c r="K54" s="946"/>
      <c r="L54" s="979" t="s">
        <v>1037</v>
      </c>
      <c r="M54" s="979"/>
      <c r="N54" s="979"/>
      <c r="O54" s="979"/>
      <c r="P54" s="979"/>
      <c r="Q54" s="979"/>
      <c r="AH54" s="12"/>
      <c r="AI54" s="12"/>
    </row>
    <row r="55" spans="2:35" ht="22.5" customHeight="1">
      <c r="B55" s="951"/>
      <c r="C55" s="951"/>
      <c r="D55" s="951"/>
      <c r="E55" s="951"/>
      <c r="F55" s="950"/>
      <c r="G55" s="950"/>
      <c r="H55" s="950"/>
      <c r="I55" s="950"/>
      <c r="J55" s="950"/>
      <c r="K55" s="950"/>
      <c r="L55" s="955"/>
      <c r="M55" s="955"/>
      <c r="N55" s="955"/>
      <c r="O55" s="955"/>
      <c r="P55" s="955"/>
      <c r="AH55" s="12"/>
      <c r="AI55" s="12"/>
    </row>
    <row r="56" spans="2:35" ht="22.5" customHeight="1">
      <c r="B56" s="947"/>
      <c r="C56" s="947"/>
      <c r="D56" s="947"/>
      <c r="E56" s="948"/>
      <c r="F56" s="949"/>
      <c r="G56" s="947"/>
      <c r="H56" s="947"/>
      <c r="I56" s="947"/>
      <c r="J56" s="947"/>
      <c r="K56" s="948"/>
      <c r="L56" s="949"/>
      <c r="M56" s="947"/>
      <c r="N56" s="947"/>
      <c r="O56" s="947"/>
      <c r="P56" s="947"/>
      <c r="Y56" s="12"/>
      <c r="Z56" s="12"/>
      <c r="AA56" s="12"/>
      <c r="AB56" s="12"/>
      <c r="AC56" s="12"/>
      <c r="AD56" s="12"/>
      <c r="AE56" s="12"/>
      <c r="AF56" s="12"/>
      <c r="AG56" s="12"/>
      <c r="AH56" s="12"/>
      <c r="AI56" s="12"/>
    </row>
    <row r="57" spans="2:35">
      <c r="B57" s="110"/>
      <c r="C57" s="110"/>
      <c r="D57" s="110"/>
      <c r="E57" s="110"/>
      <c r="F57" s="110"/>
      <c r="G57" s="110"/>
      <c r="H57" s="111"/>
      <c r="I57" s="110"/>
      <c r="J57" s="110"/>
      <c r="K57" s="110"/>
      <c r="L57" s="110"/>
      <c r="M57" s="110"/>
      <c r="N57" s="110"/>
      <c r="O57" s="110"/>
      <c r="P57" s="110"/>
      <c r="Y57" s="12"/>
      <c r="Z57" s="12"/>
      <c r="AA57" s="12"/>
      <c r="AB57" s="12"/>
      <c r="AC57" s="12"/>
      <c r="AD57" s="12"/>
      <c r="AE57" s="12"/>
      <c r="AF57" s="12"/>
      <c r="AG57" s="12"/>
      <c r="AH57" s="12"/>
      <c r="AI57" s="12"/>
    </row>
    <row r="58" spans="2:35">
      <c r="B58" s="940"/>
      <c r="C58" s="940"/>
      <c r="D58" s="940"/>
      <c r="E58" s="940"/>
      <c r="F58" s="940"/>
      <c r="G58" s="940"/>
      <c r="H58" s="940"/>
      <c r="I58" s="940"/>
      <c r="J58" s="940"/>
      <c r="K58" s="940"/>
      <c r="L58" s="110"/>
      <c r="M58" s="110"/>
      <c r="N58" s="110"/>
      <c r="O58" s="110"/>
      <c r="P58" s="110"/>
      <c r="Y58" s="12"/>
      <c r="Z58" s="12"/>
      <c r="AA58" s="12"/>
      <c r="AB58" s="12"/>
      <c r="AC58" s="12"/>
      <c r="AD58" s="12"/>
      <c r="AE58" s="12"/>
      <c r="AF58" s="12"/>
      <c r="AG58" s="12"/>
      <c r="AH58" s="12"/>
      <c r="AI58" s="12"/>
    </row>
    <row r="59" spans="2:35">
      <c r="B59" s="940"/>
      <c r="C59" s="940"/>
      <c r="D59" s="940"/>
      <c r="E59" s="940"/>
      <c r="F59" s="940"/>
      <c r="G59" s="940"/>
      <c r="H59" s="940"/>
      <c r="I59" s="940"/>
      <c r="J59" s="940"/>
      <c r="K59" s="940"/>
      <c r="L59" s="110"/>
      <c r="M59" s="110"/>
      <c r="N59" s="110"/>
      <c r="O59" s="110"/>
      <c r="P59" s="110"/>
      <c r="S59" s="12"/>
      <c r="T59" s="12"/>
      <c r="U59" s="12"/>
      <c r="V59" s="12"/>
      <c r="W59" s="12"/>
      <c r="X59" s="12"/>
      <c r="Y59" s="12"/>
      <c r="Z59" s="12"/>
      <c r="AA59" s="12"/>
      <c r="AB59" s="12"/>
      <c r="AC59" s="12"/>
      <c r="AD59" s="12"/>
      <c r="AE59" s="12"/>
      <c r="AF59" s="12"/>
      <c r="AG59" s="12"/>
      <c r="AH59" s="12"/>
      <c r="AI59" s="12"/>
    </row>
    <row r="60" spans="2:35">
      <c r="I60" s="66"/>
      <c r="J60" s="66"/>
      <c r="K60" s="66"/>
      <c r="S60" s="12"/>
      <c r="T60" s="12"/>
      <c r="U60" s="12"/>
      <c r="V60" s="12"/>
      <c r="W60" s="12"/>
      <c r="X60" s="12"/>
      <c r="Y60" s="12"/>
      <c r="Z60" s="12"/>
      <c r="AA60" s="12"/>
      <c r="AB60" s="12"/>
      <c r="AC60" s="12"/>
      <c r="AD60" s="12"/>
      <c r="AE60" s="12"/>
      <c r="AF60" s="12"/>
      <c r="AG60" s="12"/>
      <c r="AH60" s="12"/>
      <c r="AI60" s="12"/>
    </row>
    <row r="61" spans="2:35">
      <c r="I61" s="88"/>
      <c r="J61" s="89"/>
      <c r="K61" s="89"/>
      <c r="S61" s="12"/>
      <c r="T61" s="12"/>
      <c r="U61" s="12"/>
      <c r="V61" s="12"/>
      <c r="W61" s="12"/>
      <c r="X61" s="12"/>
      <c r="Y61" s="12"/>
      <c r="Z61" s="12"/>
      <c r="AA61" s="12"/>
      <c r="AB61" s="12"/>
      <c r="AC61" s="12"/>
      <c r="AD61" s="12"/>
      <c r="AE61" s="12"/>
      <c r="AF61" s="12"/>
      <c r="AG61" s="12"/>
      <c r="AH61" s="12"/>
      <c r="AI61" s="12"/>
    </row>
    <row r="62" spans="2:35">
      <c r="I62" s="90"/>
      <c r="J62" s="28"/>
      <c r="K62" s="25"/>
      <c r="S62" s="12"/>
      <c r="T62" s="12"/>
      <c r="U62" s="12"/>
      <c r="V62" s="12"/>
      <c r="W62" s="12"/>
      <c r="X62" s="12"/>
      <c r="Y62" s="12"/>
      <c r="Z62" s="12"/>
      <c r="AA62" s="12"/>
      <c r="AB62" s="12"/>
      <c r="AC62" s="12"/>
      <c r="AD62" s="12"/>
      <c r="AE62" s="12"/>
      <c r="AF62" s="12"/>
      <c r="AG62" s="12"/>
      <c r="AH62" s="12"/>
      <c r="AI62" s="12"/>
    </row>
    <row r="63" spans="2:35">
      <c r="I63" s="90"/>
      <c r="J63" s="28"/>
      <c r="K63" s="25"/>
      <c r="S63" s="12"/>
      <c r="T63" s="12"/>
      <c r="U63" s="12"/>
      <c r="V63" s="12"/>
      <c r="W63" s="12"/>
      <c r="X63" s="12"/>
      <c r="Y63" s="12"/>
      <c r="Z63" s="12"/>
      <c r="AA63" s="12"/>
      <c r="AB63" s="12"/>
      <c r="AC63" s="12"/>
      <c r="AD63" s="12"/>
      <c r="AE63" s="12"/>
      <c r="AF63" s="12"/>
      <c r="AG63" s="12"/>
      <c r="AH63" s="12"/>
      <c r="AI63" s="12"/>
    </row>
    <row r="64" spans="2:35">
      <c r="I64" s="90"/>
      <c r="J64" s="28"/>
      <c r="K64" s="25"/>
      <c r="S64" s="12"/>
      <c r="T64" s="12"/>
      <c r="U64" s="12"/>
      <c r="V64" s="12"/>
      <c r="W64" s="12"/>
      <c r="X64" s="12"/>
      <c r="Y64" s="12"/>
      <c r="Z64" s="12"/>
      <c r="AA64" s="12"/>
      <c r="AB64" s="12"/>
      <c r="AC64" s="12"/>
      <c r="AD64" s="12"/>
      <c r="AE64" s="12"/>
      <c r="AF64" s="12"/>
      <c r="AG64" s="12"/>
      <c r="AH64" s="12"/>
      <c r="AI64" s="12"/>
    </row>
    <row r="65" spans="19:35">
      <c r="S65" s="12"/>
      <c r="T65" s="12"/>
      <c r="U65" s="12"/>
      <c r="V65" s="12"/>
      <c r="W65" s="12"/>
      <c r="X65" s="12"/>
      <c r="Y65" s="12"/>
      <c r="Z65" s="12"/>
      <c r="AA65" s="12"/>
      <c r="AB65" s="12"/>
      <c r="AC65" s="12"/>
      <c r="AD65" s="12"/>
      <c r="AE65" s="12"/>
      <c r="AF65" s="12"/>
      <c r="AG65" s="12"/>
      <c r="AH65" s="12"/>
      <c r="AI65" s="12"/>
    </row>
    <row r="66" spans="19:35">
      <c r="S66" s="12"/>
      <c r="T66" s="12"/>
      <c r="U66" s="12"/>
      <c r="V66" s="12"/>
      <c r="W66" s="12"/>
      <c r="X66" s="12"/>
      <c r="Y66" s="12"/>
      <c r="Z66" s="12"/>
      <c r="AA66" s="12"/>
      <c r="AB66" s="12"/>
      <c r="AC66" s="12"/>
      <c r="AD66" s="12"/>
      <c r="AE66" s="12"/>
      <c r="AF66" s="12"/>
      <c r="AG66" s="12"/>
      <c r="AH66" s="12"/>
      <c r="AI66" s="12"/>
    </row>
    <row r="67" spans="19:35">
      <c r="S67" s="3"/>
      <c r="T67" s="3"/>
      <c r="U67" s="3"/>
      <c r="V67" s="3"/>
      <c r="W67" s="3"/>
      <c r="X67" s="3"/>
      <c r="Y67" s="3"/>
      <c r="Z67" s="3"/>
      <c r="AA67" s="3"/>
      <c r="AB67" s="3"/>
    </row>
    <row r="68" spans="19:35">
      <c r="S68" s="3"/>
      <c r="T68" s="3"/>
      <c r="U68" s="3"/>
      <c r="V68" s="3"/>
      <c r="W68" s="3"/>
      <c r="X68" s="3"/>
      <c r="Y68" s="3"/>
      <c r="Z68" s="3"/>
      <c r="AA68" s="3"/>
      <c r="AB68" s="3"/>
    </row>
    <row r="69" spans="19:35">
      <c r="S69" s="3"/>
      <c r="T69" s="3"/>
      <c r="U69" s="3"/>
      <c r="V69" s="3"/>
      <c r="W69" s="3"/>
      <c r="X69" s="3"/>
      <c r="Y69" s="3"/>
      <c r="Z69" s="3"/>
      <c r="AA69" s="3"/>
      <c r="AB69" s="3"/>
    </row>
    <row r="70" spans="19:35">
      <c r="S70" s="3"/>
      <c r="T70" s="3"/>
      <c r="U70" s="3"/>
      <c r="V70" s="3"/>
      <c r="W70" s="3"/>
      <c r="X70" s="3"/>
      <c r="Y70" s="3"/>
      <c r="Z70" s="3"/>
      <c r="AA70" s="3"/>
      <c r="AB70" s="3"/>
    </row>
    <row r="71" spans="19:35">
      <c r="S71" s="3"/>
      <c r="T71" s="3"/>
      <c r="U71" s="3"/>
      <c r="V71" s="3"/>
      <c r="W71" s="3"/>
      <c r="X71" s="3"/>
      <c r="Y71" s="3"/>
      <c r="Z71" s="3"/>
      <c r="AA71" s="3"/>
      <c r="AB71" s="3"/>
    </row>
  </sheetData>
  <mergeCells count="94">
    <mergeCell ref="C36:E36"/>
    <mergeCell ref="G36:K36"/>
    <mergeCell ref="L32:Q32"/>
    <mergeCell ref="F34:M34"/>
    <mergeCell ref="M36:Q36"/>
    <mergeCell ref="B33:D33"/>
    <mergeCell ref="G33:K33"/>
    <mergeCell ref="L33:Q33"/>
    <mergeCell ref="G32:K32"/>
    <mergeCell ref="B32:D32"/>
    <mergeCell ref="L48:Q48"/>
    <mergeCell ref="L54:Q54"/>
    <mergeCell ref="G49:K49"/>
    <mergeCell ref="C3:D3"/>
    <mergeCell ref="E4:L4"/>
    <mergeCell ref="B35:E35"/>
    <mergeCell ref="F35:K35"/>
    <mergeCell ref="I21:J21"/>
    <mergeCell ref="L21:Q21"/>
    <mergeCell ref="B22:D22"/>
    <mergeCell ref="G22:K22"/>
    <mergeCell ref="L22:Q22"/>
    <mergeCell ref="B23:D23"/>
    <mergeCell ref="G23:K23"/>
    <mergeCell ref="L23:Q23"/>
    <mergeCell ref="L28:Q28"/>
    <mergeCell ref="G50:K50"/>
    <mergeCell ref="B51:D51"/>
    <mergeCell ref="B50:D50"/>
    <mergeCell ref="G51:K51"/>
    <mergeCell ref="B52:D52"/>
    <mergeCell ref="G52:K52"/>
    <mergeCell ref="G48:H48"/>
    <mergeCell ref="I48:J48"/>
    <mergeCell ref="E47:K47"/>
    <mergeCell ref="B48:D48"/>
    <mergeCell ref="B49:D49"/>
    <mergeCell ref="L56:P56"/>
    <mergeCell ref="L49:Q49"/>
    <mergeCell ref="L50:Q50"/>
    <mergeCell ref="L51:Q51"/>
    <mergeCell ref="L55:P55"/>
    <mergeCell ref="L53:Q53"/>
    <mergeCell ref="L52:Q52"/>
    <mergeCell ref="B58:D59"/>
    <mergeCell ref="E58:G59"/>
    <mergeCell ref="H58:K59"/>
    <mergeCell ref="B53:D53"/>
    <mergeCell ref="G53:K53"/>
    <mergeCell ref="G54:K54"/>
    <mergeCell ref="B56:E56"/>
    <mergeCell ref="F56:K56"/>
    <mergeCell ref="F55:K55"/>
    <mergeCell ref="B55:E55"/>
    <mergeCell ref="B54:D54"/>
    <mergeCell ref="G29:K29"/>
    <mergeCell ref="B30:D30"/>
    <mergeCell ref="G31:K31"/>
    <mergeCell ref="G28:K28"/>
    <mergeCell ref="L27:Q27"/>
    <mergeCell ref="B28:D28"/>
    <mergeCell ref="B27:D27"/>
    <mergeCell ref="G27:K27"/>
    <mergeCell ref="L29:Q29"/>
    <mergeCell ref="G30:K30"/>
    <mergeCell ref="B29:D29"/>
    <mergeCell ref="L30:Q30"/>
    <mergeCell ref="B31:D31"/>
    <mergeCell ref="L31:Q31"/>
    <mergeCell ref="B25:D25"/>
    <mergeCell ref="G21:H21"/>
    <mergeCell ref="G25:K25"/>
    <mergeCell ref="L25:Q25"/>
    <mergeCell ref="B26:D26"/>
    <mergeCell ref="G26:K26"/>
    <mergeCell ref="L26:Q26"/>
    <mergeCell ref="G24:K24"/>
    <mergeCell ref="L24:Q24"/>
    <mergeCell ref="B2:Q2"/>
    <mergeCell ref="O3:P3"/>
    <mergeCell ref="D5:N5"/>
    <mergeCell ref="L35:Q35"/>
    <mergeCell ref="E3:K3"/>
    <mergeCell ref="C4:D4"/>
    <mergeCell ref="E6:L6"/>
    <mergeCell ref="B8:E8"/>
    <mergeCell ref="F8:K8"/>
    <mergeCell ref="L8:Q8"/>
    <mergeCell ref="C9:E9"/>
    <mergeCell ref="G9:K9"/>
    <mergeCell ref="M9:Q9"/>
    <mergeCell ref="E20:K20"/>
    <mergeCell ref="B24:D24"/>
    <mergeCell ref="B21:D21"/>
  </mergeCells>
  <phoneticPr fontId="31" type="noConversion"/>
  <conditionalFormatting sqref="C4:D4">
    <cfRule type="cellIs" dxfId="60" priority="282" stopIfTrue="1" operator="equal">
      <formula>"B1"</formula>
    </cfRule>
    <cfRule type="cellIs" dxfId="59" priority="281" stopIfTrue="1" operator="equal">
      <formula>"B2"</formula>
    </cfRule>
    <cfRule type="cellIs" dxfId="58" priority="280" stopIfTrue="1" operator="equal">
      <formula>"C"</formula>
    </cfRule>
  </conditionalFormatting>
  <conditionalFormatting sqref="G22:G33">
    <cfRule type="cellIs" dxfId="57" priority="5" stopIfTrue="1" operator="greaterThanOrEqual">
      <formula>0.9</formula>
    </cfRule>
    <cfRule type="cellIs" dxfId="56" priority="1" stopIfTrue="1" operator="between">
      <formula>0</formula>
      <formula>0.599</formula>
    </cfRule>
    <cfRule type="cellIs" dxfId="55" priority="4" stopIfTrue="1" operator="between">
      <formula>0.6</formula>
      <formula>0.899</formula>
    </cfRule>
  </conditionalFormatting>
  <conditionalFormatting sqref="G30">
    <cfRule type="cellIs" dxfId="54" priority="2" stopIfTrue="1" operator="between">
      <formula>0.6</formula>
      <formula>0.899</formula>
    </cfRule>
    <cfRule type="cellIs" dxfId="53" priority="3" stopIfTrue="1" operator="greaterThanOrEqual">
      <formula>0.9</formula>
    </cfRule>
  </conditionalFormatting>
  <conditionalFormatting sqref="G49:G54">
    <cfRule type="cellIs" dxfId="52" priority="9" stopIfTrue="1" operator="between">
      <formula>0</formula>
      <formula>0.599</formula>
    </cfRule>
    <cfRule type="cellIs" dxfId="51" priority="10" stopIfTrue="1" operator="between">
      <formula>0.6</formula>
      <formula>0.899</formula>
    </cfRule>
    <cfRule type="cellIs" dxfId="50" priority="11" stopIfTrue="1" operator="greaterThanOrEqual">
      <formula>0.9</formula>
    </cfRule>
  </conditionalFormatting>
  <conditionalFormatting sqref="G49:K54">
    <cfRule type="cellIs" dxfId="49" priority="6" stopIfTrue="1" operator="greaterThan">
      <formula>0.9</formula>
    </cfRule>
    <cfRule type="cellIs" dxfId="48" priority="7" stopIfTrue="1" operator="between">
      <formula>0.6</formula>
      <formula>0.89</formula>
    </cfRule>
    <cfRule type="cellIs" dxfId="47" priority="8" stopIfTrue="1" operator="lessThan">
      <formula>0.59</formula>
    </cfRule>
  </conditionalFormatting>
  <pageMargins left="0.70866141732283472" right="0.70866141732283472" top="0.74803149606299213" bottom="0.74803149606299213" header="0.31496062992125984" footer="0.31496062992125984"/>
  <pageSetup paperSize="8" scale="87" orientation="landscape" r:id="rId1"/>
  <headerFooter alignWithMargins="0">
    <oddFooter>&amp;L&amp;F&amp;C&amp;A&amp;RV1.0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1"/>
  </sheetPr>
  <dimension ref="A1:Q66"/>
  <sheetViews>
    <sheetView showGridLines="0" zoomScaleNormal="100" workbookViewId="0">
      <selection activeCell="C4" sqref="C4:D4"/>
    </sheetView>
  </sheetViews>
  <sheetFormatPr defaultColWidth="11" defaultRowHeight="14.5"/>
  <cols>
    <col min="1" max="1" width="3.26953125" customWidth="1"/>
    <col min="2" max="2" width="12.26953125" customWidth="1"/>
    <col min="3" max="3" width="13.26953125" customWidth="1"/>
    <col min="4" max="4" width="14.26953125" customWidth="1"/>
    <col min="5" max="5" width="12.7265625" customWidth="1"/>
    <col min="6" max="7" width="17" customWidth="1"/>
    <col min="8" max="8" width="3.7265625" customWidth="1"/>
    <col min="9" max="9" width="17.7265625" customWidth="1"/>
    <col min="10" max="10" width="36.36328125" customWidth="1"/>
    <col min="11" max="11" width="13.7265625" customWidth="1"/>
    <col min="12" max="12" width="13.54296875" customWidth="1"/>
    <col min="13" max="13" width="14" customWidth="1"/>
  </cols>
  <sheetData>
    <row r="1" spans="1:17" ht="28.5" customHeight="1">
      <c r="C1" s="114"/>
      <c r="E1" s="79"/>
    </row>
    <row r="2" spans="1:17" ht="27.75" customHeight="1">
      <c r="B2" s="894" t="str">
        <f>+"Dashboard:  "&amp;"  "&amp;IF(+'Data Input'!B4="Выберите","",'Data Input'!B4&amp;" - ")&amp;IF('Data Input'!F6="Выберите","",'Data Input'!F6)</f>
        <v>Dashboard:    Kyrgyzstan - ВИЧ/СПИД/ТБ</v>
      </c>
      <c r="C2" s="894"/>
      <c r="D2" s="894"/>
      <c r="E2" s="894"/>
      <c r="F2" s="894"/>
      <c r="G2" s="894"/>
      <c r="H2" s="894"/>
      <c r="I2" s="894"/>
      <c r="J2" s="894"/>
      <c r="K2" s="894"/>
      <c r="L2" s="894"/>
      <c r="M2" s="894"/>
      <c r="N2" s="17"/>
      <c r="O2" s="17"/>
      <c r="P2" s="17"/>
      <c r="Q2" s="17"/>
    </row>
    <row r="3" spans="1:17" ht="22.5" customHeight="1">
      <c r="A3" s="200"/>
      <c r="B3" s="201">
        <f>+IF('Data Input'!F8="Пожалуйста выберите","",'Data Input'!F8)</f>
        <v>0</v>
      </c>
      <c r="C3" s="1006">
        <f>+IF('Data Input'!H8="Пожалуйста выберите","",'Data Input'!H8)</f>
        <v>0</v>
      </c>
      <c r="D3" s="1006"/>
      <c r="E3" s="885"/>
      <c r="F3" s="885"/>
      <c r="G3" s="885"/>
      <c r="H3" s="885"/>
      <c r="I3" s="885"/>
      <c r="J3" s="885"/>
      <c r="K3" s="883" t="str">
        <f>+'Data Input'!A16</f>
        <v xml:space="preserve">Reporting period: </v>
      </c>
      <c r="L3" s="883"/>
      <c r="M3" s="93" t="str">
        <f>+'Data Input'!B16</f>
        <v>P3</v>
      </c>
    </row>
    <row r="4" spans="1:17" ht="25.5" customHeight="1">
      <c r="A4" s="200"/>
      <c r="B4" s="206" t="str">
        <f>+'Data Input'!A12</f>
        <v>Last evaluation:</v>
      </c>
      <c r="C4" s="1002" t="str">
        <f>+IF('Data Input'!B12="Выберите","",'Data Input'!B12)</f>
        <v>C</v>
      </c>
      <c r="D4" s="1002"/>
      <c r="E4" s="885" t="str">
        <f>+'Data Input'!B8</f>
        <v>UNDP</v>
      </c>
      <c r="F4" s="885"/>
      <c r="G4" s="885"/>
      <c r="H4" s="885"/>
      <c r="I4" s="885"/>
      <c r="J4" s="885"/>
      <c r="K4" s="883" t="str">
        <f>+'Data Input'!C16</f>
        <v>from:</v>
      </c>
      <c r="L4" s="883"/>
      <c r="M4" s="94">
        <f>+IF(ISBLANK('Data Input'!D16),"",'Data Input'!D16)</f>
        <v>44927</v>
      </c>
    </row>
    <row r="5" spans="1:17" ht="18.75" customHeight="1">
      <c r="B5" s="84"/>
      <c r="C5" s="84"/>
      <c r="D5" s="885" t="str">
        <f>+'Data Input'!F4</f>
        <v>“Effective control of HIV infection and tuberculosis in the Kyrgyz Republic”</v>
      </c>
      <c r="E5" s="885"/>
      <c r="F5" s="885"/>
      <c r="G5" s="885"/>
      <c r="H5" s="885"/>
      <c r="I5" s="885"/>
      <c r="J5" s="885"/>
      <c r="K5" s="885"/>
      <c r="L5" s="84" t="str">
        <f>+'Data Input'!E16</f>
        <v>to:</v>
      </c>
      <c r="M5" s="94">
        <f>+IF(ISBLANK('Data Input'!F16),"",'Data Input'!F16)</f>
        <v>45291</v>
      </c>
    </row>
    <row r="6" spans="1:17" ht="18.5">
      <c r="B6" s="15"/>
      <c r="C6" s="84"/>
      <c r="D6" s="16"/>
      <c r="E6" s="351" t="s">
        <v>582</v>
      </c>
      <c r="F6" s="351"/>
      <c r="G6" s="351"/>
      <c r="H6" s="351"/>
      <c r="I6" s="351"/>
      <c r="J6" s="351"/>
    </row>
    <row r="7" spans="1:17" ht="22.5" customHeight="1" thickBot="1">
      <c r="B7" s="1004" t="str">
        <f>+'Data Input'!A86&amp;" "&amp;+K3&amp;"   "&amp;+M3</f>
        <v>M1:Status of Preliminary Conditions (PCs) and Due Date Actions (DDA) Reporting period:    P3</v>
      </c>
      <c r="C7" s="1004"/>
      <c r="D7" s="1004"/>
      <c r="E7" s="1004"/>
      <c r="F7" s="1004"/>
      <c r="G7" s="391"/>
      <c r="I7" s="176" t="str">
        <f>+'Data Input'!A95&amp;"                                       "&amp;+K3&amp;"  "&amp;+M3</f>
        <v>M2: Status of key management positions in the PR structure                                       Reporting period:   P3</v>
      </c>
    </row>
    <row r="8" spans="1:17" ht="28.5" customHeight="1" thickBot="1">
      <c r="B8" s="315" t="s">
        <v>569</v>
      </c>
      <c r="C8" s="1003" t="s">
        <v>583</v>
      </c>
      <c r="D8" s="1003"/>
      <c r="E8" s="1003"/>
      <c r="F8" s="1003"/>
      <c r="G8" s="316"/>
      <c r="H8" s="317"/>
      <c r="I8" s="315" t="s">
        <v>569</v>
      </c>
      <c r="J8" s="1007" t="s">
        <v>587</v>
      </c>
      <c r="K8" s="1007"/>
      <c r="L8" s="1007"/>
      <c r="M8" s="1007"/>
    </row>
    <row r="10" spans="1:17">
      <c r="A10" s="29"/>
      <c r="D10" s="1005"/>
      <c r="E10" s="898"/>
      <c r="F10" s="898"/>
      <c r="G10" s="28"/>
      <c r="H10" s="28"/>
      <c r="O10" s="31"/>
      <c r="P10" s="31"/>
      <c r="Q10" s="30"/>
    </row>
    <row r="11" spans="1:17">
      <c r="C11" s="72"/>
      <c r="D11" s="1005"/>
      <c r="E11" s="72"/>
      <c r="F11" s="72"/>
      <c r="G11" s="72"/>
      <c r="H11" s="72"/>
      <c r="I11" s="72"/>
    </row>
    <row r="12" spans="1:17">
      <c r="C12" s="72"/>
      <c r="D12" s="72"/>
      <c r="E12" s="72"/>
      <c r="F12" s="72"/>
      <c r="G12" s="72"/>
      <c r="H12" s="72"/>
      <c r="I12" s="72"/>
    </row>
    <row r="13" spans="1:17">
      <c r="C13" s="72"/>
      <c r="D13" s="72"/>
      <c r="E13" s="72"/>
      <c r="F13" s="72"/>
      <c r="G13" s="72"/>
      <c r="H13" s="72"/>
      <c r="I13" s="72"/>
    </row>
    <row r="14" spans="1:17">
      <c r="C14" s="72"/>
      <c r="D14" s="72"/>
      <c r="E14" s="72"/>
      <c r="F14" s="72"/>
      <c r="G14" s="72"/>
      <c r="H14" s="72"/>
      <c r="I14" s="72"/>
    </row>
    <row r="15" spans="1:17">
      <c r="B15" s="72"/>
      <c r="C15" s="49"/>
      <c r="D15" s="50"/>
      <c r="E15" s="50"/>
      <c r="F15" s="50"/>
      <c r="G15" s="50"/>
      <c r="H15" s="50"/>
      <c r="I15" s="51"/>
    </row>
    <row r="16" spans="1:17">
      <c r="B16" s="72"/>
      <c r="C16" s="49"/>
      <c r="D16" s="50"/>
      <c r="E16" s="50"/>
      <c r="F16" s="50"/>
      <c r="G16" s="50"/>
      <c r="H16" s="50"/>
      <c r="I16" s="51"/>
    </row>
    <row r="17" spans="2:14" ht="40.5" customHeight="1"/>
    <row r="18" spans="2:14" ht="27.75" customHeight="1" thickBot="1">
      <c r="B18" s="176" t="str">
        <f>+'Data Input'!A102&amp;"                                                                                                  "&amp;+K3&amp;" "&amp;+M3</f>
        <v>M3: Contractual Agreements (CA)                                                                                                  Reporting period:  P3</v>
      </c>
      <c r="I18" s="176" t="str">
        <f>+'Data Input'!A108&amp;"                                       "&amp;+K3&amp;" "&amp;+M3</f>
        <v>M4: Number of complete reports received by deadline                                       Reporting period:  P3</v>
      </c>
    </row>
    <row r="19" spans="2:14" ht="44.25" customHeight="1" thickBot="1">
      <c r="B19" s="314" t="s">
        <v>569</v>
      </c>
      <c r="C19" s="994" t="s">
        <v>591</v>
      </c>
      <c r="D19" s="994"/>
      <c r="E19" s="994"/>
      <c r="F19" s="994"/>
      <c r="I19" s="314" t="s">
        <v>569</v>
      </c>
      <c r="J19" s="994" t="s">
        <v>590</v>
      </c>
      <c r="K19" s="994"/>
      <c r="L19" s="994"/>
      <c r="M19" s="994"/>
    </row>
    <row r="20" spans="2:14" ht="27.75" customHeight="1">
      <c r="B20" s="176"/>
    </row>
    <row r="21" spans="2:14" ht="27.75" customHeight="1">
      <c r="B21" s="176"/>
      <c r="I21" s="176"/>
    </row>
    <row r="22" spans="2:14" ht="27.75" customHeight="1">
      <c r="B22" s="176"/>
      <c r="I22" s="176"/>
    </row>
    <row r="23" spans="2:14" ht="27.75" customHeight="1">
      <c r="B23" s="176"/>
    </row>
    <row r="24" spans="2:14">
      <c r="B24" s="19"/>
      <c r="I24" s="19"/>
    </row>
    <row r="25" spans="2:14">
      <c r="N25" s="53"/>
    </row>
    <row r="28" spans="2:14" ht="24.75" customHeight="1">
      <c r="B28" s="995" t="str">
        <f>+'Data Input'!A116</f>
        <v>M5: Budget and procurement of medical supplies, medical equipment, medicines and pharmaceuticals</v>
      </c>
      <c r="C28" s="995"/>
      <c r="D28" s="995"/>
      <c r="E28" s="995"/>
      <c r="F28" s="995"/>
      <c r="I28" s="996" t="str">
        <f>+'Data Input'!A129&amp;"                    "&amp;+K3&amp;"  "&amp;+M3</f>
        <v>M6: Difference between current and reserve stocks                    Reporting period:   P3</v>
      </c>
      <c r="J28" s="996"/>
      <c r="K28" s="996"/>
      <c r="L28" s="996"/>
      <c r="M28" s="996"/>
    </row>
    <row r="29" spans="2:14" ht="237.65" customHeight="1" thickBot="1">
      <c r="B29" s="993" t="s">
        <v>569</v>
      </c>
      <c r="C29" s="992" t="s">
        <v>592</v>
      </c>
      <c r="D29" s="992"/>
      <c r="E29" s="992"/>
      <c r="F29" s="992"/>
      <c r="G29" s="202"/>
      <c r="H29" s="177"/>
      <c r="I29" s="392" t="s">
        <v>593</v>
      </c>
      <c r="J29" s="997" t="s">
        <v>1031</v>
      </c>
      <c r="K29" s="998"/>
      <c r="L29" s="998"/>
      <c r="M29" s="998"/>
    </row>
    <row r="30" spans="2:14" ht="113.15" customHeight="1" thickBot="1">
      <c r="B30" s="993"/>
      <c r="C30" s="992"/>
      <c r="D30" s="992"/>
      <c r="E30" s="992"/>
      <c r="F30" s="992"/>
      <c r="I30" s="392" t="s">
        <v>594</v>
      </c>
      <c r="J30" s="997" t="s">
        <v>595</v>
      </c>
      <c r="K30" s="998"/>
      <c r="L30" s="998"/>
      <c r="M30" s="998"/>
    </row>
    <row r="31" spans="2:14" ht="87.65" customHeight="1">
      <c r="F31" s="158"/>
      <c r="G31" s="158"/>
      <c r="H31" s="158"/>
      <c r="I31" s="361" t="s">
        <v>69</v>
      </c>
      <c r="J31" s="362" t="s">
        <v>596</v>
      </c>
      <c r="K31" s="363" t="s">
        <v>597</v>
      </c>
      <c r="L31" s="363" t="s">
        <v>598</v>
      </c>
      <c r="M31" s="364" t="s">
        <v>599</v>
      </c>
    </row>
    <row r="32" spans="2:14" ht="22.5" customHeight="1">
      <c r="F32" s="158"/>
      <c r="G32" s="158"/>
      <c r="H32" s="158"/>
      <c r="I32" s="999" t="s">
        <v>600</v>
      </c>
      <c r="J32" s="354" t="s">
        <v>21</v>
      </c>
      <c r="K32" s="354">
        <f>'Data Input'!I132</f>
        <v>11.781609195402298</v>
      </c>
      <c r="L32" s="354">
        <v>3</v>
      </c>
      <c r="M32" s="376">
        <f>K32-L32</f>
        <v>8.7816091954022983</v>
      </c>
    </row>
    <row r="33" spans="6:13">
      <c r="F33" s="158"/>
      <c r="G33" s="158"/>
      <c r="H33" s="158"/>
      <c r="I33" s="1000"/>
      <c r="J33" s="354" t="s">
        <v>22</v>
      </c>
      <c r="K33" s="354">
        <f>'Data Input'!I133</f>
        <v>9.6162878787878796</v>
      </c>
      <c r="L33" s="354">
        <v>3</v>
      </c>
      <c r="M33" s="376">
        <f t="shared" ref="M33:M42" si="0">K33-L33</f>
        <v>6.6162878787878796</v>
      </c>
    </row>
    <row r="34" spans="6:13">
      <c r="F34" s="158"/>
      <c r="G34" s="158"/>
      <c r="H34" s="158"/>
      <c r="I34" s="1000"/>
      <c r="J34" s="354" t="s">
        <v>23</v>
      </c>
      <c r="K34" s="354">
        <f>'Data Input'!I134</f>
        <v>3.7142857142857144</v>
      </c>
      <c r="L34" s="354">
        <v>3</v>
      </c>
      <c r="M34" s="376">
        <f t="shared" si="0"/>
        <v>0.71428571428571441</v>
      </c>
    </row>
    <row r="35" spans="6:13">
      <c r="F35" s="158"/>
      <c r="G35" s="158"/>
      <c r="H35" s="158"/>
      <c r="I35" s="1000"/>
      <c r="J35" s="354" t="s">
        <v>24</v>
      </c>
      <c r="K35" s="354">
        <f>'Data Input'!I135</f>
        <v>12.849568221070811</v>
      </c>
      <c r="L35" s="354">
        <v>3</v>
      </c>
      <c r="M35" s="376">
        <f t="shared" si="0"/>
        <v>9.8495682210708111</v>
      </c>
    </row>
    <row r="36" spans="6:13">
      <c r="F36" s="158"/>
      <c r="G36" s="158"/>
      <c r="H36" s="158"/>
      <c r="I36" s="1000"/>
      <c r="J36" s="354" t="s">
        <v>25</v>
      </c>
      <c r="K36" s="354">
        <f>'Data Input'!I136</f>
        <v>8.132992327365729</v>
      </c>
      <c r="L36" s="354">
        <v>3</v>
      </c>
      <c r="M36" s="376">
        <f t="shared" si="0"/>
        <v>5.132992327365729</v>
      </c>
    </row>
    <row r="37" spans="6:13">
      <c r="F37" s="158"/>
      <c r="G37" s="158"/>
      <c r="H37" s="158"/>
      <c r="I37" s="1000"/>
      <c r="J37" s="354" t="s">
        <v>26</v>
      </c>
      <c r="K37" s="354">
        <f>'Data Input'!I137</f>
        <v>8.2595238095238095</v>
      </c>
      <c r="L37" s="354">
        <v>3</v>
      </c>
      <c r="M37" s="376">
        <f t="shared" si="0"/>
        <v>5.2595238095238095</v>
      </c>
    </row>
    <row r="38" spans="6:13">
      <c r="F38" s="158"/>
      <c r="G38" s="158"/>
      <c r="H38" s="158"/>
      <c r="I38" s="1000"/>
      <c r="J38" s="354" t="s">
        <v>27</v>
      </c>
      <c r="K38" s="354">
        <f>'Data Input'!I138</f>
        <v>5.0853551912568307</v>
      </c>
      <c r="L38" s="354">
        <v>3</v>
      </c>
      <c r="M38" s="376">
        <f t="shared" si="0"/>
        <v>2.0853551912568307</v>
      </c>
    </row>
    <row r="39" spans="6:13" ht="15" customHeight="1">
      <c r="F39" s="158"/>
      <c r="G39" s="158"/>
      <c r="H39" s="158"/>
      <c r="I39" s="1000"/>
      <c r="J39" s="354" t="s">
        <v>66</v>
      </c>
      <c r="K39" s="354">
        <f>'Data Input'!I139</f>
        <v>19.798148148148147</v>
      </c>
      <c r="L39" s="354">
        <v>3</v>
      </c>
      <c r="M39" s="376">
        <f t="shared" si="0"/>
        <v>16.798148148148147</v>
      </c>
    </row>
    <row r="40" spans="6:13">
      <c r="F40" s="158"/>
      <c r="G40" s="158"/>
      <c r="H40" s="158"/>
      <c r="I40" s="1000"/>
      <c r="J40" s="354" t="s">
        <v>29</v>
      </c>
      <c r="K40" s="354">
        <f>'Data Input'!I140</f>
        <v>8.0207017543859642</v>
      </c>
      <c r="L40" s="354">
        <v>3</v>
      </c>
      <c r="M40" s="376">
        <f t="shared" si="0"/>
        <v>5.0207017543859642</v>
      </c>
    </row>
    <row r="41" spans="6:13">
      <c r="F41" s="158"/>
      <c r="G41" s="158"/>
      <c r="H41" s="158"/>
      <c r="I41" s="1000"/>
      <c r="J41" s="354" t="s">
        <v>33</v>
      </c>
      <c r="K41" s="354">
        <f>'Data Input'!I144</f>
        <v>14.730263157894736</v>
      </c>
      <c r="L41" s="354">
        <v>3</v>
      </c>
      <c r="M41" s="376">
        <f t="shared" si="0"/>
        <v>11.730263157894736</v>
      </c>
    </row>
    <row r="42" spans="6:13">
      <c r="F42" s="158"/>
      <c r="G42" s="158"/>
      <c r="H42" s="158"/>
      <c r="I42" s="1000"/>
      <c r="J42" s="354" t="s">
        <v>30</v>
      </c>
      <c r="K42" s="354">
        <f>'Data Input'!I141</f>
        <v>15.007472762515874</v>
      </c>
      <c r="L42" s="354">
        <v>3</v>
      </c>
      <c r="M42" s="376">
        <f t="shared" si="0"/>
        <v>12.007472762515874</v>
      </c>
    </row>
    <row r="43" spans="6:13">
      <c r="F43" s="158"/>
      <c r="G43" s="158"/>
      <c r="H43" s="158"/>
      <c r="I43" s="1000"/>
      <c r="J43" s="354" t="s">
        <v>67</v>
      </c>
      <c r="K43" s="354">
        <f>'Data Input'!I142</f>
        <v>18.357142857142858</v>
      </c>
      <c r="L43" s="354">
        <v>3</v>
      </c>
      <c r="M43" s="376">
        <f>K43-L43</f>
        <v>15.357142857142858</v>
      </c>
    </row>
    <row r="44" spans="6:13">
      <c r="F44" s="158"/>
      <c r="G44" s="158"/>
      <c r="H44" s="158"/>
      <c r="I44" s="1000"/>
      <c r="J44" s="354" t="s">
        <v>601</v>
      </c>
      <c r="K44" s="354">
        <f>'Data Input'!I143</f>
        <v>10.4</v>
      </c>
      <c r="L44" s="354">
        <v>3</v>
      </c>
      <c r="M44" s="376">
        <f>K44-L44</f>
        <v>7.4</v>
      </c>
    </row>
    <row r="45" spans="6:13">
      <c r="F45" s="158"/>
      <c r="G45" s="158"/>
      <c r="H45" s="158"/>
      <c r="I45" s="1000"/>
      <c r="J45" s="354" t="s">
        <v>602</v>
      </c>
      <c r="K45" s="354">
        <v>23</v>
      </c>
      <c r="L45" s="354">
        <v>3</v>
      </c>
      <c r="M45" s="355">
        <f t="shared" ref="M45" si="1">K45-L45</f>
        <v>20</v>
      </c>
    </row>
    <row r="46" spans="6:13">
      <c r="F46" s="158"/>
      <c r="G46" s="158"/>
      <c r="H46" s="158"/>
      <c r="I46" s="1000"/>
      <c r="J46" s="356" t="s">
        <v>603</v>
      </c>
      <c r="K46" s="359">
        <v>3</v>
      </c>
      <c r="L46" s="375">
        <v>3</v>
      </c>
      <c r="M46" s="376">
        <f>K46-L46</f>
        <v>0</v>
      </c>
    </row>
    <row r="47" spans="6:13" ht="15" thickBot="1">
      <c r="F47" s="158"/>
      <c r="G47" s="158"/>
      <c r="H47" s="158"/>
      <c r="I47" s="1001"/>
      <c r="J47" s="360" t="s">
        <v>604</v>
      </c>
      <c r="K47" s="357">
        <f>31200/3599</f>
        <v>8.6690747429841615</v>
      </c>
      <c r="L47" s="357">
        <v>3</v>
      </c>
      <c r="M47" s="358">
        <f>K47-L47</f>
        <v>5.6690747429841615</v>
      </c>
    </row>
    <row r="48" spans="6:13" ht="15" thickBot="1">
      <c r="F48" s="158"/>
      <c r="G48" s="158"/>
      <c r="H48" s="158"/>
      <c r="I48" s="991" t="s">
        <v>376</v>
      </c>
      <c r="J48" s="470" t="s">
        <v>404</v>
      </c>
      <c r="K48" s="471">
        <f>'Data Input'!I145</f>
        <v>0</v>
      </c>
      <c r="L48" s="472">
        <v>0</v>
      </c>
      <c r="M48" s="473">
        <f>K48-L48</f>
        <v>0</v>
      </c>
    </row>
    <row r="49" spans="2:13">
      <c r="F49" s="158"/>
      <c r="G49" s="158"/>
      <c r="H49" s="158"/>
      <c r="I49" s="991"/>
      <c r="J49" s="474" t="s">
        <v>405</v>
      </c>
      <c r="K49" s="471">
        <f>'Data Input'!I146</f>
        <v>0</v>
      </c>
      <c r="L49" s="472">
        <v>0</v>
      </c>
      <c r="M49" s="473">
        <f t="shared" ref="M49:M65" si="2">K49-L49</f>
        <v>0</v>
      </c>
    </row>
    <row r="50" spans="2:13">
      <c r="I50" s="991"/>
      <c r="J50" s="474" t="s">
        <v>406</v>
      </c>
      <c r="K50" s="471">
        <f>'Data Input'!I147</f>
        <v>0</v>
      </c>
      <c r="L50" s="472">
        <v>3</v>
      </c>
      <c r="M50" s="473">
        <f t="shared" si="2"/>
        <v>-3</v>
      </c>
    </row>
    <row r="51" spans="2:13">
      <c r="I51" s="991"/>
      <c r="J51" s="474" t="s">
        <v>605</v>
      </c>
      <c r="K51" s="471">
        <f>'Data Input'!I148</f>
        <v>1.6217391304347826</v>
      </c>
      <c r="L51" s="472">
        <v>3</v>
      </c>
      <c r="M51" s="473">
        <f t="shared" si="2"/>
        <v>-1.3782608695652174</v>
      </c>
    </row>
    <row r="52" spans="2:13">
      <c r="I52" s="991"/>
      <c r="J52" s="474" t="s">
        <v>407</v>
      </c>
      <c r="K52" s="471">
        <f>'Data Input'!I149</f>
        <v>5.7665189561792225</v>
      </c>
      <c r="L52" s="472">
        <v>3</v>
      </c>
      <c r="M52" s="473">
        <f t="shared" si="2"/>
        <v>2.7665189561792225</v>
      </c>
    </row>
    <row r="53" spans="2:13">
      <c r="B53" s="393"/>
      <c r="C53" s="393"/>
      <c r="D53" s="393"/>
      <c r="E53" s="393"/>
      <c r="I53" s="991"/>
      <c r="J53" s="474" t="s">
        <v>606</v>
      </c>
      <c r="K53" s="471">
        <f>'Data Input'!I150</f>
        <v>0</v>
      </c>
      <c r="L53" s="472">
        <v>3</v>
      </c>
      <c r="M53" s="473">
        <f t="shared" si="2"/>
        <v>-3</v>
      </c>
    </row>
    <row r="54" spans="2:13">
      <c r="I54" s="991"/>
      <c r="J54" s="474" t="s">
        <v>409</v>
      </c>
      <c r="K54" s="471">
        <f>'Data Input'!I151</f>
        <v>0.49285714285714288</v>
      </c>
      <c r="L54" s="472">
        <v>3</v>
      </c>
      <c r="M54" s="473">
        <f t="shared" si="2"/>
        <v>-2.5071428571428571</v>
      </c>
    </row>
    <row r="55" spans="2:13">
      <c r="I55" s="991"/>
      <c r="J55" s="474" t="s">
        <v>607</v>
      </c>
      <c r="K55" s="471">
        <f>'Data Input'!I152</f>
        <v>5.6812915910465822</v>
      </c>
      <c r="L55" s="472">
        <v>3</v>
      </c>
      <c r="M55" s="473">
        <f t="shared" si="2"/>
        <v>2.6812915910465822</v>
      </c>
    </row>
    <row r="56" spans="2:13">
      <c r="I56" s="991"/>
      <c r="J56" s="474" t="s">
        <v>411</v>
      </c>
      <c r="K56" s="471">
        <f>'Data Input'!I153</f>
        <v>11.166236559139785</v>
      </c>
      <c r="L56" s="472">
        <v>3</v>
      </c>
      <c r="M56" s="473">
        <f t="shared" si="2"/>
        <v>8.1662365591397847</v>
      </c>
    </row>
    <row r="57" spans="2:13">
      <c r="I57" s="991"/>
      <c r="J57" s="474" t="s">
        <v>35</v>
      </c>
      <c r="K57" s="471">
        <f>'Data Input'!I154</f>
        <v>0</v>
      </c>
      <c r="L57" s="472">
        <v>3</v>
      </c>
      <c r="M57" s="473">
        <f t="shared" si="2"/>
        <v>-3</v>
      </c>
    </row>
    <row r="58" spans="2:13">
      <c r="I58" s="991"/>
      <c r="J58" s="474" t="s">
        <v>412</v>
      </c>
      <c r="K58" s="471">
        <f>'Data Input'!I155</f>
        <v>0</v>
      </c>
      <c r="L58" s="472">
        <v>3</v>
      </c>
      <c r="M58" s="473">
        <f t="shared" si="2"/>
        <v>-3</v>
      </c>
    </row>
    <row r="59" spans="2:13">
      <c r="I59" s="991"/>
      <c r="J59" s="474" t="str">
        <f>'Data Input'!B156</f>
        <v>Pretomanid 200 mg Pills</v>
      </c>
      <c r="K59" s="471">
        <f>'Data Input'!I156</f>
        <v>117.75520833333333</v>
      </c>
      <c r="L59" s="472">
        <v>3</v>
      </c>
      <c r="M59" s="473">
        <f t="shared" si="2"/>
        <v>114.75520833333333</v>
      </c>
    </row>
    <row r="60" spans="2:13">
      <c r="I60" s="991"/>
      <c r="J60" s="474" t="s">
        <v>608</v>
      </c>
      <c r="K60" s="471">
        <f>'Data Input'!I157</f>
        <v>0</v>
      </c>
      <c r="L60" s="472">
        <v>3</v>
      </c>
      <c r="M60" s="473">
        <f t="shared" si="2"/>
        <v>-3</v>
      </c>
    </row>
    <row r="61" spans="2:13">
      <c r="I61" s="991"/>
      <c r="J61" s="474" t="s">
        <v>416</v>
      </c>
      <c r="K61" s="471">
        <f>'Data Input'!I158</f>
        <v>26.324860335195531</v>
      </c>
      <c r="L61" s="472">
        <v>3</v>
      </c>
      <c r="M61" s="473">
        <f t="shared" si="2"/>
        <v>23.324860335195531</v>
      </c>
    </row>
    <row r="62" spans="2:13">
      <c r="I62" s="991"/>
      <c r="J62" s="474" t="s">
        <v>415</v>
      </c>
      <c r="K62" s="471">
        <f>'Data Input'!I159</f>
        <v>2.3695652173913042</v>
      </c>
      <c r="L62" s="472">
        <v>3</v>
      </c>
      <c r="M62" s="473">
        <f t="shared" si="2"/>
        <v>-0.63043478260869579</v>
      </c>
    </row>
    <row r="63" spans="2:13">
      <c r="I63" s="991"/>
      <c r="J63" s="474" t="s">
        <v>417</v>
      </c>
      <c r="K63" s="471">
        <f>'Data Input'!I160</f>
        <v>26.501053283767039</v>
      </c>
      <c r="L63" s="472">
        <v>3</v>
      </c>
      <c r="M63" s="473">
        <f t="shared" si="2"/>
        <v>23.501053283767039</v>
      </c>
    </row>
    <row r="64" spans="2:13">
      <c r="I64" s="991"/>
      <c r="J64" s="474" t="s">
        <v>418</v>
      </c>
      <c r="K64" s="475">
        <f>'Data Input'!I161</f>
        <v>25.858955137815709</v>
      </c>
      <c r="L64" s="476">
        <v>3</v>
      </c>
      <c r="M64" s="473">
        <f t="shared" si="2"/>
        <v>22.858955137815709</v>
      </c>
    </row>
    <row r="65" spans="9:13">
      <c r="I65" s="991"/>
      <c r="J65" s="474" t="s">
        <v>419</v>
      </c>
      <c r="K65" s="477">
        <f>'Data Input'!I162</f>
        <v>25.885210622710623</v>
      </c>
      <c r="L65" s="478">
        <v>3</v>
      </c>
      <c r="M65" s="473">
        <f t="shared" si="2"/>
        <v>22.885210622710623</v>
      </c>
    </row>
    <row r="66" spans="9:13">
      <c r="I66" s="991"/>
      <c r="J66" s="479" t="s">
        <v>609</v>
      </c>
      <c r="K66" s="480">
        <v>10.4</v>
      </c>
      <c r="L66" s="480">
        <v>3</v>
      </c>
      <c r="M66" s="473">
        <f>K66-L66</f>
        <v>7.4</v>
      </c>
    </row>
  </sheetData>
  <mergeCells count="23">
    <mergeCell ref="B2:M2"/>
    <mergeCell ref="C4:D4"/>
    <mergeCell ref="E3:J3"/>
    <mergeCell ref="K3:L3"/>
    <mergeCell ref="E10:F10"/>
    <mergeCell ref="C8:F8"/>
    <mergeCell ref="B7:F7"/>
    <mergeCell ref="D10:D11"/>
    <mergeCell ref="C3:D3"/>
    <mergeCell ref="E4:J4"/>
    <mergeCell ref="K4:L4"/>
    <mergeCell ref="J8:M8"/>
    <mergeCell ref="D5:K5"/>
    <mergeCell ref="I48:I66"/>
    <mergeCell ref="C29:F30"/>
    <mergeCell ref="B29:B30"/>
    <mergeCell ref="J19:M19"/>
    <mergeCell ref="B28:F28"/>
    <mergeCell ref="I28:M28"/>
    <mergeCell ref="J29:M29"/>
    <mergeCell ref="J30:M30"/>
    <mergeCell ref="C19:F19"/>
    <mergeCell ref="I32:I47"/>
  </mergeCells>
  <phoneticPr fontId="31" type="noConversion"/>
  <conditionalFormatting sqref="C4:D4">
    <cfRule type="cellIs" dxfId="46" priority="4" stopIfTrue="1" operator="equal">
      <formula>"C"</formula>
    </cfRule>
    <cfRule type="cellIs" dxfId="45" priority="5" stopIfTrue="1" operator="equal">
      <formula>"B2"</formula>
    </cfRule>
    <cfRule type="cellIs" dxfId="44" priority="6" stopIfTrue="1" operator="equal">
      <formula>"B1"</formula>
    </cfRule>
  </conditionalFormatting>
  <conditionalFormatting sqref="D15:D16">
    <cfRule type="cellIs" dxfId="43" priority="1" stopIfTrue="1" operator="greaterThan">
      <formula>0</formula>
    </cfRule>
  </conditionalFormatting>
  <conditionalFormatting sqref="E15:E16">
    <cfRule type="cellIs" dxfId="42" priority="2" stopIfTrue="1" operator="greaterThan">
      <formula>0</formula>
    </cfRule>
  </conditionalFormatting>
  <conditionalFormatting sqref="F15:H16">
    <cfRule type="cellIs" dxfId="41" priority="3" stopIfTrue="1" operator="greaterThan">
      <formula>0</formula>
    </cfRule>
  </conditionalFormatting>
  <dataValidations count="2">
    <dataValidation type="list" allowBlank="1" showInputMessage="1" showErrorMessage="1" sqref="J48:J65" xr:uid="{173D2DE5-5CC1-4D2E-8A90-3B545477ECCC}">
      <formula1>мва</formula1>
    </dataValidation>
    <dataValidation type="list" allowBlank="1" showInputMessage="1" showErrorMessage="1" sqref="J37:J43" xr:uid="{00000000-0002-0000-0500-000001000000}">
      <formula1>Medicaments</formula1>
    </dataValidation>
  </dataValidations>
  <pageMargins left="0.70866141732283472" right="0.70866141732283472" top="0.74803149606299213" bottom="0.74803149606299213" header="0.31496062992125984" footer="0.31496062992125984"/>
  <pageSetup paperSize="8" scale="83" orientation="landscape" r:id="rId1"/>
  <headerFooter alignWithMargins="0">
    <oddFooter>&amp;L&amp;F&amp;C&amp;A&amp;RV1.0          &amp;D</oddFooter>
  </headerFooter>
  <colBreaks count="1" manualBreakCount="1">
    <brk id="13" max="33"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E016-5D72-49E7-A60E-9E30C2C48A26}">
  <sheetPr>
    <tabColor indexed="51"/>
  </sheetPr>
  <dimension ref="B1:O22"/>
  <sheetViews>
    <sheetView showGridLines="0" showRowColHeaders="0" topLeftCell="A10" zoomScale="120" zoomScaleNormal="100" workbookViewId="0">
      <selection activeCell="B22" sqref="B22:L22"/>
    </sheetView>
  </sheetViews>
  <sheetFormatPr defaultColWidth="11" defaultRowHeight="14.5"/>
  <cols>
    <col min="1" max="1" width="1.26953125" customWidth="1"/>
    <col min="2" max="10" width="11.453125" customWidth="1"/>
    <col min="11" max="11" width="1.7265625" customWidth="1"/>
  </cols>
  <sheetData>
    <row r="1" spans="2:15" ht="25.5" customHeight="1"/>
    <row r="2" spans="2:15" ht="36">
      <c r="B2" s="632" t="str">
        <f>+"Панель показателей:  "&amp;"  "&amp;IF(+'Ввод данных'!B4="Выберите","",'Ввод данных'!B4&amp;" - ")&amp;IF('Ввод данных'!F6="Выберите","",'Ввод данных'!F6)</f>
        <v>Панель показателей:    Кыргызстан - ВИЧ/СПИД/ТБ</v>
      </c>
      <c r="C2" s="632"/>
      <c r="D2" s="632"/>
      <c r="E2" s="632"/>
      <c r="F2" s="632"/>
      <c r="G2" s="632"/>
      <c r="H2" s="632"/>
      <c r="I2" s="632"/>
      <c r="J2" s="632"/>
      <c r="K2" s="632"/>
      <c r="L2" s="632"/>
      <c r="M2" s="632"/>
      <c r="N2" s="523"/>
      <c r="O2" s="523"/>
    </row>
    <row r="4" spans="2:15" ht="21">
      <c r="B4" s="628" t="str">
        <f>+IF('Ввод данных'!F6="Выберите", "",'Ввод данных'!F6) &amp;"  "&amp;+IF('Ввод данных'!F8="Выберите", "", 'Ввод данных'!F8&amp;",  ")&amp;+IF('Ввод данных'!H8="Выберите","",'Ввод данных'!H8)</f>
        <v xml:space="preserve">ВИЧ/СПИД/ТБ  ,  </v>
      </c>
      <c r="C4" s="628"/>
      <c r="D4" s="628"/>
      <c r="E4" s="629"/>
      <c r="F4" s="113"/>
      <c r="G4" s="113"/>
      <c r="H4" s="112" t="str">
        <f>+'Ввод данных'!A6&amp;" "&amp;+'Ввод данных'!B6</f>
        <v>Грант № KGZ-C-UNDP</v>
      </c>
      <c r="I4" s="112"/>
      <c r="J4" s="112"/>
      <c r="K4" s="113"/>
      <c r="L4" s="113"/>
    </row>
    <row r="22" spans="2:12" ht="26">
      <c r="B22" s="630" t="s">
        <v>0</v>
      </c>
      <c r="C22" s="631"/>
      <c r="D22" s="631"/>
      <c r="E22" s="631"/>
      <c r="F22" s="631"/>
      <c r="G22" s="631"/>
      <c r="H22" s="631"/>
      <c r="I22" s="631"/>
      <c r="J22" s="631"/>
      <c r="K22" s="631"/>
      <c r="L22" s="631"/>
    </row>
  </sheetData>
  <sheetProtection password="CFC9" sheet="1"/>
  <mergeCells count="3">
    <mergeCell ref="B4:E4"/>
    <mergeCell ref="B22:L22"/>
    <mergeCell ref="B2:M2"/>
  </mergeCells>
  <pageMargins left="0.70866141732283472" right="0.70866141732283472" top="0.74803149606299213" bottom="0.74803149606299213" header="0.31496062992125984" footer="0.31496062992125984"/>
  <pageSetup paperSize="8" orientation="landscape" r:id="rId1"/>
  <headerFooter>
    <oddFooter>&amp;L&amp;F&amp;C&amp;A&amp;R&amp;D</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FE20-A5BC-4E9E-99CB-C2D5932447FD}">
  <sheetPr>
    <tabColor rgb="FFFFC000"/>
  </sheetPr>
  <dimension ref="A1:AG237"/>
  <sheetViews>
    <sheetView showGridLines="0" zoomScaleNormal="100" workbookViewId="0">
      <selection activeCell="B12" sqref="B12:C12"/>
    </sheetView>
  </sheetViews>
  <sheetFormatPr defaultColWidth="11" defaultRowHeight="14.5"/>
  <cols>
    <col min="1" max="1" width="74.7265625" customWidth="1"/>
    <col min="2" max="2" width="24.81640625" customWidth="1"/>
    <col min="3" max="3" width="20" customWidth="1"/>
    <col min="4" max="4" width="22.7265625" customWidth="1"/>
    <col min="5" max="5" width="16.453125" customWidth="1"/>
    <col min="6" max="6" width="23.7265625" customWidth="1"/>
    <col min="7" max="7" width="12.453125" customWidth="1"/>
    <col min="8" max="8" width="16.7265625" customWidth="1"/>
    <col min="9" max="9" width="13.54296875" customWidth="1"/>
    <col min="10" max="10" width="14.453125" customWidth="1"/>
    <col min="11" max="11" width="11.26953125" customWidth="1"/>
    <col min="12" max="12" width="13.453125" customWidth="1"/>
    <col min="13" max="13" width="11.453125" customWidth="1"/>
    <col min="14" max="14" width="15.7265625" customWidth="1"/>
    <col min="15" max="15" width="15.54296875" customWidth="1"/>
    <col min="16" max="16" width="16.26953125" customWidth="1"/>
    <col min="17" max="17" width="13.7265625" customWidth="1"/>
    <col min="18" max="18" width="14.7265625" customWidth="1"/>
    <col min="19" max="19" width="16" customWidth="1"/>
    <col min="20" max="20" width="11.453125" hidden="1" customWidth="1"/>
    <col min="21" max="21" width="15.54296875" customWidth="1"/>
    <col min="22" max="22" width="11.453125" customWidth="1"/>
    <col min="23" max="23" width="2.26953125" customWidth="1"/>
    <col min="24" max="24" width="1.26953125" customWidth="1"/>
    <col min="25" max="25" width="3.26953125" customWidth="1"/>
    <col min="26" max="26" width="17" customWidth="1"/>
    <col min="27" max="27" width="15" customWidth="1"/>
    <col min="28" max="28" width="11.453125" customWidth="1"/>
    <col min="29" max="29" width="13.54296875" customWidth="1"/>
    <col min="30" max="30" width="16.7265625" customWidth="1"/>
    <col min="31" max="31" width="11.453125" customWidth="1"/>
    <col min="32" max="32" width="2" customWidth="1"/>
    <col min="33" max="33" width="3.26953125" customWidth="1"/>
    <col min="34" max="34" width="2.26953125" customWidth="1"/>
    <col min="35" max="35" width="40.7265625" customWidth="1"/>
    <col min="36" max="36" width="15.453125" customWidth="1"/>
  </cols>
  <sheetData>
    <row r="1" spans="1:12" ht="29.25" customHeight="1">
      <c r="B1" s="629"/>
      <c r="C1" s="629"/>
    </row>
    <row r="2" spans="1:12" ht="15.75" customHeight="1">
      <c r="A2" s="1014" t="s">
        <v>964</v>
      </c>
      <c r="B2" s="1014"/>
      <c r="C2" s="1014"/>
      <c r="D2" s="1014"/>
      <c r="E2" s="1014"/>
      <c r="F2" s="1014"/>
      <c r="G2" s="1014"/>
      <c r="H2" s="1014"/>
      <c r="I2" s="1014"/>
      <c r="J2" s="580"/>
      <c r="K2" s="580"/>
      <c r="L2" s="580"/>
    </row>
    <row r="3" spans="1:12" ht="4.5" customHeight="1"/>
    <row r="4" spans="1:12">
      <c r="A4" s="128" t="s">
        <v>963</v>
      </c>
      <c r="B4" s="678" t="s">
        <v>1</v>
      </c>
      <c r="C4" s="679"/>
      <c r="D4" s="681" t="s">
        <v>962</v>
      </c>
      <c r="E4" s="681"/>
      <c r="F4" s="521" t="s">
        <v>961</v>
      </c>
      <c r="G4" s="380"/>
      <c r="H4" s="380"/>
      <c r="I4" s="381"/>
    </row>
    <row r="5" spans="1:12" ht="3" customHeight="1">
      <c r="A5" s="128"/>
      <c r="D5" s="130"/>
      <c r="E5" s="130"/>
    </row>
    <row r="6" spans="1:12" ht="15" customHeight="1">
      <c r="A6" s="128" t="s">
        <v>960</v>
      </c>
      <c r="B6" s="678" t="s">
        <v>2</v>
      </c>
      <c r="C6" s="679"/>
      <c r="D6" s="681" t="s">
        <v>959</v>
      </c>
      <c r="E6" s="681"/>
      <c r="F6" s="151" t="s">
        <v>3</v>
      </c>
      <c r="G6" s="128" t="s">
        <v>958</v>
      </c>
      <c r="H6" s="682" t="s">
        <v>4</v>
      </c>
      <c r="I6" s="683"/>
      <c r="K6" s="96"/>
    </row>
    <row r="7" spans="1:12" ht="3" customHeight="1">
      <c r="A7" s="128"/>
      <c r="D7" s="130"/>
      <c r="E7" s="130"/>
      <c r="G7" s="128"/>
    </row>
    <row r="8" spans="1:12">
      <c r="A8" s="128" t="s">
        <v>957</v>
      </c>
      <c r="B8" s="678" t="s">
        <v>810</v>
      </c>
      <c r="C8" s="679"/>
      <c r="D8" s="130"/>
      <c r="E8" s="128" t="s">
        <v>956</v>
      </c>
      <c r="F8" s="384"/>
      <c r="G8" s="128" t="s">
        <v>955</v>
      </c>
      <c r="H8" s="678"/>
      <c r="I8" s="679"/>
    </row>
    <row r="9" spans="1:12" ht="3" customHeight="1">
      <c r="A9" s="130"/>
      <c r="D9" s="130"/>
      <c r="E9" s="130"/>
    </row>
    <row r="10" spans="1:12">
      <c r="A10" s="128" t="s">
        <v>954</v>
      </c>
      <c r="B10" s="1015">
        <v>44197</v>
      </c>
      <c r="C10" s="1016"/>
      <c r="D10" s="686" t="s">
        <v>953</v>
      </c>
      <c r="E10" s="688"/>
      <c r="F10" s="678" t="s">
        <v>5</v>
      </c>
      <c r="G10" s="690"/>
      <c r="H10" s="690"/>
      <c r="I10" s="679"/>
    </row>
    <row r="11" spans="1:12" ht="5.25" customHeight="1"/>
    <row r="12" spans="1:12" ht="15" customHeight="1">
      <c r="A12" s="128" t="s">
        <v>952</v>
      </c>
      <c r="B12" s="1017" t="s">
        <v>105</v>
      </c>
      <c r="C12" s="1017"/>
      <c r="D12" s="686" t="s">
        <v>951</v>
      </c>
      <c r="E12" s="681"/>
      <c r="F12" s="687" t="s">
        <v>950</v>
      </c>
      <c r="G12" s="687"/>
      <c r="H12" s="687"/>
      <c r="I12" s="687"/>
    </row>
    <row r="13" spans="1:12" ht="5.25" customHeight="1"/>
    <row r="14" spans="1:12" ht="15.75" customHeight="1">
      <c r="A14" s="1014" t="s">
        <v>949</v>
      </c>
      <c r="B14" s="1014"/>
      <c r="C14" s="1014"/>
      <c r="D14" s="1014"/>
      <c r="E14" s="1014"/>
      <c r="F14" s="1014"/>
      <c r="G14" s="1014"/>
      <c r="H14" s="1014"/>
      <c r="I14" s="1014"/>
    </row>
    <row r="15" spans="1:12" ht="3" customHeight="1"/>
    <row r="16" spans="1:12">
      <c r="A16" s="128" t="s">
        <v>935</v>
      </c>
      <c r="B16" s="384" t="s">
        <v>7</v>
      </c>
      <c r="C16" s="128" t="s">
        <v>948</v>
      </c>
      <c r="D16" s="579">
        <v>44927</v>
      </c>
      <c r="E16" s="383" t="s">
        <v>947</v>
      </c>
      <c r="F16" s="579">
        <v>45291</v>
      </c>
      <c r="G16" s="686" t="s">
        <v>946</v>
      </c>
      <c r="H16" s="688"/>
      <c r="I16" s="578">
        <v>45484</v>
      </c>
    </row>
    <row r="17" spans="1:33" ht="3" customHeight="1"/>
    <row r="18" spans="1:33">
      <c r="A18" s="681" t="s">
        <v>945</v>
      </c>
      <c r="B18" s="688"/>
      <c r="C18" s="703" t="s">
        <v>810</v>
      </c>
      <c r="D18" s="703"/>
      <c r="E18" s="703"/>
    </row>
    <row r="19" spans="1:33" ht="3" customHeight="1"/>
    <row r="20" spans="1:33" ht="5.25" customHeight="1"/>
    <row r="21" spans="1:33" ht="15.75" customHeight="1">
      <c r="A21" s="1014" t="s">
        <v>944</v>
      </c>
      <c r="B21" s="1014"/>
      <c r="C21" s="1014"/>
      <c r="D21" s="1014"/>
      <c r="E21" s="1014"/>
      <c r="F21" s="1014"/>
      <c r="G21" s="1014"/>
      <c r="H21" s="1014"/>
      <c r="I21" s="1014"/>
    </row>
    <row r="22" spans="1:33">
      <c r="A22" s="130" t="s">
        <v>943</v>
      </c>
    </row>
    <row r="23" spans="1:33" ht="3" customHeight="1"/>
    <row r="24" spans="1:33" ht="15" thickBot="1">
      <c r="A24" s="128" t="s">
        <v>940</v>
      </c>
      <c r="B24" s="183"/>
      <c r="C24" s="681" t="s">
        <v>942</v>
      </c>
      <c r="D24" s="681"/>
      <c r="E24" s="184"/>
      <c r="F24" s="681" t="s">
        <v>941</v>
      </c>
      <c r="G24" s="681"/>
      <c r="H24" s="701"/>
      <c r="I24" s="702"/>
    </row>
    <row r="25" spans="1:33" ht="19" thickBot="1">
      <c r="A25" s="577" t="s">
        <v>940</v>
      </c>
      <c r="B25" s="576"/>
      <c r="C25" s="576"/>
      <c r="D25" s="576"/>
      <c r="E25" s="576"/>
      <c r="F25" s="576"/>
      <c r="G25" s="575"/>
      <c r="H25" s="574"/>
      <c r="I25" s="574"/>
      <c r="J25" s="573" t="s">
        <v>939</v>
      </c>
      <c r="K25" s="572"/>
      <c r="L25" s="572"/>
      <c r="M25" s="572"/>
      <c r="N25" s="571"/>
      <c r="AG25" s="567"/>
    </row>
    <row r="26" spans="1:33">
      <c r="A26" s="691" t="s">
        <v>938</v>
      </c>
      <c r="B26" s="692"/>
      <c r="C26" s="188" t="s">
        <v>8</v>
      </c>
      <c r="D26" s="569"/>
      <c r="E26" s="569"/>
      <c r="F26" s="569"/>
      <c r="G26" s="569"/>
      <c r="H26" s="569"/>
      <c r="I26" s="570"/>
      <c r="J26" s="569"/>
      <c r="K26" s="569"/>
      <c r="L26" s="569"/>
      <c r="M26" s="568"/>
      <c r="N26" s="568"/>
      <c r="AG26" s="567"/>
    </row>
    <row r="27" spans="1:33" ht="18.5">
      <c r="A27" s="552" t="s">
        <v>937</v>
      </c>
      <c r="B27" s="569"/>
      <c r="C27" s="569"/>
      <c r="D27" s="569"/>
      <c r="E27" s="569"/>
      <c r="F27" s="569"/>
      <c r="G27" s="569"/>
      <c r="H27" s="569"/>
      <c r="I27" s="570"/>
      <c r="J27" s="569"/>
      <c r="K27" s="569"/>
      <c r="L27" s="569"/>
      <c r="M27" s="568"/>
      <c r="N27" s="568"/>
      <c r="AG27" s="567"/>
    </row>
    <row r="28" spans="1:33" ht="15" thickBot="1"/>
    <row r="29" spans="1:33" ht="15" thickBot="1">
      <c r="A29" s="698" t="s">
        <v>936</v>
      </c>
      <c r="B29" s="699"/>
      <c r="C29" s="699"/>
      <c r="D29" s="699"/>
      <c r="E29" s="699"/>
      <c r="F29" s="699"/>
      <c r="G29" s="699"/>
      <c r="H29" s="699"/>
      <c r="I29" s="699"/>
      <c r="J29" s="699"/>
      <c r="K29" s="699"/>
      <c r="L29" s="699"/>
      <c r="M29" s="700"/>
      <c r="O29" s="100"/>
      <c r="P29" s="101"/>
      <c r="Q29" s="102">
        <f>+B33</f>
        <v>5708999.7549785394</v>
      </c>
    </row>
    <row r="30" spans="1:33">
      <c r="A30" s="59" t="s">
        <v>935</v>
      </c>
      <c r="B30" s="171" t="s">
        <v>9</v>
      </c>
      <c r="C30" s="171" t="s">
        <v>10</v>
      </c>
      <c r="D30" s="171" t="s">
        <v>7</v>
      </c>
      <c r="E30" s="171" t="s">
        <v>11</v>
      </c>
      <c r="F30" s="171" t="s">
        <v>12</v>
      </c>
      <c r="G30" s="171" t="s">
        <v>13</v>
      </c>
      <c r="H30" s="171" t="s">
        <v>14</v>
      </c>
      <c r="I30" s="171" t="s">
        <v>15</v>
      </c>
      <c r="J30" s="171" t="s">
        <v>16</v>
      </c>
      <c r="K30" s="171" t="s">
        <v>17</v>
      </c>
      <c r="L30" s="171" t="s">
        <v>18</v>
      </c>
      <c r="M30" s="172" t="s">
        <v>19</v>
      </c>
      <c r="N30" s="173" t="s">
        <v>934</v>
      </c>
      <c r="O30" s="100"/>
      <c r="P30" s="101"/>
      <c r="Q30" s="102">
        <f>+C33</f>
        <v>16073556.164202979</v>
      </c>
    </row>
    <row r="31" spans="1:33">
      <c r="A31" s="135" t="s">
        <v>933</v>
      </c>
      <c r="B31" s="447">
        <v>5708999.7549785394</v>
      </c>
      <c r="C31" s="178">
        <v>10364556.409224439</v>
      </c>
      <c r="D31" s="178">
        <v>16683391.260895876</v>
      </c>
      <c r="E31" s="241"/>
      <c r="F31" s="241"/>
      <c r="G31" s="241"/>
      <c r="H31" s="242"/>
      <c r="I31" s="241"/>
      <c r="J31" s="241"/>
      <c r="K31" s="178"/>
      <c r="L31" s="566"/>
      <c r="M31" s="178"/>
      <c r="N31" s="1008"/>
      <c r="O31" s="100"/>
      <c r="P31" s="101"/>
      <c r="Q31" s="102">
        <f>+D33</f>
        <v>32756947.425098851</v>
      </c>
    </row>
    <row r="32" spans="1:33">
      <c r="A32" s="59" t="str">
        <f>CONCATENATE("Выплаты ГФ (в ", $C$26,")")</f>
        <v>Выплаты ГФ (в $)</v>
      </c>
      <c r="B32" s="447">
        <v>18761018</v>
      </c>
      <c r="C32" s="179">
        <v>3196889.01</v>
      </c>
      <c r="D32" s="179">
        <v>11372549.949999999</v>
      </c>
      <c r="E32" s="179"/>
      <c r="F32" s="179"/>
      <c r="G32" s="179"/>
      <c r="H32" s="231"/>
      <c r="I32" s="178"/>
      <c r="J32" s="178"/>
      <c r="K32" s="178"/>
      <c r="L32" s="178"/>
      <c r="M32" s="178"/>
      <c r="N32" s="1009"/>
      <c r="O32" s="100"/>
      <c r="P32" s="101"/>
      <c r="Q32" s="102">
        <f>+E33</f>
        <v>0</v>
      </c>
    </row>
    <row r="33" spans="1:17">
      <c r="A33" s="60" t="s">
        <v>932</v>
      </c>
      <c r="B33" s="180">
        <f>+B31</f>
        <v>5708999.7549785394</v>
      </c>
      <c r="C33" s="180">
        <f>B31+C31</f>
        <v>16073556.164202979</v>
      </c>
      <c r="D33" s="180">
        <f>C31+D31+B31</f>
        <v>32756947.425098851</v>
      </c>
      <c r="E33" s="180"/>
      <c r="F33" s="180"/>
      <c r="G33" s="239"/>
      <c r="H33" s="239"/>
      <c r="I33" s="239"/>
      <c r="J33" s="239"/>
      <c r="K33" s="239"/>
      <c r="L33" s="565"/>
      <c r="M33" s="180"/>
      <c r="N33" s="1009"/>
      <c r="O33" s="168"/>
      <c r="P33" s="101"/>
      <c r="Q33" s="102">
        <f>+F33</f>
        <v>0</v>
      </c>
    </row>
    <row r="34" spans="1:17" ht="15" thickBot="1">
      <c r="A34" s="61" t="s">
        <v>931</v>
      </c>
      <c r="B34" s="181">
        <f>+B32</f>
        <v>18761018</v>
      </c>
      <c r="C34" s="181">
        <f>B32+C32</f>
        <v>21957907.009999998</v>
      </c>
      <c r="D34" s="181">
        <f>C32+D32+B32</f>
        <v>33330456.960000001</v>
      </c>
      <c r="E34" s="181"/>
      <c r="F34" s="181"/>
      <c r="G34" s="240"/>
      <c r="H34" s="240"/>
      <c r="I34" s="240"/>
      <c r="J34" s="240"/>
      <c r="K34" s="240"/>
      <c r="L34" s="564"/>
      <c r="M34" s="181"/>
      <c r="N34" s="1010"/>
      <c r="O34" s="168"/>
      <c r="P34" s="101"/>
      <c r="Q34" s="102">
        <f>+G33</f>
        <v>0</v>
      </c>
    </row>
    <row r="35" spans="1:17">
      <c r="B35" s="563">
        <f t="shared" ref="B35:M35" si="0">+IF(AND(B30=$B$16,B33&lt;&gt;0),B34/B33,0)</f>
        <v>0</v>
      </c>
      <c r="C35" s="563">
        <f t="shared" si="0"/>
        <v>0</v>
      </c>
      <c r="D35" s="563">
        <f t="shared" si="0"/>
        <v>1.0175080274562371</v>
      </c>
      <c r="E35" s="563">
        <f t="shared" si="0"/>
        <v>0</v>
      </c>
      <c r="F35" s="563">
        <f t="shared" si="0"/>
        <v>0</v>
      </c>
      <c r="G35" s="563">
        <f t="shared" si="0"/>
        <v>0</v>
      </c>
      <c r="H35" s="563">
        <f t="shared" si="0"/>
        <v>0</v>
      </c>
      <c r="I35" s="563">
        <f t="shared" si="0"/>
        <v>0</v>
      </c>
      <c r="J35" s="563">
        <f t="shared" si="0"/>
        <v>0</v>
      </c>
      <c r="K35" s="563">
        <f t="shared" si="0"/>
        <v>0</v>
      </c>
      <c r="L35" s="563">
        <f t="shared" si="0"/>
        <v>0</v>
      </c>
      <c r="M35" s="563">
        <f t="shared" si="0"/>
        <v>0</v>
      </c>
      <c r="N35" s="96"/>
      <c r="O35" s="103"/>
      <c r="P35" s="101"/>
      <c r="Q35" s="102">
        <f>+H33</f>
        <v>0</v>
      </c>
    </row>
    <row r="36" spans="1:17" ht="18.5">
      <c r="A36" s="552" t="s">
        <v>930</v>
      </c>
      <c r="D36" s="165"/>
      <c r="F36" s="127"/>
      <c r="M36" s="23"/>
      <c r="N36" s="23"/>
    </row>
    <row r="37" spans="1:17" ht="15" thickBot="1">
      <c r="M37" s="15"/>
      <c r="N37" s="15"/>
    </row>
    <row r="38" spans="1:17" ht="30" customHeight="1">
      <c r="A38" s="199"/>
      <c r="B38" s="324" t="str">
        <f>CONCATENATE("Общий бюджет (в ",'Ввод данных'!$C$26,")")</f>
        <v>Общий бюджет (в $)</v>
      </c>
      <c r="C38" s="325" t="str">
        <f>CONCATENATE("Общие расходы (в ",'Ввод данных'!$C$26,")")</f>
        <v>Общие расходы (в $)</v>
      </c>
      <c r="D38" s="132"/>
      <c r="E38" s="132" t="s">
        <v>929</v>
      </c>
      <c r="I38" s="24"/>
      <c r="J38" s="24"/>
    </row>
    <row r="39" spans="1:17" ht="14.25" customHeight="1">
      <c r="A39" s="452" t="s">
        <v>928</v>
      </c>
      <c r="B39" s="455">
        <v>163926.47654375</v>
      </c>
      <c r="C39" s="456">
        <v>147866.40999999997</v>
      </c>
      <c r="D39" t="s">
        <v>927</v>
      </c>
      <c r="F39" s="170"/>
      <c r="I39" s="25"/>
      <c r="J39" s="25"/>
    </row>
    <row r="40" spans="1:17" ht="15.75" customHeight="1">
      <c r="A40" s="453" t="s">
        <v>926</v>
      </c>
      <c r="B40" s="457">
        <v>171209.729791786</v>
      </c>
      <c r="C40" s="458">
        <v>171816.64148626212</v>
      </c>
      <c r="D40" t="s">
        <v>925</v>
      </c>
      <c r="F40" s="170"/>
      <c r="I40" s="25"/>
      <c r="J40" s="25"/>
    </row>
    <row r="41" spans="1:17" ht="15.75" customHeight="1">
      <c r="A41" s="453" t="s">
        <v>924</v>
      </c>
      <c r="B41" s="457">
        <v>35491.420828175302</v>
      </c>
      <c r="C41" s="458">
        <v>35214.704746335963</v>
      </c>
      <c r="D41" t="s">
        <v>923</v>
      </c>
      <c r="F41" s="170"/>
      <c r="I41" s="25"/>
      <c r="J41" s="25"/>
    </row>
    <row r="42" spans="1:17">
      <c r="A42" s="453" t="s">
        <v>922</v>
      </c>
      <c r="B42" s="457">
        <v>682686.40496734099</v>
      </c>
      <c r="C42" s="458">
        <v>589208.44000000006</v>
      </c>
      <c r="D42" t="s">
        <v>921</v>
      </c>
      <c r="F42" s="170"/>
      <c r="I42" s="25"/>
      <c r="J42" s="25"/>
    </row>
    <row r="43" spans="1:17">
      <c r="A43" s="453" t="s">
        <v>920</v>
      </c>
      <c r="B43" s="457">
        <v>3786.12</v>
      </c>
      <c r="C43" s="458">
        <v>4262.0400000000045</v>
      </c>
      <c r="D43" t="s">
        <v>919</v>
      </c>
      <c r="F43" s="170"/>
      <c r="I43" s="25"/>
      <c r="J43" s="25"/>
    </row>
    <row r="44" spans="1:17">
      <c r="A44" s="453" t="s">
        <v>918</v>
      </c>
      <c r="B44" s="457">
        <v>245616.80968087001</v>
      </c>
      <c r="C44" s="458">
        <v>108149.88</v>
      </c>
      <c r="D44" t="s">
        <v>917</v>
      </c>
      <c r="F44" s="170"/>
      <c r="I44" s="25"/>
      <c r="J44" s="25"/>
    </row>
    <row r="45" spans="1:17">
      <c r="A45" s="453" t="s">
        <v>916</v>
      </c>
      <c r="B45" s="457">
        <v>6115.83</v>
      </c>
      <c r="C45" s="458">
        <v>6115.8338373415199</v>
      </c>
      <c r="D45" t="s">
        <v>915</v>
      </c>
      <c r="F45" s="170"/>
      <c r="I45" s="25"/>
      <c r="J45" s="25"/>
    </row>
    <row r="46" spans="1:17">
      <c r="A46" s="453" t="s">
        <v>914</v>
      </c>
      <c r="B46" s="457">
        <v>13479.328406041201</v>
      </c>
      <c r="C46" s="458">
        <v>405.75</v>
      </c>
      <c r="D46" t="s">
        <v>913</v>
      </c>
      <c r="F46" s="170"/>
      <c r="I46" s="25"/>
      <c r="J46" s="25"/>
    </row>
    <row r="47" spans="1:17">
      <c r="A47" s="453" t="s">
        <v>912</v>
      </c>
      <c r="B47" s="457">
        <v>622376.47550645506</v>
      </c>
      <c r="C47" s="458">
        <v>516180.186478936</v>
      </c>
      <c r="D47" t="s">
        <v>911</v>
      </c>
      <c r="F47" s="170"/>
      <c r="I47" s="25"/>
      <c r="J47" s="25"/>
    </row>
    <row r="48" spans="1:17">
      <c r="A48" s="453" t="s">
        <v>910</v>
      </c>
      <c r="B48" s="457">
        <v>474007.19648429699</v>
      </c>
      <c r="C48" s="458">
        <v>464674.15776443062</v>
      </c>
      <c r="D48" t="s">
        <v>909</v>
      </c>
      <c r="F48" s="170"/>
      <c r="I48" s="25"/>
      <c r="J48" s="25"/>
    </row>
    <row r="49" spans="1:15" ht="29">
      <c r="A49" s="453" t="s">
        <v>908</v>
      </c>
      <c r="B49" s="457">
        <v>639118.93305226695</v>
      </c>
      <c r="C49" s="458">
        <v>274431.96121758735</v>
      </c>
      <c r="D49" t="s">
        <v>907</v>
      </c>
      <c r="F49" s="170"/>
      <c r="I49" s="25"/>
      <c r="J49" s="25"/>
    </row>
    <row r="50" spans="1:15">
      <c r="A50" s="453" t="s">
        <v>906</v>
      </c>
      <c r="B50" s="457">
        <v>4404661.1840626597</v>
      </c>
      <c r="C50" s="458">
        <v>3638433.9274053522</v>
      </c>
      <c r="D50" t="s">
        <v>905</v>
      </c>
      <c r="F50" s="170"/>
      <c r="I50" s="25"/>
      <c r="J50" s="25"/>
    </row>
    <row r="51" spans="1:15">
      <c r="A51" s="454" t="s">
        <v>904</v>
      </c>
      <c r="B51" s="457">
        <v>1998542.4898747499</v>
      </c>
      <c r="C51" s="458">
        <v>1666218.23</v>
      </c>
      <c r="D51" t="s">
        <v>903</v>
      </c>
      <c r="E51" s="170"/>
      <c r="F51" s="170"/>
      <c r="I51" s="25"/>
      <c r="J51" s="25"/>
    </row>
    <row r="52" spans="1:15">
      <c r="A52" s="453" t="s">
        <v>902</v>
      </c>
      <c r="B52" s="457">
        <v>301710.16954890598</v>
      </c>
      <c r="C52" s="458">
        <v>247387.24424886791</v>
      </c>
      <c r="D52" t="s">
        <v>901</v>
      </c>
      <c r="E52" s="169"/>
      <c r="F52" s="170"/>
      <c r="I52" s="25"/>
      <c r="J52" s="25"/>
    </row>
    <row r="53" spans="1:15">
      <c r="A53" s="453" t="s">
        <v>900</v>
      </c>
      <c r="B53" s="457">
        <v>806403.61089733196</v>
      </c>
      <c r="C53" s="458">
        <v>1404028.4630516658</v>
      </c>
      <c r="D53" t="s">
        <v>899</v>
      </c>
      <c r="E53" s="169"/>
      <c r="F53" s="170"/>
      <c r="I53" s="25"/>
      <c r="J53" s="25"/>
    </row>
    <row r="54" spans="1:15">
      <c r="A54" s="453" t="s">
        <v>898</v>
      </c>
      <c r="B54" s="457">
        <v>256031.911378035</v>
      </c>
      <c r="C54" s="458">
        <v>160625.49261041783</v>
      </c>
      <c r="D54" t="s">
        <v>897</v>
      </c>
      <c r="E54" s="169"/>
      <c r="F54" s="170"/>
      <c r="I54" s="25"/>
      <c r="J54" s="25"/>
    </row>
    <row r="55" spans="1:15">
      <c r="A55" s="453" t="s">
        <v>896</v>
      </c>
      <c r="B55" s="457">
        <v>43440.876561402998</v>
      </c>
      <c r="C55" s="458">
        <v>57980.12</v>
      </c>
      <c r="D55" t="s">
        <v>895</v>
      </c>
      <c r="E55" s="169"/>
      <c r="F55" s="170"/>
      <c r="I55" s="25"/>
      <c r="J55" s="25"/>
    </row>
    <row r="56" spans="1:15">
      <c r="A56" s="453" t="s">
        <v>894</v>
      </c>
      <c r="B56" s="457">
        <v>382805.48576712399</v>
      </c>
      <c r="C56" s="458">
        <v>267166.52999999997</v>
      </c>
      <c r="D56" t="s">
        <v>893</v>
      </c>
      <c r="E56" s="169"/>
      <c r="F56" s="170"/>
      <c r="I56" s="25"/>
      <c r="J56" s="25"/>
    </row>
    <row r="57" spans="1:15">
      <c r="A57" s="453" t="s">
        <v>892</v>
      </c>
      <c r="B57" s="457">
        <v>201468.92299868801</v>
      </c>
      <c r="C57" s="458">
        <v>260593.68994123259</v>
      </c>
      <c r="D57" t="s">
        <v>891</v>
      </c>
      <c r="E57" s="169"/>
      <c r="F57" s="170"/>
      <c r="I57" s="25"/>
      <c r="J57" s="25"/>
    </row>
    <row r="58" spans="1:15">
      <c r="A58" s="453" t="s">
        <v>890</v>
      </c>
      <c r="B58" s="457">
        <v>346009.23123738897</v>
      </c>
      <c r="C58" s="458">
        <v>325630.09924792207</v>
      </c>
      <c r="D58" t="s">
        <v>889</v>
      </c>
      <c r="E58" s="169"/>
      <c r="F58" s="170"/>
      <c r="I58" s="25"/>
      <c r="J58" s="25"/>
    </row>
    <row r="59" spans="1:15">
      <c r="A59" s="453" t="s">
        <v>888</v>
      </c>
      <c r="B59" s="457">
        <v>154884.99120251799</v>
      </c>
      <c r="C59" s="458">
        <v>162578.77078917698</v>
      </c>
      <c r="D59" t="s">
        <v>887</v>
      </c>
      <c r="E59" s="169"/>
      <c r="F59" s="170"/>
      <c r="I59" s="25"/>
      <c r="J59" s="25"/>
    </row>
    <row r="60" spans="1:15">
      <c r="A60" s="453" t="s">
        <v>886</v>
      </c>
      <c r="B60" s="457">
        <v>80758.025659360297</v>
      </c>
      <c r="C60" s="458">
        <v>95468.270992981066</v>
      </c>
      <c r="D60" t="s">
        <v>885</v>
      </c>
      <c r="E60" s="169"/>
      <c r="F60" s="170"/>
      <c r="I60" s="25"/>
      <c r="J60" s="25"/>
    </row>
    <row r="61" spans="1:15">
      <c r="A61" s="453" t="s">
        <v>884</v>
      </c>
      <c r="B61" s="457">
        <v>327867.71000000002</v>
      </c>
      <c r="C61" s="458">
        <v>93871.61</v>
      </c>
      <c r="D61" t="s">
        <v>883</v>
      </c>
      <c r="E61" s="169"/>
      <c r="F61" s="170"/>
      <c r="I61" s="25"/>
      <c r="J61" s="25"/>
    </row>
    <row r="62" spans="1:15">
      <c r="A62" s="453" t="s">
        <v>882</v>
      </c>
      <c r="B62" s="457">
        <v>37508.501581438897</v>
      </c>
      <c r="C62" s="458">
        <v>46972.964552252335</v>
      </c>
      <c r="D62" t="s">
        <v>881</v>
      </c>
      <c r="E62" s="169"/>
      <c r="F62" s="170"/>
      <c r="I62" s="25"/>
      <c r="J62" s="25"/>
    </row>
    <row r="63" spans="1:15" ht="15" thickBot="1">
      <c r="A63" s="185" t="s">
        <v>880</v>
      </c>
      <c r="B63" s="562">
        <v>4283483.4248652896</v>
      </c>
      <c r="C63" s="561">
        <v>2643542.6360858721</v>
      </c>
      <c r="D63" t="s">
        <v>879</v>
      </c>
      <c r="E63" s="169"/>
      <c r="J63" s="25"/>
    </row>
    <row r="64" spans="1:15" ht="15" thickBot="1">
      <c r="A64" s="186" t="s">
        <v>878</v>
      </c>
      <c r="B64" s="285">
        <f>SUM(B39:B63)</f>
        <v>16683391.260895878</v>
      </c>
      <c r="C64" s="377">
        <f>SUM(C39:C63)</f>
        <v>13388824.054456631</v>
      </c>
      <c r="E64" s="1011" t="str">
        <f ca="1">+IF((ROUND(B64,0)=ROUND(OFFSET(A31,0,RIGHT('Ввод данных'!$B$16,LEN('Ввод данных'!$B$16)-1),1,1),0)),"Все правильно: данные верны","Предупреждение: данные не совпадают")</f>
        <v>Все правильно: данные верны</v>
      </c>
      <c r="F64" s="1012"/>
      <c r="G64" s="1012"/>
      <c r="H64" s="1013"/>
      <c r="I64" s="96"/>
      <c r="J64" s="96"/>
      <c r="K64" s="96"/>
      <c r="L64" s="103"/>
      <c r="M64" s="101"/>
      <c r="N64" s="102"/>
      <c r="O64" s="100"/>
    </row>
    <row r="65" spans="1:17">
      <c r="B65" s="96"/>
      <c r="C65" s="96"/>
      <c r="E65" s="96"/>
      <c r="F65" s="96"/>
      <c r="G65" s="96"/>
      <c r="H65" s="96"/>
      <c r="I65" s="96"/>
      <c r="J65" s="96"/>
      <c r="K65" s="96"/>
      <c r="L65" s="96"/>
      <c r="M65" s="96"/>
      <c r="N65" s="96"/>
      <c r="O65" s="103"/>
      <c r="P65" s="101"/>
      <c r="Q65" s="102"/>
    </row>
    <row r="66" spans="1:17" ht="18.5">
      <c r="A66" s="552" t="s">
        <v>877</v>
      </c>
      <c r="C66" s="96"/>
      <c r="D66" s="96"/>
      <c r="O66" s="100"/>
      <c r="P66" s="101"/>
      <c r="Q66" s="102">
        <f>+I33</f>
        <v>0</v>
      </c>
    </row>
    <row r="67" spans="1:17" ht="15" thickBot="1">
      <c r="O67" s="100"/>
      <c r="P67" s="101"/>
      <c r="Q67" s="102">
        <f>+J33</f>
        <v>0</v>
      </c>
    </row>
    <row r="68" spans="1:17" ht="51" customHeight="1">
      <c r="A68" s="220"/>
      <c r="B68" s="221" t="s">
        <v>876</v>
      </c>
      <c r="C68" s="221" t="s">
        <v>875</v>
      </c>
      <c r="D68" s="222" t="str">
        <f>CONCATENATE("Всего израсходовано и выплачено (в ",C26,")")</f>
        <v>Всего израсходовано и выплачено (в $)</v>
      </c>
      <c r="F68" s="141"/>
      <c r="G68" s="326"/>
      <c r="H68" s="136"/>
      <c r="I68" s="136"/>
      <c r="J68" s="136"/>
      <c r="K68" s="136"/>
      <c r="L68" s="14"/>
      <c r="M68" s="14"/>
      <c r="N68" s="100"/>
      <c r="O68" s="101"/>
      <c r="P68" s="102">
        <f>+L33</f>
        <v>0</v>
      </c>
      <c r="Q68" s="100"/>
    </row>
    <row r="69" spans="1:17">
      <c r="A69" s="223" t="s">
        <v>874</v>
      </c>
      <c r="B69" s="556">
        <v>21957907.009999998</v>
      </c>
      <c r="C69" s="448">
        <v>11372549.949999999</v>
      </c>
      <c r="D69" s="560">
        <f>+C69+B69</f>
        <v>33330456.959999997</v>
      </c>
      <c r="F69" s="63"/>
      <c r="G69" s="139"/>
      <c r="H69" s="62"/>
      <c r="I69" s="559"/>
      <c r="J69" s="558"/>
      <c r="K69" s="554"/>
      <c r="L69" s="557"/>
      <c r="M69" s="557"/>
      <c r="N69" s="100"/>
      <c r="O69" s="100"/>
      <c r="P69" s="100"/>
      <c r="Q69" s="100"/>
    </row>
    <row r="70" spans="1:17">
      <c r="A70" s="223" t="s">
        <v>873</v>
      </c>
      <c r="B70" s="556">
        <v>12158982.398843355</v>
      </c>
      <c r="C70" s="449">
        <v>11052794.31142755</v>
      </c>
      <c r="D70" s="560">
        <f>+C70+B70</f>
        <v>23211776.710270904</v>
      </c>
      <c r="F70" s="122"/>
      <c r="G70" s="139"/>
      <c r="H70" s="62"/>
      <c r="I70" s="559"/>
      <c r="J70" s="559"/>
      <c r="K70" s="554"/>
      <c r="L70" s="553"/>
      <c r="M70" s="553"/>
      <c r="N70" s="100"/>
      <c r="O70" s="100"/>
      <c r="P70" s="100"/>
      <c r="Q70" s="100"/>
    </row>
    <row r="71" spans="1:17">
      <c r="A71" s="223" t="s">
        <v>872</v>
      </c>
      <c r="B71" s="556">
        <v>4155763.69</v>
      </c>
      <c r="C71" s="449">
        <v>2242134.7400000002</v>
      </c>
      <c r="D71" s="560">
        <f>+C71+B71</f>
        <v>6397898.4299999997</v>
      </c>
      <c r="F71" s="63"/>
      <c r="G71" s="139"/>
      <c r="H71" s="62"/>
      <c r="I71" s="559"/>
      <c r="J71" s="558"/>
      <c r="K71" s="554"/>
      <c r="L71" s="557"/>
      <c r="M71" s="557"/>
    </row>
    <row r="72" spans="1:17" ht="15" thickBot="1">
      <c r="A72" s="224" t="s">
        <v>871</v>
      </c>
      <c r="B72" s="556">
        <v>3933382.8720644177</v>
      </c>
      <c r="C72" s="449">
        <v>2336029.7430290864</v>
      </c>
      <c r="D72" s="555">
        <f>+C72+B72</f>
        <v>6269412.6150935041</v>
      </c>
      <c r="E72" s="96"/>
      <c r="F72" s="123"/>
      <c r="G72" s="140"/>
      <c r="H72" s="65"/>
      <c r="I72" s="65"/>
      <c r="J72" s="65"/>
      <c r="K72" s="554"/>
      <c r="L72" s="553"/>
      <c r="M72" s="553"/>
    </row>
    <row r="73" spans="1:17" ht="15.75" customHeight="1">
      <c r="C73" s="96"/>
      <c r="E73" s="96"/>
    </row>
    <row r="74" spans="1:17">
      <c r="C74" s="219"/>
    </row>
    <row r="75" spans="1:17" ht="18.5">
      <c r="A75" s="552" t="s">
        <v>870</v>
      </c>
      <c r="C75" s="96"/>
    </row>
    <row r="76" spans="1:17" ht="15" thickBot="1"/>
    <row r="77" spans="1:17" ht="15.75" customHeight="1" thickBot="1">
      <c r="A77" s="695" t="s">
        <v>869</v>
      </c>
      <c r="B77" s="696"/>
      <c r="C77" s="697"/>
      <c r="D77" s="237"/>
    </row>
    <row r="78" spans="1:17">
      <c r="A78" s="233"/>
      <c r="B78" s="208"/>
      <c r="C78" s="217" t="s">
        <v>868</v>
      </c>
      <c r="D78" s="234" t="s">
        <v>867</v>
      </c>
    </row>
    <row r="79" spans="1:17">
      <c r="A79" s="142" t="s">
        <v>866</v>
      </c>
      <c r="B79" s="27"/>
      <c r="C79" s="247">
        <v>60</v>
      </c>
      <c r="D79" s="378">
        <v>60</v>
      </c>
    </row>
    <row r="80" spans="1:17">
      <c r="A80" s="142" t="s">
        <v>865</v>
      </c>
      <c r="B80" s="27"/>
      <c r="C80" s="247" t="s">
        <v>863</v>
      </c>
      <c r="D80" s="551" t="s">
        <v>863</v>
      </c>
      <c r="G80" s="139"/>
      <c r="H80" s="139"/>
    </row>
    <row r="81" spans="1:15" ht="15" thickBot="1">
      <c r="A81" s="235" t="s">
        <v>864</v>
      </c>
      <c r="B81" s="236"/>
      <c r="C81" s="248" t="s">
        <v>863</v>
      </c>
      <c r="D81" s="551" t="s">
        <v>863</v>
      </c>
      <c r="G81" s="139"/>
      <c r="H81" s="139"/>
    </row>
    <row r="83" spans="1:15" ht="15" thickBot="1"/>
    <row r="84" spans="1:15" ht="31.5" customHeight="1" thickBot="1">
      <c r="A84" s="550" t="s">
        <v>862</v>
      </c>
      <c r="B84" s="549"/>
      <c r="C84" s="549"/>
      <c r="D84" s="549"/>
      <c r="E84" s="549"/>
      <c r="F84" s="549"/>
      <c r="G84" s="548" t="s">
        <v>861</v>
      </c>
      <c r="H84" s="547"/>
      <c r="I84" s="546"/>
      <c r="J84" s="546"/>
      <c r="K84" s="545"/>
      <c r="L84" s="531"/>
      <c r="M84" s="543"/>
      <c r="N84" s="543"/>
      <c r="O84" s="543"/>
    </row>
    <row r="85" spans="1:15" ht="18.5">
      <c r="A85" s="538"/>
      <c r="B85" s="531"/>
      <c r="C85" s="531"/>
      <c r="D85" s="531"/>
      <c r="E85" s="531"/>
      <c r="F85" s="531"/>
      <c r="G85" s="531"/>
      <c r="H85" s="531"/>
      <c r="I85" s="531"/>
      <c r="J85" s="544"/>
      <c r="K85" s="544"/>
      <c r="L85" s="531"/>
      <c r="M85" s="543"/>
      <c r="N85" s="543"/>
      <c r="O85" s="543"/>
    </row>
    <row r="86" spans="1:15" ht="18.5">
      <c r="A86" s="538" t="s">
        <v>860</v>
      </c>
      <c r="B86" s="531"/>
      <c r="C86" s="531"/>
      <c r="D86" s="531"/>
      <c r="E86" s="531"/>
      <c r="F86" s="531"/>
      <c r="G86" s="531"/>
      <c r="H86" s="531"/>
      <c r="I86" s="531"/>
      <c r="J86" s="544"/>
      <c r="K86" s="544"/>
      <c r="L86" s="531"/>
      <c r="M86" s="543"/>
      <c r="N86" s="543"/>
      <c r="O86" s="543"/>
    </row>
    <row r="87" spans="1:15" ht="15" thickBot="1">
      <c r="B87" s="72"/>
      <c r="C87" s="72"/>
      <c r="D87" s="72"/>
      <c r="E87" s="72"/>
      <c r="F87" s="72"/>
      <c r="H87" s="72"/>
    </row>
    <row r="88" spans="1:15" ht="29">
      <c r="A88" s="693"/>
      <c r="B88" s="694"/>
      <c r="C88" s="73" t="s">
        <v>859</v>
      </c>
      <c r="D88" s="74" t="s">
        <v>858</v>
      </c>
      <c r="E88" s="190" t="s">
        <v>857</v>
      </c>
      <c r="F88" s="191" t="s">
        <v>856</v>
      </c>
      <c r="G88" s="331"/>
      <c r="H88" s="332"/>
    </row>
    <row r="89" spans="1:15">
      <c r="A89" s="652" t="s">
        <v>855</v>
      </c>
      <c r="B89" s="653"/>
      <c r="C89" s="124">
        <v>0</v>
      </c>
      <c r="D89" s="124">
        <v>0</v>
      </c>
      <c r="E89" s="124">
        <v>0</v>
      </c>
      <c r="F89" s="75">
        <v>0</v>
      </c>
      <c r="G89" s="331"/>
      <c r="H89" s="332"/>
    </row>
    <row r="90" spans="1:15" ht="15" thickBot="1">
      <c r="A90" s="654" t="s">
        <v>854</v>
      </c>
      <c r="B90" s="655"/>
      <c r="C90" s="124">
        <v>0</v>
      </c>
      <c r="D90" s="124">
        <v>0</v>
      </c>
      <c r="E90" s="124">
        <v>0</v>
      </c>
      <c r="F90" s="124">
        <v>0</v>
      </c>
      <c r="G90" s="331"/>
      <c r="H90" s="332"/>
    </row>
    <row r="91" spans="1:15">
      <c r="A91" s="652" t="s">
        <v>853</v>
      </c>
      <c r="B91" s="653"/>
      <c r="C91" s="124">
        <v>0</v>
      </c>
      <c r="D91" s="124">
        <v>0</v>
      </c>
      <c r="E91" s="124">
        <v>0</v>
      </c>
      <c r="F91" s="75">
        <f>SUM(C91:E91)</f>
        <v>0</v>
      </c>
      <c r="G91" s="138"/>
      <c r="H91" s="149"/>
      <c r="I91" s="149"/>
    </row>
    <row r="92" spans="1:15" ht="15" thickBot="1">
      <c r="A92" s="654" t="s">
        <v>852</v>
      </c>
      <c r="B92" s="655"/>
      <c r="C92" s="125">
        <v>0</v>
      </c>
      <c r="D92" s="125">
        <v>0</v>
      </c>
      <c r="E92" s="125">
        <v>0</v>
      </c>
      <c r="F92" s="76">
        <f>SUM(C92:E92)</f>
        <v>0</v>
      </c>
      <c r="G92" s="138"/>
    </row>
    <row r="95" spans="1:15" ht="18.5">
      <c r="A95" s="538" t="s">
        <v>851</v>
      </c>
    </row>
    <row r="96" spans="1:15" ht="15" thickBot="1"/>
    <row r="97" spans="1:8">
      <c r="A97" s="279" t="s">
        <v>850</v>
      </c>
      <c r="B97" s="189" t="s">
        <v>849</v>
      </c>
      <c r="C97" s="189" t="s">
        <v>848</v>
      </c>
      <c r="D97" s="77" t="s">
        <v>847</v>
      </c>
      <c r="H97" s="332"/>
    </row>
    <row r="98" spans="1:8" ht="15" thickBot="1">
      <c r="A98" s="209" t="s">
        <v>808</v>
      </c>
      <c r="B98" s="124">
        <v>5</v>
      </c>
      <c r="C98" s="124">
        <v>5</v>
      </c>
      <c r="D98" s="124">
        <f>B98-C98</f>
        <v>0</v>
      </c>
      <c r="H98" s="332"/>
    </row>
    <row r="99" spans="1:8" ht="15" thickBot="1">
      <c r="A99" s="209" t="s">
        <v>20</v>
      </c>
      <c r="B99" s="365">
        <v>2</v>
      </c>
      <c r="C99" s="124">
        <v>2</v>
      </c>
      <c r="D99" s="124">
        <v>0</v>
      </c>
      <c r="H99" s="332"/>
    </row>
    <row r="100" spans="1:8" ht="15" thickBot="1">
      <c r="A100" s="209" t="s">
        <v>846</v>
      </c>
      <c r="B100" s="365">
        <v>17</v>
      </c>
      <c r="C100" s="124">
        <v>17</v>
      </c>
      <c r="D100" s="124">
        <v>0</v>
      </c>
      <c r="E100" s="128"/>
      <c r="F100" s="333"/>
      <c r="H100" s="149"/>
    </row>
    <row r="101" spans="1:8">
      <c r="B101" s="542"/>
      <c r="C101" s="542"/>
      <c r="D101" s="542"/>
    </row>
    <row r="102" spans="1:8" ht="18.5">
      <c r="A102" s="538" t="s">
        <v>845</v>
      </c>
    </row>
    <row r="103" spans="1:8" ht="15" thickBot="1"/>
    <row r="104" spans="1:8" ht="29">
      <c r="A104" s="227"/>
      <c r="B104" s="304" t="s">
        <v>844</v>
      </c>
      <c r="C104" s="304" t="s">
        <v>843</v>
      </c>
      <c r="D104" s="304" t="s">
        <v>842</v>
      </c>
      <c r="E104" s="305" t="s">
        <v>841</v>
      </c>
      <c r="F104" s="306" t="s">
        <v>840</v>
      </c>
      <c r="G104" s="131"/>
      <c r="H104" s="332"/>
    </row>
    <row r="105" spans="1:8" ht="15" thickBot="1">
      <c r="A105" s="307" t="s">
        <v>839</v>
      </c>
      <c r="B105" s="280">
        <v>22</v>
      </c>
      <c r="C105" s="281">
        <v>22</v>
      </c>
      <c r="D105" s="281">
        <v>22</v>
      </c>
      <c r="E105" s="281">
        <v>22</v>
      </c>
      <c r="F105" s="281">
        <v>22</v>
      </c>
      <c r="G105" s="150"/>
      <c r="H105" s="138"/>
    </row>
    <row r="106" spans="1:8" ht="15" thickBot="1">
      <c r="A106" s="308" t="s">
        <v>838</v>
      </c>
      <c r="B106" s="353">
        <v>5</v>
      </c>
      <c r="C106" s="281">
        <v>5</v>
      </c>
      <c r="D106" s="281">
        <v>5</v>
      </c>
      <c r="E106" s="281">
        <v>5</v>
      </c>
      <c r="F106" s="309">
        <v>5</v>
      </c>
      <c r="G106" s="150"/>
      <c r="H106" s="138"/>
    </row>
    <row r="108" spans="1:8" ht="18.5">
      <c r="A108" s="538" t="s">
        <v>837</v>
      </c>
    </row>
    <row r="109" spans="1:8" ht="15" thickBot="1"/>
    <row r="110" spans="1:8" ht="27.75" customHeight="1">
      <c r="A110" s="227"/>
      <c r="B110" s="290" t="s">
        <v>836</v>
      </c>
      <c r="C110" s="290" t="s">
        <v>835</v>
      </c>
      <c r="D110" s="291" t="s">
        <v>834</v>
      </c>
    </row>
    <row r="111" spans="1:8" ht="27.75" customHeight="1">
      <c r="A111" s="292" t="s">
        <v>833</v>
      </c>
      <c r="B111" s="124">
        <v>0</v>
      </c>
      <c r="C111" s="126">
        <v>0</v>
      </c>
      <c r="D111" s="293">
        <v>0</v>
      </c>
    </row>
    <row r="112" spans="1:8" ht="27.75" customHeight="1">
      <c r="A112" s="292" t="s">
        <v>832</v>
      </c>
      <c r="B112" s="124">
        <v>35</v>
      </c>
      <c r="C112" s="126">
        <v>35</v>
      </c>
      <c r="D112" s="293">
        <f>B112-C112</f>
        <v>0</v>
      </c>
    </row>
    <row r="113" spans="1:13">
      <c r="A113" s="292" t="s">
        <v>831</v>
      </c>
      <c r="B113" s="124"/>
      <c r="C113" s="126"/>
      <c r="D113" s="293">
        <f>B113-C113</f>
        <v>0</v>
      </c>
    </row>
    <row r="114" spans="1:13" ht="15" thickBot="1">
      <c r="A114" s="541" t="s">
        <v>830</v>
      </c>
      <c r="B114" s="294">
        <v>7</v>
      </c>
      <c r="C114" s="295">
        <v>7</v>
      </c>
      <c r="D114" s="296">
        <f>B114-C114</f>
        <v>0</v>
      </c>
    </row>
    <row r="116" spans="1:13" ht="18.5">
      <c r="A116" s="538" t="s">
        <v>829</v>
      </c>
    </row>
    <row r="117" spans="1:13" ht="15" thickBot="1"/>
    <row r="118" spans="1:13">
      <c r="A118" s="227"/>
      <c r="B118" s="174" t="s">
        <v>9</v>
      </c>
      <c r="C118" s="174" t="s">
        <v>10</v>
      </c>
      <c r="D118" s="174" t="s">
        <v>7</v>
      </c>
      <c r="E118" s="174" t="s">
        <v>11</v>
      </c>
      <c r="F118" s="174" t="s">
        <v>12</v>
      </c>
      <c r="G118" s="174" t="s">
        <v>13</v>
      </c>
      <c r="H118" s="174" t="s">
        <v>14</v>
      </c>
      <c r="I118" s="174" t="s">
        <v>15</v>
      </c>
      <c r="J118" s="174" t="s">
        <v>16</v>
      </c>
      <c r="K118" s="174" t="s">
        <v>17</v>
      </c>
      <c r="L118" s="174" t="s">
        <v>18</v>
      </c>
      <c r="M118" s="297" t="s">
        <v>19</v>
      </c>
    </row>
    <row r="119" spans="1:13" ht="15" customHeight="1">
      <c r="A119" s="228" t="s">
        <v>828</v>
      </c>
      <c r="B119" s="450">
        <v>1718389.82</v>
      </c>
      <c r="C119" s="286">
        <v>4934758.51</v>
      </c>
      <c r="D119" s="286">
        <v>7558222.8504614541</v>
      </c>
      <c r="E119" s="166"/>
      <c r="F119" s="166"/>
      <c r="G119" s="166"/>
      <c r="H119" s="166"/>
      <c r="I119" s="166"/>
      <c r="J119" s="166"/>
      <c r="K119" s="166"/>
      <c r="L119" s="166"/>
      <c r="M119" s="298"/>
    </row>
    <row r="120" spans="1:13" ht="15" customHeight="1">
      <c r="A120" s="228" t="s">
        <v>827</v>
      </c>
      <c r="B120" s="451">
        <v>2445797</v>
      </c>
      <c r="C120" s="286">
        <v>4134253.8999999994</v>
      </c>
      <c r="D120" s="286">
        <v>313996.26</v>
      </c>
      <c r="E120" s="166"/>
      <c r="F120" s="166"/>
      <c r="G120" s="166"/>
      <c r="H120" s="166"/>
      <c r="I120" s="166"/>
      <c r="J120" s="166"/>
      <c r="K120" s="166"/>
      <c r="L120" s="166"/>
      <c r="M120" s="298"/>
    </row>
    <row r="121" spans="1:13" ht="15" customHeight="1">
      <c r="A121" s="228" t="s">
        <v>826</v>
      </c>
      <c r="B121" s="451">
        <v>1718390</v>
      </c>
      <c r="C121" s="286">
        <v>4934758.5100000007</v>
      </c>
      <c r="D121" s="286">
        <v>7033684.7400000002</v>
      </c>
      <c r="E121" s="166"/>
      <c r="F121" s="166"/>
      <c r="G121" s="166"/>
      <c r="H121" s="166"/>
      <c r="I121" s="166"/>
      <c r="J121" s="166"/>
      <c r="K121" s="166"/>
      <c r="L121" s="166"/>
      <c r="M121" s="298"/>
    </row>
    <row r="122" spans="1:13" ht="15" customHeight="1">
      <c r="A122" s="229" t="s">
        <v>825</v>
      </c>
      <c r="B122" s="287">
        <f>B119</f>
        <v>1718389.82</v>
      </c>
      <c r="C122" s="287">
        <f>B122+C119</f>
        <v>6653148.3300000001</v>
      </c>
      <c r="D122" s="287">
        <f>C122+D119</f>
        <v>14211371.180461455</v>
      </c>
      <c r="E122" s="287"/>
      <c r="F122" s="287"/>
      <c r="G122" s="167"/>
      <c r="H122" s="167"/>
      <c r="I122" s="167"/>
      <c r="J122" s="167"/>
      <c r="K122" s="167"/>
      <c r="L122" s="167"/>
      <c r="M122" s="299"/>
    </row>
    <row r="123" spans="1:13" ht="15" customHeight="1">
      <c r="A123" s="229" t="s">
        <v>824</v>
      </c>
      <c r="B123" s="287">
        <f>B120</f>
        <v>2445797</v>
      </c>
      <c r="C123" s="287">
        <f>C120</f>
        <v>4134253.8999999994</v>
      </c>
      <c r="D123" s="287">
        <f>D120</f>
        <v>313996.26</v>
      </c>
      <c r="E123" s="287"/>
      <c r="F123" s="167"/>
      <c r="G123" s="167"/>
      <c r="H123" s="167"/>
      <c r="I123" s="167"/>
      <c r="J123" s="167"/>
      <c r="K123" s="167"/>
      <c r="L123" s="167"/>
      <c r="M123" s="299"/>
    </row>
    <row r="124" spans="1:13" ht="15" thickBot="1">
      <c r="A124" s="300" t="s">
        <v>823</v>
      </c>
      <c r="B124" s="540">
        <f>B121</f>
        <v>1718390</v>
      </c>
      <c r="C124" s="540">
        <f>B121+C121</f>
        <v>6653148.5100000007</v>
      </c>
      <c r="D124" s="540">
        <f>C121+D121+B121</f>
        <v>13686833.25</v>
      </c>
      <c r="E124" s="540"/>
      <c r="F124" s="167"/>
      <c r="G124" s="302"/>
      <c r="H124" s="302"/>
      <c r="I124" s="302"/>
      <c r="J124" s="302"/>
      <c r="K124" s="302"/>
      <c r="L124" s="302"/>
      <c r="M124" s="303"/>
    </row>
    <row r="125" spans="1:13">
      <c r="I125" s="78"/>
      <c r="J125" s="539"/>
      <c r="L125" s="79"/>
    </row>
    <row r="126" spans="1:13">
      <c r="A126" t="s">
        <v>822</v>
      </c>
      <c r="I126" s="78"/>
      <c r="J126" s="539"/>
      <c r="L126" s="79"/>
    </row>
    <row r="127" spans="1:13">
      <c r="I127" s="78"/>
      <c r="J127" s="79"/>
      <c r="L127" s="79"/>
    </row>
    <row r="129" spans="1:11" ht="19" thickBot="1">
      <c r="A129" s="538" t="s">
        <v>821</v>
      </c>
    </row>
    <row r="130" spans="1:11" ht="117.5">
      <c r="A130" s="310" t="s">
        <v>820</v>
      </c>
      <c r="B130" s="311" t="s">
        <v>819</v>
      </c>
      <c r="C130" s="312" t="s">
        <v>818</v>
      </c>
      <c r="D130" s="312" t="s">
        <v>817</v>
      </c>
      <c r="E130" s="313" t="s">
        <v>816</v>
      </c>
      <c r="F130" s="311" t="s">
        <v>815</v>
      </c>
      <c r="G130" s="644" t="s">
        <v>814</v>
      </c>
      <c r="H130" s="645"/>
      <c r="I130" s="312" t="s">
        <v>813</v>
      </c>
      <c r="J130" s="416" t="s">
        <v>812</v>
      </c>
      <c r="K130" s="413" t="s">
        <v>811</v>
      </c>
    </row>
    <row r="131" spans="1:11">
      <c r="A131" s="370"/>
      <c r="B131" s="371"/>
      <c r="C131" s="372"/>
      <c r="D131" s="372"/>
      <c r="E131" s="373"/>
      <c r="F131" s="371"/>
      <c r="G131" s="461" t="s">
        <v>810</v>
      </c>
      <c r="H131" s="374" t="s">
        <v>809</v>
      </c>
      <c r="I131" s="372"/>
      <c r="J131" s="417"/>
      <c r="K131" s="413"/>
    </row>
    <row r="132" spans="1:11">
      <c r="A132" s="647" t="s">
        <v>808</v>
      </c>
      <c r="B132" s="507" t="s">
        <v>21</v>
      </c>
      <c r="C132" s="508">
        <v>2</v>
      </c>
      <c r="D132" s="509">
        <f t="shared" ref="D132:D139" si="1">IF(ISBLANK(C132),"",C132*30)</f>
        <v>60</v>
      </c>
      <c r="E132" s="510">
        <v>58</v>
      </c>
      <c r="F132" s="511">
        <f t="shared" ref="F132:F144" si="2">E132*D132</f>
        <v>3480</v>
      </c>
      <c r="G132" s="511">
        <v>41000</v>
      </c>
      <c r="H132" s="512"/>
      <c r="I132" s="513">
        <f>G132/F132</f>
        <v>11.781609195402298</v>
      </c>
      <c r="J132" s="514">
        <v>3</v>
      </c>
      <c r="K132" s="414">
        <f t="shared" ref="K132:K144" si="3">IF(AND(I132&gt;0,J132&gt;0),I132-J132,"")</f>
        <v>8.7816091954022983</v>
      </c>
    </row>
    <row r="133" spans="1:11">
      <c r="A133" s="647"/>
      <c r="B133" s="507" t="s">
        <v>22</v>
      </c>
      <c r="C133" s="508">
        <v>2</v>
      </c>
      <c r="D133" s="509">
        <f t="shared" si="1"/>
        <v>60</v>
      </c>
      <c r="E133" s="510">
        <f>14+30</f>
        <v>44</v>
      </c>
      <c r="F133" s="511">
        <f t="shared" si="2"/>
        <v>2640</v>
      </c>
      <c r="G133" s="511">
        <v>25387</v>
      </c>
      <c r="H133" s="512"/>
      <c r="I133" s="513">
        <f>G133/F133</f>
        <v>9.6162878787878796</v>
      </c>
      <c r="J133" s="514">
        <v>3</v>
      </c>
      <c r="K133" s="414">
        <f t="shared" si="3"/>
        <v>6.6162878787878796</v>
      </c>
    </row>
    <row r="134" spans="1:11">
      <c r="A134" s="647"/>
      <c r="B134" s="507" t="s">
        <v>23</v>
      </c>
      <c r="C134" s="508">
        <v>4</v>
      </c>
      <c r="D134" s="509">
        <f t="shared" si="1"/>
        <v>120</v>
      </c>
      <c r="E134" s="510">
        <v>7</v>
      </c>
      <c r="F134" s="511">
        <f t="shared" si="2"/>
        <v>840</v>
      </c>
      <c r="G134" s="511">
        <v>3120</v>
      </c>
      <c r="H134" s="512"/>
      <c r="I134" s="513">
        <f>G134/F134</f>
        <v>3.7142857142857144</v>
      </c>
      <c r="J134" s="514">
        <v>3</v>
      </c>
      <c r="K134" s="414">
        <f t="shared" si="3"/>
        <v>0.71428571428571441</v>
      </c>
    </row>
    <row r="135" spans="1:11">
      <c r="A135" s="647"/>
      <c r="B135" s="507" t="s">
        <v>24</v>
      </c>
      <c r="C135" s="508">
        <v>1</v>
      </c>
      <c r="D135" s="509">
        <f t="shared" si="1"/>
        <v>30</v>
      </c>
      <c r="E135" s="510">
        <f>13+150+30</f>
        <v>193</v>
      </c>
      <c r="F135" s="511">
        <f t="shared" si="2"/>
        <v>5790</v>
      </c>
      <c r="G135" s="511">
        <v>74399</v>
      </c>
      <c r="H135" s="512"/>
      <c r="I135" s="513">
        <f>(G135+H135)/F135</f>
        <v>12.849568221070811</v>
      </c>
      <c r="J135" s="514">
        <v>3</v>
      </c>
      <c r="K135" s="415">
        <f t="shared" si="3"/>
        <v>9.8495682210708111</v>
      </c>
    </row>
    <row r="136" spans="1:11">
      <c r="A136" s="647"/>
      <c r="B136" s="507" t="s">
        <v>25</v>
      </c>
      <c r="C136" s="508">
        <v>1</v>
      </c>
      <c r="D136" s="509">
        <f t="shared" si="1"/>
        <v>30</v>
      </c>
      <c r="E136" s="510">
        <v>391</v>
      </c>
      <c r="F136" s="511">
        <f t="shared" si="2"/>
        <v>11730</v>
      </c>
      <c r="G136" s="511">
        <v>19870</v>
      </c>
      <c r="H136" s="515">
        <v>75530</v>
      </c>
      <c r="I136" s="513">
        <f>(G136+H136)/F136</f>
        <v>8.132992327365729</v>
      </c>
      <c r="J136" s="514">
        <v>3</v>
      </c>
      <c r="K136" s="415">
        <f t="shared" si="3"/>
        <v>5.132992327365729</v>
      </c>
    </row>
    <row r="137" spans="1:11">
      <c r="A137" s="647"/>
      <c r="B137" s="507" t="s">
        <v>26</v>
      </c>
      <c r="C137" s="516">
        <v>1</v>
      </c>
      <c r="D137" s="509">
        <f t="shared" si="1"/>
        <v>30</v>
      </c>
      <c r="E137" s="510">
        <v>28</v>
      </c>
      <c r="F137" s="511">
        <f t="shared" si="2"/>
        <v>840</v>
      </c>
      <c r="G137" s="511">
        <v>6938</v>
      </c>
      <c r="H137" s="511"/>
      <c r="I137" s="513">
        <f>G137/F137</f>
        <v>8.2595238095238095</v>
      </c>
      <c r="J137" s="514">
        <v>3</v>
      </c>
      <c r="K137" s="415">
        <f t="shared" si="3"/>
        <v>5.2595238095238095</v>
      </c>
    </row>
    <row r="138" spans="1:11">
      <c r="A138" s="647"/>
      <c r="B138" s="507" t="s">
        <v>27</v>
      </c>
      <c r="C138" s="516">
        <v>5</v>
      </c>
      <c r="D138" s="509">
        <f t="shared" si="1"/>
        <v>150</v>
      </c>
      <c r="E138" s="510">
        <v>61</v>
      </c>
      <c r="F138" s="511">
        <f t="shared" si="2"/>
        <v>9150</v>
      </c>
      <c r="G138" s="511">
        <v>46531</v>
      </c>
      <c r="H138" s="511"/>
      <c r="I138" s="513">
        <f>G138/F138</f>
        <v>5.0853551912568307</v>
      </c>
      <c r="J138" s="514">
        <v>3</v>
      </c>
      <c r="K138" s="414">
        <f t="shared" si="3"/>
        <v>2.0853551912568307</v>
      </c>
    </row>
    <row r="139" spans="1:11">
      <c r="A139" s="647"/>
      <c r="B139" s="507" t="s">
        <v>28</v>
      </c>
      <c r="C139" s="516">
        <v>1</v>
      </c>
      <c r="D139" s="509">
        <f t="shared" si="1"/>
        <v>30</v>
      </c>
      <c r="E139" s="509">
        <v>90</v>
      </c>
      <c r="F139" s="511">
        <f t="shared" si="2"/>
        <v>2700</v>
      </c>
      <c r="G139" s="511">
        <v>53455</v>
      </c>
      <c r="H139" s="511"/>
      <c r="I139" s="513">
        <f>G139/F139</f>
        <v>19.798148148148147</v>
      </c>
      <c r="J139" s="514">
        <v>3</v>
      </c>
      <c r="K139" s="414">
        <f t="shared" si="3"/>
        <v>16.798148148148147</v>
      </c>
    </row>
    <row r="140" spans="1:11">
      <c r="A140" s="647"/>
      <c r="B140" s="507" t="s">
        <v>29</v>
      </c>
      <c r="C140" s="516">
        <v>1</v>
      </c>
      <c r="D140" s="509">
        <v>30</v>
      </c>
      <c r="E140" s="509">
        <v>190</v>
      </c>
      <c r="F140" s="511">
        <f t="shared" si="2"/>
        <v>5700</v>
      </c>
      <c r="G140" s="511">
        <v>17820</v>
      </c>
      <c r="H140" s="515">
        <v>27898</v>
      </c>
      <c r="I140" s="513">
        <f>(G140+H140)/F140</f>
        <v>8.0207017543859642</v>
      </c>
      <c r="J140" s="514">
        <v>3</v>
      </c>
      <c r="K140" s="414">
        <f t="shared" si="3"/>
        <v>5.0207017543859642</v>
      </c>
    </row>
    <row r="141" spans="1:11">
      <c r="A141" s="647"/>
      <c r="B141" s="507" t="s">
        <v>30</v>
      </c>
      <c r="C141" s="516">
        <v>1</v>
      </c>
      <c r="D141" s="509">
        <v>30</v>
      </c>
      <c r="E141" s="509">
        <v>4987</v>
      </c>
      <c r="F141" s="511">
        <f t="shared" si="2"/>
        <v>149610</v>
      </c>
      <c r="G141" s="511">
        <v>627050</v>
      </c>
      <c r="H141" s="515">
        <v>1618218</v>
      </c>
      <c r="I141" s="513">
        <f>(G141+H141)/F141</f>
        <v>15.007472762515874</v>
      </c>
      <c r="J141" s="514">
        <v>3</v>
      </c>
      <c r="K141" s="414">
        <f t="shared" si="3"/>
        <v>12.007472762515874</v>
      </c>
    </row>
    <row r="142" spans="1:11">
      <c r="A142" s="647"/>
      <c r="B142" s="517" t="s">
        <v>31</v>
      </c>
      <c r="C142" s="516">
        <v>1</v>
      </c>
      <c r="D142" s="509">
        <v>30</v>
      </c>
      <c r="E142" s="509">
        <v>28</v>
      </c>
      <c r="F142" s="511">
        <f t="shared" si="2"/>
        <v>840</v>
      </c>
      <c r="G142" s="511">
        <v>15420</v>
      </c>
      <c r="H142" s="511"/>
      <c r="I142" s="513">
        <f>G142/F142</f>
        <v>18.357142857142858</v>
      </c>
      <c r="J142" s="514">
        <v>3</v>
      </c>
      <c r="K142" s="414">
        <f t="shared" si="3"/>
        <v>15.357142857142858</v>
      </c>
    </row>
    <row r="143" spans="1:11">
      <c r="A143" s="647"/>
      <c r="B143" s="517" t="s">
        <v>32</v>
      </c>
      <c r="C143" s="516">
        <v>2</v>
      </c>
      <c r="D143" s="509">
        <f>IF(ISBLANK(C143),"",C143*30)</f>
        <v>60</v>
      </c>
      <c r="E143" s="509">
        <v>20</v>
      </c>
      <c r="F143" s="511">
        <f t="shared" si="2"/>
        <v>1200</v>
      </c>
      <c r="G143" s="511">
        <v>12480</v>
      </c>
      <c r="H143" s="511"/>
      <c r="I143" s="513">
        <f>G143/F143</f>
        <v>10.4</v>
      </c>
      <c r="J143" s="514">
        <v>3</v>
      </c>
      <c r="K143" s="414">
        <f t="shared" si="3"/>
        <v>7.4</v>
      </c>
    </row>
    <row r="144" spans="1:11">
      <c r="A144" s="648"/>
      <c r="B144" s="517" t="s">
        <v>33</v>
      </c>
      <c r="C144" s="516">
        <v>4</v>
      </c>
      <c r="D144" s="509">
        <f>IF(ISBLANK(C144),"",C144*30)</f>
        <v>120</v>
      </c>
      <c r="E144" s="509">
        <v>38</v>
      </c>
      <c r="F144" s="511">
        <f t="shared" si="2"/>
        <v>4560</v>
      </c>
      <c r="G144" s="518">
        <v>67170</v>
      </c>
      <c r="H144" s="518"/>
      <c r="I144" s="519">
        <f>G144/F144</f>
        <v>14.730263157894736</v>
      </c>
      <c r="J144" s="514">
        <v>3</v>
      </c>
      <c r="K144" s="414">
        <f t="shared" si="3"/>
        <v>11.730263157894736</v>
      </c>
    </row>
    <row r="145" spans="1:11">
      <c r="A145" s="649" t="s">
        <v>20</v>
      </c>
      <c r="B145" s="397" t="s">
        <v>807</v>
      </c>
      <c r="C145" s="481">
        <v>1</v>
      </c>
      <c r="D145" s="482">
        <v>26</v>
      </c>
      <c r="E145" s="483">
        <v>0</v>
      </c>
      <c r="F145" s="484">
        <f>C145*D145*E145</f>
        <v>0</v>
      </c>
      <c r="G145" s="485">
        <v>0</v>
      </c>
      <c r="H145" s="486"/>
      <c r="I145" s="487">
        <v>0</v>
      </c>
      <c r="J145" s="488">
        <v>0</v>
      </c>
      <c r="K145" s="489">
        <v>0</v>
      </c>
    </row>
    <row r="146" spans="1:11">
      <c r="A146" s="650"/>
      <c r="B146" s="398" t="s">
        <v>806</v>
      </c>
      <c r="C146" s="490">
        <v>1</v>
      </c>
      <c r="D146" s="491">
        <v>26</v>
      </c>
      <c r="E146" s="483">
        <v>0</v>
      </c>
      <c r="F146" s="484">
        <f>C146*D146*E146</f>
        <v>0</v>
      </c>
      <c r="G146" s="485">
        <v>0</v>
      </c>
      <c r="H146" s="486"/>
      <c r="I146" s="487">
        <v>0</v>
      </c>
      <c r="J146" s="488">
        <v>0</v>
      </c>
      <c r="K146" s="492">
        <v>0</v>
      </c>
    </row>
    <row r="147" spans="1:11">
      <c r="A147" s="650"/>
      <c r="B147" s="398" t="s">
        <v>805</v>
      </c>
      <c r="C147" s="490">
        <v>2</v>
      </c>
      <c r="D147" s="491">
        <v>26</v>
      </c>
      <c r="E147" s="483">
        <v>0</v>
      </c>
      <c r="F147" s="484">
        <v>0</v>
      </c>
      <c r="G147" s="485">
        <v>0</v>
      </c>
      <c r="H147" s="486"/>
      <c r="I147" s="487">
        <v>0</v>
      </c>
      <c r="J147" s="488">
        <v>0</v>
      </c>
      <c r="K147" s="492">
        <v>0</v>
      </c>
    </row>
    <row r="148" spans="1:11">
      <c r="A148" s="650"/>
      <c r="B148" s="398" t="s">
        <v>34</v>
      </c>
      <c r="C148" s="490">
        <v>2</v>
      </c>
      <c r="D148" s="491">
        <v>30</v>
      </c>
      <c r="E148" s="483">
        <v>23</v>
      </c>
      <c r="F148" s="484">
        <f t="shared" ref="F148:F162" si="4">C148*D148*E148</f>
        <v>1380</v>
      </c>
      <c r="G148" s="485"/>
      <c r="H148" s="486">
        <v>2238</v>
      </c>
      <c r="I148" s="487">
        <f t="shared" ref="I148:I153" si="5">(G148+H148)/F148</f>
        <v>1.6217391304347826</v>
      </c>
      <c r="J148" s="488">
        <v>3</v>
      </c>
      <c r="K148" s="492">
        <f t="shared" ref="K148:K162" si="6">I148-J148</f>
        <v>-1.3782608695652174</v>
      </c>
    </row>
    <row r="149" spans="1:11">
      <c r="A149" s="650"/>
      <c r="B149" s="398" t="s">
        <v>804</v>
      </c>
      <c r="C149" s="490">
        <v>3</v>
      </c>
      <c r="D149" s="491">
        <v>30</v>
      </c>
      <c r="E149" s="483">
        <v>677</v>
      </c>
      <c r="F149" s="484">
        <f t="shared" si="4"/>
        <v>60930</v>
      </c>
      <c r="G149" s="485"/>
      <c r="H149" s="486">
        <v>351354</v>
      </c>
      <c r="I149" s="487">
        <f t="shared" si="5"/>
        <v>5.7665189561792225</v>
      </c>
      <c r="J149" s="488">
        <v>3</v>
      </c>
      <c r="K149" s="492">
        <f t="shared" si="6"/>
        <v>2.7665189561792225</v>
      </c>
    </row>
    <row r="150" spans="1:11">
      <c r="A150" s="650"/>
      <c r="B150" s="398" t="s">
        <v>803</v>
      </c>
      <c r="C150" s="490">
        <v>4</v>
      </c>
      <c r="D150" s="491">
        <v>30</v>
      </c>
      <c r="E150" s="483">
        <v>74</v>
      </c>
      <c r="F150" s="484">
        <f t="shared" si="4"/>
        <v>8880</v>
      </c>
      <c r="G150" s="485"/>
      <c r="H150" s="486"/>
      <c r="I150" s="487">
        <f t="shared" si="5"/>
        <v>0</v>
      </c>
      <c r="J150" s="488">
        <v>3</v>
      </c>
      <c r="K150" s="492">
        <f t="shared" si="6"/>
        <v>-3</v>
      </c>
    </row>
    <row r="151" spans="1:11">
      <c r="A151" s="650"/>
      <c r="B151" s="398" t="s">
        <v>802</v>
      </c>
      <c r="C151" s="490">
        <v>2</v>
      </c>
      <c r="D151" s="491">
        <v>30</v>
      </c>
      <c r="E151" s="483">
        <v>7</v>
      </c>
      <c r="F151" s="484">
        <f t="shared" si="4"/>
        <v>420</v>
      </c>
      <c r="G151" s="485">
        <v>207</v>
      </c>
      <c r="H151" s="486"/>
      <c r="I151" s="487">
        <f t="shared" si="5"/>
        <v>0.49285714285714288</v>
      </c>
      <c r="J151" s="488">
        <v>3</v>
      </c>
      <c r="K151" s="492">
        <f t="shared" si="6"/>
        <v>-2.5071428571428571</v>
      </c>
    </row>
    <row r="152" spans="1:11">
      <c r="A152" s="650"/>
      <c r="B152" s="398" t="s">
        <v>801</v>
      </c>
      <c r="C152" s="490">
        <v>4</v>
      </c>
      <c r="D152" s="491">
        <v>30</v>
      </c>
      <c r="E152" s="483">
        <v>551</v>
      </c>
      <c r="F152" s="484">
        <f t="shared" si="4"/>
        <v>66120</v>
      </c>
      <c r="G152" s="485"/>
      <c r="H152" s="486">
        <v>375647</v>
      </c>
      <c r="I152" s="487">
        <f t="shared" si="5"/>
        <v>5.6812915910465822</v>
      </c>
      <c r="J152" s="488">
        <v>3</v>
      </c>
      <c r="K152" s="492">
        <f t="shared" si="6"/>
        <v>2.6812915910465822</v>
      </c>
    </row>
    <row r="153" spans="1:11">
      <c r="A153" s="650"/>
      <c r="B153" s="398" t="s">
        <v>800</v>
      </c>
      <c r="C153" s="490">
        <v>1</v>
      </c>
      <c r="D153" s="491">
        <v>30</v>
      </c>
      <c r="E153" s="483">
        <v>155</v>
      </c>
      <c r="F153" s="484">
        <f t="shared" si="4"/>
        <v>4650</v>
      </c>
      <c r="G153" s="485">
        <v>51923</v>
      </c>
      <c r="H153" s="486"/>
      <c r="I153" s="487">
        <f t="shared" si="5"/>
        <v>11.166236559139785</v>
      </c>
      <c r="J153" s="488">
        <v>3</v>
      </c>
      <c r="K153" s="492">
        <f t="shared" si="6"/>
        <v>8.1662365591397847</v>
      </c>
    </row>
    <row r="154" spans="1:11">
      <c r="A154" s="650"/>
      <c r="B154" s="399" t="s">
        <v>35</v>
      </c>
      <c r="C154" s="490">
        <v>2</v>
      </c>
      <c r="D154" s="491">
        <v>30</v>
      </c>
      <c r="E154" s="483">
        <v>0</v>
      </c>
      <c r="F154" s="484">
        <f t="shared" si="4"/>
        <v>0</v>
      </c>
      <c r="G154" s="485"/>
      <c r="H154" s="486"/>
      <c r="I154" s="487">
        <v>0</v>
      </c>
      <c r="J154" s="488">
        <v>3</v>
      </c>
      <c r="K154" s="492">
        <f t="shared" si="6"/>
        <v>-3</v>
      </c>
    </row>
    <row r="155" spans="1:11">
      <c r="A155" s="650"/>
      <c r="B155" s="399" t="s">
        <v>799</v>
      </c>
      <c r="C155" s="490">
        <v>3</v>
      </c>
      <c r="D155" s="491">
        <v>30</v>
      </c>
      <c r="E155" s="483">
        <v>0</v>
      </c>
      <c r="F155" s="484">
        <f t="shared" si="4"/>
        <v>0</v>
      </c>
      <c r="G155" s="485"/>
      <c r="H155" s="486"/>
      <c r="I155" s="487">
        <v>0</v>
      </c>
      <c r="J155" s="488">
        <v>3</v>
      </c>
      <c r="K155" s="492">
        <f t="shared" si="6"/>
        <v>-3</v>
      </c>
    </row>
    <row r="156" spans="1:11">
      <c r="A156" s="650"/>
      <c r="B156" s="400" t="s">
        <v>798</v>
      </c>
      <c r="C156" s="490">
        <v>1</v>
      </c>
      <c r="D156" s="491">
        <v>30</v>
      </c>
      <c r="E156" s="483">
        <v>32</v>
      </c>
      <c r="F156" s="484">
        <f t="shared" si="4"/>
        <v>960</v>
      </c>
      <c r="G156" s="485">
        <v>113045</v>
      </c>
      <c r="H156" s="486"/>
      <c r="I156" s="487">
        <f t="shared" ref="I156:I162" si="7">(G156+H156)/F156</f>
        <v>117.75520833333333</v>
      </c>
      <c r="J156" s="488">
        <v>3</v>
      </c>
      <c r="K156" s="492">
        <f t="shared" si="6"/>
        <v>114.75520833333333</v>
      </c>
    </row>
    <row r="157" spans="1:11">
      <c r="A157" s="650"/>
      <c r="B157" s="401" t="s">
        <v>797</v>
      </c>
      <c r="C157" s="493">
        <v>5</v>
      </c>
      <c r="D157" s="491">
        <v>30</v>
      </c>
      <c r="E157" s="483">
        <v>67</v>
      </c>
      <c r="F157" s="484">
        <f t="shared" si="4"/>
        <v>10050</v>
      </c>
      <c r="G157" s="485"/>
      <c r="H157" s="486"/>
      <c r="I157" s="487">
        <f t="shared" si="7"/>
        <v>0</v>
      </c>
      <c r="J157" s="488">
        <v>3</v>
      </c>
      <c r="K157" s="492">
        <f t="shared" si="6"/>
        <v>-3</v>
      </c>
    </row>
    <row r="158" spans="1:11">
      <c r="A158" s="650"/>
      <c r="B158" s="401" t="s">
        <v>796</v>
      </c>
      <c r="C158" s="493">
        <v>1</v>
      </c>
      <c r="D158" s="491">
        <v>30</v>
      </c>
      <c r="E158" s="483">
        <v>716</v>
      </c>
      <c r="F158" s="484">
        <f t="shared" si="4"/>
        <v>21480</v>
      </c>
      <c r="G158" s="485">
        <v>565458</v>
      </c>
      <c r="H158" s="486"/>
      <c r="I158" s="487">
        <f t="shared" si="7"/>
        <v>26.324860335195531</v>
      </c>
      <c r="J158" s="488">
        <v>3</v>
      </c>
      <c r="K158" s="492">
        <f t="shared" si="6"/>
        <v>23.324860335195531</v>
      </c>
    </row>
    <row r="159" spans="1:11">
      <c r="A159" s="650"/>
      <c r="B159" s="401" t="s">
        <v>795</v>
      </c>
      <c r="C159" s="493">
        <v>4</v>
      </c>
      <c r="D159" s="491">
        <v>30</v>
      </c>
      <c r="E159" s="494">
        <v>23</v>
      </c>
      <c r="F159" s="484">
        <f t="shared" si="4"/>
        <v>2760</v>
      </c>
      <c r="G159" s="495"/>
      <c r="H159" s="486">
        <v>6540</v>
      </c>
      <c r="I159" s="487">
        <f t="shared" si="7"/>
        <v>2.3695652173913042</v>
      </c>
      <c r="J159" s="488">
        <v>3</v>
      </c>
      <c r="K159" s="492">
        <f t="shared" si="6"/>
        <v>-0.63043478260869579</v>
      </c>
    </row>
    <row r="160" spans="1:11">
      <c r="A160" s="650"/>
      <c r="B160" s="401" t="s">
        <v>794</v>
      </c>
      <c r="C160" s="493">
        <v>1</v>
      </c>
      <c r="D160" s="491">
        <v>30</v>
      </c>
      <c r="E160" s="494">
        <v>538</v>
      </c>
      <c r="F160" s="484">
        <f t="shared" si="4"/>
        <v>16140</v>
      </c>
      <c r="G160" s="495">
        <v>427727</v>
      </c>
      <c r="H160" s="486"/>
      <c r="I160" s="487">
        <f t="shared" si="7"/>
        <v>26.501053283767039</v>
      </c>
      <c r="J160" s="488">
        <v>3</v>
      </c>
      <c r="K160" s="492">
        <f t="shared" si="6"/>
        <v>23.501053283767039</v>
      </c>
    </row>
    <row r="161" spans="1:16">
      <c r="A161" s="650"/>
      <c r="B161" s="401" t="s">
        <v>793</v>
      </c>
      <c r="C161" s="493">
        <v>1</v>
      </c>
      <c r="D161" s="496">
        <v>26</v>
      </c>
      <c r="E161" s="497">
        <v>667</v>
      </c>
      <c r="F161" s="498">
        <f t="shared" si="4"/>
        <v>17342</v>
      </c>
      <c r="G161" s="495">
        <v>448446</v>
      </c>
      <c r="H161" s="486"/>
      <c r="I161" s="487">
        <f t="shared" si="7"/>
        <v>25.858955137815709</v>
      </c>
      <c r="J161" s="499">
        <v>3</v>
      </c>
      <c r="K161" s="500">
        <f t="shared" si="6"/>
        <v>22.858955137815709</v>
      </c>
    </row>
    <row r="162" spans="1:16" ht="15" thickBot="1">
      <c r="A162" s="650"/>
      <c r="B162" s="402" t="s">
        <v>792</v>
      </c>
      <c r="C162" s="501">
        <v>4</v>
      </c>
      <c r="D162" s="502">
        <v>26</v>
      </c>
      <c r="E162" s="503">
        <v>210</v>
      </c>
      <c r="F162" s="504">
        <f t="shared" si="4"/>
        <v>21840</v>
      </c>
      <c r="G162" s="495">
        <v>565333</v>
      </c>
      <c r="H162" s="486"/>
      <c r="I162" s="487">
        <f t="shared" si="7"/>
        <v>25.885210622710623</v>
      </c>
      <c r="J162" s="505">
        <v>3</v>
      </c>
      <c r="K162" s="506">
        <f t="shared" si="6"/>
        <v>22.885210622710623</v>
      </c>
    </row>
    <row r="166" spans="1:16" ht="15" thickBot="1">
      <c r="H166" t="str">
        <f>IF(AND(F166&gt;0,G166&gt;0),G166/F166,"")</f>
        <v/>
      </c>
    </row>
    <row r="167" spans="1:16" ht="19" thickBot="1">
      <c r="A167" s="537" t="s">
        <v>791</v>
      </c>
      <c r="B167" s="536"/>
      <c r="C167" s="536"/>
      <c r="D167" s="529"/>
      <c r="E167" s="529"/>
      <c r="F167" s="529"/>
      <c r="G167" s="528"/>
      <c r="H167" s="527"/>
      <c r="I167" s="159"/>
      <c r="J167" s="535" t="s">
        <v>785</v>
      </c>
      <c r="K167" s="534"/>
      <c r="L167" s="251"/>
      <c r="M167" s="251"/>
      <c r="N167" s="251"/>
      <c r="O167" s="252"/>
    </row>
    <row r="168" spans="1:16" ht="15" thickBot="1"/>
    <row r="169" spans="1:16">
      <c r="A169" s="366" t="s">
        <v>738</v>
      </c>
      <c r="B169" s="153" t="s">
        <v>36</v>
      </c>
      <c r="C169" s="192" t="s">
        <v>37</v>
      </c>
      <c r="D169" s="119"/>
      <c r="E169" s="182" t="s">
        <v>9</v>
      </c>
      <c r="F169" s="182" t="s">
        <v>10</v>
      </c>
      <c r="G169" s="182" t="s">
        <v>7</v>
      </c>
      <c r="H169" s="182" t="s">
        <v>11</v>
      </c>
      <c r="I169" s="182" t="s">
        <v>12</v>
      </c>
      <c r="J169" s="182" t="s">
        <v>13</v>
      </c>
      <c r="K169" s="182" t="s">
        <v>14</v>
      </c>
      <c r="L169" s="182" t="s">
        <v>15</v>
      </c>
      <c r="M169" s="182" t="s">
        <v>16</v>
      </c>
      <c r="N169" s="182" t="s">
        <v>17</v>
      </c>
      <c r="O169" s="182" t="s">
        <v>18</v>
      </c>
      <c r="P169" s="3"/>
    </row>
    <row r="170" spans="1:16" ht="39.75" customHeight="1">
      <c r="A170" s="639" t="s">
        <v>736</v>
      </c>
      <c r="B170" s="635" t="s">
        <v>781</v>
      </c>
      <c r="C170" s="646" t="s">
        <v>788</v>
      </c>
      <c r="D170" s="253" t="s">
        <v>774</v>
      </c>
      <c r="E170" s="406">
        <v>0.7</v>
      </c>
      <c r="F170" s="406">
        <v>0.72</v>
      </c>
      <c r="G170" s="406">
        <v>0.8</v>
      </c>
      <c r="H170" s="254"/>
      <c r="I170" s="254"/>
      <c r="J170" s="254"/>
      <c r="K170" s="254"/>
      <c r="L170" s="255"/>
      <c r="M170" s="256"/>
      <c r="N170" s="256"/>
      <c r="O170" s="257"/>
      <c r="P170" s="3"/>
    </row>
    <row r="171" spans="1:16" ht="33" customHeight="1">
      <c r="A171" s="640"/>
      <c r="B171" s="635"/>
      <c r="C171" s="646"/>
      <c r="D171" s="253" t="s">
        <v>787</v>
      </c>
      <c r="E171" s="406">
        <v>0.68</v>
      </c>
      <c r="F171" s="462">
        <v>0.69520000000000004</v>
      </c>
      <c r="G171" s="462">
        <v>0.79320000000000002</v>
      </c>
      <c r="H171" s="254"/>
      <c r="I171" s="254"/>
      <c r="J171" s="254"/>
      <c r="K171" s="254"/>
      <c r="L171" s="255"/>
      <c r="M171" s="256"/>
      <c r="N171" s="256"/>
      <c r="O171" s="257"/>
      <c r="P171" s="3"/>
    </row>
    <row r="172" spans="1:16" ht="48" customHeight="1">
      <c r="A172" s="639" t="s">
        <v>733</v>
      </c>
      <c r="B172" s="637" t="s">
        <v>781</v>
      </c>
      <c r="C172" s="638" t="s">
        <v>788</v>
      </c>
      <c r="D172" s="258" t="s">
        <v>774</v>
      </c>
      <c r="E172" s="406">
        <v>0.9</v>
      </c>
      <c r="F172" s="406">
        <v>0.9</v>
      </c>
      <c r="G172" s="406">
        <v>0.9</v>
      </c>
      <c r="H172" s="396"/>
      <c r="I172" s="396"/>
      <c r="J172" s="260"/>
      <c r="K172" s="260"/>
      <c r="L172" s="261"/>
      <c r="M172" s="262"/>
      <c r="N172" s="262"/>
      <c r="O172" s="263"/>
      <c r="P172" s="3"/>
    </row>
    <row r="173" spans="1:16" ht="34.5" customHeight="1">
      <c r="A173" s="640"/>
      <c r="B173" s="637"/>
      <c r="C173" s="638"/>
      <c r="D173" s="258" t="s">
        <v>787</v>
      </c>
      <c r="E173" s="406">
        <v>0.88</v>
      </c>
      <c r="F173" s="406">
        <v>0.92</v>
      </c>
      <c r="G173" s="406">
        <v>0.89039999999999997</v>
      </c>
      <c r="H173" s="396"/>
      <c r="I173" s="396"/>
      <c r="J173" s="261"/>
      <c r="K173" s="261"/>
      <c r="L173" s="261"/>
      <c r="M173" s="262"/>
      <c r="N173" s="262"/>
      <c r="O173" s="263"/>
      <c r="P173" s="3"/>
    </row>
    <row r="174" spans="1:16" ht="42" customHeight="1">
      <c r="A174" s="639" t="s">
        <v>730</v>
      </c>
      <c r="B174" s="635" t="s">
        <v>781</v>
      </c>
      <c r="C174" s="646" t="s">
        <v>788</v>
      </c>
      <c r="D174" s="253" t="s">
        <v>774</v>
      </c>
      <c r="E174" s="406">
        <v>0.72</v>
      </c>
      <c r="F174" s="406">
        <v>0.81330000000000002</v>
      </c>
      <c r="G174" s="406">
        <v>0.9</v>
      </c>
      <c r="H174" s="255"/>
      <c r="I174" s="533"/>
      <c r="J174" s="254"/>
      <c r="K174" s="254"/>
      <c r="L174" s="255"/>
      <c r="M174" s="256"/>
      <c r="N174" s="256"/>
      <c r="O174" s="257"/>
      <c r="P174" s="3"/>
    </row>
    <row r="175" spans="1:16" ht="38.25" customHeight="1">
      <c r="A175" s="640"/>
      <c r="B175" s="635"/>
      <c r="C175" s="646"/>
      <c r="D175" s="253" t="s">
        <v>787</v>
      </c>
      <c r="E175" s="406">
        <v>0.54</v>
      </c>
      <c r="F175" s="463">
        <v>0.57469999999999999</v>
      </c>
      <c r="G175" s="463">
        <v>0.57750000000000001</v>
      </c>
      <c r="H175" s="255"/>
      <c r="I175" s="533"/>
      <c r="J175" s="254"/>
      <c r="K175" s="254"/>
      <c r="L175" s="255"/>
      <c r="M175" s="256"/>
      <c r="N175" s="256"/>
      <c r="O175" s="257"/>
      <c r="P175" s="3"/>
    </row>
    <row r="176" spans="1:16" ht="39.75" customHeight="1">
      <c r="A176" s="639" t="s">
        <v>727</v>
      </c>
      <c r="B176" s="637" t="s">
        <v>781</v>
      </c>
      <c r="C176" s="638" t="s">
        <v>788</v>
      </c>
      <c r="D176" s="258" t="s">
        <v>774</v>
      </c>
      <c r="E176" s="406">
        <v>0.75</v>
      </c>
      <c r="F176" s="406">
        <v>0.75</v>
      </c>
      <c r="G176" s="406">
        <v>0.8</v>
      </c>
      <c r="H176" s="266"/>
      <c r="I176" s="266"/>
      <c r="J176" s="264"/>
      <c r="K176" s="265"/>
      <c r="L176" s="265"/>
      <c r="M176" s="265"/>
      <c r="N176" s="266"/>
      <c r="O176" s="267"/>
      <c r="P176" s="3"/>
    </row>
    <row r="177" spans="1:16" ht="39.75" customHeight="1">
      <c r="A177" s="640"/>
      <c r="B177" s="637"/>
      <c r="C177" s="638"/>
      <c r="D177" s="258" t="s">
        <v>787</v>
      </c>
      <c r="E177" s="406">
        <v>0.53</v>
      </c>
      <c r="F177" s="462">
        <v>0.54200000000000004</v>
      </c>
      <c r="G177" s="462">
        <v>0.48609999999999998</v>
      </c>
      <c r="H177" s="266"/>
      <c r="I177" s="266"/>
      <c r="J177" s="264"/>
      <c r="K177" s="264"/>
      <c r="L177" s="265"/>
      <c r="M177" s="265"/>
      <c r="N177" s="266"/>
      <c r="O177" s="267"/>
      <c r="P177" s="3"/>
    </row>
    <row r="178" spans="1:16" ht="39.75" customHeight="1">
      <c r="A178" s="639" t="s">
        <v>723</v>
      </c>
      <c r="B178" s="635" t="s">
        <v>781</v>
      </c>
      <c r="C178" s="646" t="s">
        <v>788</v>
      </c>
      <c r="D178" s="253" t="s">
        <v>774</v>
      </c>
      <c r="E178" s="406">
        <v>0.71</v>
      </c>
      <c r="F178" s="463">
        <v>0.70630000000000004</v>
      </c>
      <c r="G178" s="463">
        <v>0.70630000000000004</v>
      </c>
      <c r="H178" s="270"/>
      <c r="I178" s="270"/>
      <c r="J178" s="268"/>
      <c r="K178" s="268"/>
      <c r="L178" s="269"/>
      <c r="M178" s="270"/>
      <c r="N178" s="270"/>
      <c r="O178" s="271"/>
      <c r="P178" s="3"/>
    </row>
    <row r="179" spans="1:16" ht="45" customHeight="1">
      <c r="A179" s="640"/>
      <c r="B179" s="635"/>
      <c r="C179" s="646"/>
      <c r="D179" s="253" t="s">
        <v>787</v>
      </c>
      <c r="E179" s="406">
        <v>0.7</v>
      </c>
      <c r="F179" s="463">
        <v>0.74680000000000002</v>
      </c>
      <c r="G179" s="463">
        <v>1.1123000000000001</v>
      </c>
      <c r="H179" s="270"/>
      <c r="I179" s="270"/>
      <c r="J179" s="268"/>
      <c r="K179" s="268"/>
      <c r="L179" s="269"/>
      <c r="M179" s="270"/>
      <c r="N179" s="270"/>
      <c r="O179" s="271"/>
      <c r="P179" s="3"/>
    </row>
    <row r="180" spans="1:16" ht="39" customHeight="1">
      <c r="A180" s="639" t="s">
        <v>720</v>
      </c>
      <c r="B180" s="637" t="s">
        <v>781</v>
      </c>
      <c r="C180" s="638" t="s">
        <v>788</v>
      </c>
      <c r="D180" s="258" t="s">
        <v>774</v>
      </c>
      <c r="E180" s="406">
        <v>0.7</v>
      </c>
      <c r="F180" s="463">
        <v>0.77429999999999999</v>
      </c>
      <c r="G180" s="463">
        <v>0.80249999999999999</v>
      </c>
      <c r="H180" s="266"/>
      <c r="I180" s="266"/>
      <c r="J180" s="264"/>
      <c r="K180" s="264"/>
      <c r="L180" s="264"/>
      <c r="M180" s="266"/>
      <c r="N180" s="266"/>
      <c r="O180" s="272"/>
      <c r="P180" s="3"/>
    </row>
    <row r="181" spans="1:16" ht="43.5" customHeight="1">
      <c r="A181" s="640"/>
      <c r="B181" s="637"/>
      <c r="C181" s="638"/>
      <c r="D181" s="258" t="s">
        <v>787</v>
      </c>
      <c r="E181" s="406">
        <v>0.63</v>
      </c>
      <c r="F181" s="463">
        <v>0.65110000000000001</v>
      </c>
      <c r="G181" s="463">
        <v>0.81840000000000002</v>
      </c>
      <c r="H181" s="266"/>
      <c r="I181" s="266"/>
      <c r="J181" s="259"/>
      <c r="K181" s="259"/>
      <c r="L181" s="264"/>
      <c r="M181" s="266"/>
      <c r="N181" s="266"/>
      <c r="O181" s="272"/>
      <c r="P181" s="3"/>
    </row>
    <row r="182" spans="1:16" ht="40.5" customHeight="1">
      <c r="A182" s="639" t="s">
        <v>717</v>
      </c>
      <c r="B182" s="635" t="s">
        <v>782</v>
      </c>
      <c r="C182" s="646" t="s">
        <v>788</v>
      </c>
      <c r="D182" s="253" t="s">
        <v>774</v>
      </c>
      <c r="E182" s="406">
        <v>0.74</v>
      </c>
      <c r="F182" s="463">
        <v>0.76919999999999999</v>
      </c>
      <c r="G182" s="463">
        <v>0.8</v>
      </c>
      <c r="H182" s="270"/>
      <c r="I182" s="270"/>
      <c r="J182" s="268"/>
      <c r="K182" s="268"/>
      <c r="L182" s="269"/>
      <c r="M182" s="270"/>
      <c r="N182" s="270"/>
      <c r="O182" s="271"/>
      <c r="P182" s="3"/>
    </row>
    <row r="183" spans="1:16" ht="51" customHeight="1">
      <c r="A183" s="640"/>
      <c r="B183" s="635"/>
      <c r="C183" s="646"/>
      <c r="D183" s="253" t="s">
        <v>787</v>
      </c>
      <c r="E183" s="406" t="s">
        <v>38</v>
      </c>
      <c r="F183" s="463">
        <v>0.85589999999999999</v>
      </c>
      <c r="G183" s="463">
        <v>0.93630000000000002</v>
      </c>
      <c r="H183" s="270"/>
      <c r="I183" s="270"/>
      <c r="J183" s="268"/>
      <c r="K183" s="268"/>
      <c r="L183" s="269"/>
      <c r="M183" s="270"/>
      <c r="N183" s="270"/>
      <c r="O183" s="268"/>
      <c r="P183" s="3"/>
    </row>
    <row r="184" spans="1:16" ht="41.25" customHeight="1">
      <c r="A184" s="639" t="s">
        <v>713</v>
      </c>
      <c r="B184" s="637" t="s">
        <v>782</v>
      </c>
      <c r="C184" s="638" t="s">
        <v>788</v>
      </c>
      <c r="D184" s="258" t="s">
        <v>774</v>
      </c>
      <c r="E184" s="406" t="s">
        <v>39</v>
      </c>
      <c r="F184" s="463">
        <v>0.63039999999999996</v>
      </c>
      <c r="G184" s="463">
        <v>0.71040000000000003</v>
      </c>
      <c r="H184" s="266"/>
      <c r="I184" s="266"/>
      <c r="J184" s="264"/>
      <c r="K184" s="259"/>
      <c r="L184" s="264"/>
      <c r="M184" s="266"/>
      <c r="N184" s="266"/>
      <c r="O184" s="259"/>
      <c r="P184" s="3"/>
    </row>
    <row r="185" spans="1:16" ht="46.5" customHeight="1">
      <c r="A185" s="640"/>
      <c r="B185" s="637"/>
      <c r="C185" s="638"/>
      <c r="D185" s="258" t="s">
        <v>787</v>
      </c>
      <c r="E185" s="406" t="s">
        <v>40</v>
      </c>
      <c r="F185" s="463">
        <v>0.64410000000000001</v>
      </c>
      <c r="G185" s="463">
        <v>0.7077</v>
      </c>
      <c r="H185" s="266"/>
      <c r="I185" s="266"/>
      <c r="J185" s="264"/>
      <c r="K185" s="264"/>
      <c r="L185" s="264"/>
      <c r="M185" s="266"/>
      <c r="N185" s="266"/>
      <c r="O185" s="264"/>
      <c r="P185" s="3"/>
    </row>
    <row r="186" spans="1:16" ht="36.75" customHeight="1">
      <c r="A186" s="639" t="s">
        <v>710</v>
      </c>
      <c r="B186" s="635" t="s">
        <v>782</v>
      </c>
      <c r="C186" s="636" t="s">
        <v>788</v>
      </c>
      <c r="D186" s="253" t="s">
        <v>774</v>
      </c>
      <c r="E186" s="406" t="s">
        <v>41</v>
      </c>
      <c r="F186" s="463">
        <v>0.63349999999999995</v>
      </c>
      <c r="G186" s="463">
        <v>0.70389999999999997</v>
      </c>
      <c r="H186" s="270"/>
      <c r="I186" s="270"/>
      <c r="J186" s="268"/>
      <c r="K186" s="268"/>
      <c r="L186" s="269"/>
      <c r="M186" s="270"/>
      <c r="N186" s="270"/>
      <c r="O186" s="268"/>
      <c r="P186" s="3"/>
    </row>
    <row r="187" spans="1:16" ht="38.25" customHeight="1">
      <c r="A187" s="640"/>
      <c r="B187" s="635"/>
      <c r="C187" s="636"/>
      <c r="D187" s="253" t="s">
        <v>787</v>
      </c>
      <c r="E187" s="406" t="s">
        <v>42</v>
      </c>
      <c r="F187" s="463">
        <v>0.54100000000000004</v>
      </c>
      <c r="G187" s="463">
        <v>0.65749999999999997</v>
      </c>
      <c r="H187" s="270"/>
      <c r="I187" s="270"/>
      <c r="J187" s="268"/>
      <c r="K187" s="268"/>
      <c r="L187" s="269"/>
      <c r="M187" s="270"/>
      <c r="N187" s="270"/>
      <c r="O187" s="268"/>
      <c r="P187" s="3"/>
    </row>
    <row r="188" spans="1:16" ht="42.75" customHeight="1">
      <c r="A188" s="639" t="s">
        <v>707</v>
      </c>
      <c r="B188" s="637" t="s">
        <v>782</v>
      </c>
      <c r="C188" s="638" t="s">
        <v>788</v>
      </c>
      <c r="D188" s="258" t="s">
        <v>774</v>
      </c>
      <c r="E188" s="406" t="s">
        <v>41</v>
      </c>
      <c r="F188" s="406">
        <v>0.6</v>
      </c>
      <c r="G188" s="406">
        <v>0.71009999999999995</v>
      </c>
      <c r="H188" s="266"/>
      <c r="I188" s="266"/>
      <c r="J188" s="264"/>
      <c r="K188" s="264"/>
      <c r="L188" s="264"/>
      <c r="M188" s="266"/>
      <c r="N188" s="266"/>
      <c r="O188" s="264"/>
      <c r="P188" s="3"/>
    </row>
    <row r="189" spans="1:16" ht="39.75" customHeight="1">
      <c r="A189" s="640"/>
      <c r="B189" s="637"/>
      <c r="C189" s="638"/>
      <c r="D189" s="258" t="s">
        <v>787</v>
      </c>
      <c r="E189" s="406" t="s">
        <v>43</v>
      </c>
      <c r="F189" s="463">
        <v>0.6099</v>
      </c>
      <c r="G189" s="463">
        <v>0.62080000000000002</v>
      </c>
      <c r="H189" s="266"/>
      <c r="I189" s="266"/>
      <c r="J189" s="264"/>
      <c r="K189" s="264"/>
      <c r="L189" s="264"/>
      <c r="M189" s="266"/>
      <c r="N189" s="266"/>
      <c r="O189" s="264"/>
      <c r="P189" s="3"/>
    </row>
    <row r="190" spans="1:16" ht="41.25" customHeight="1">
      <c r="A190" s="639" t="s">
        <v>703</v>
      </c>
      <c r="B190" s="635" t="s">
        <v>781</v>
      </c>
      <c r="C190" s="636" t="s">
        <v>790</v>
      </c>
      <c r="D190" s="253" t="s">
        <v>774</v>
      </c>
      <c r="E190" s="406">
        <v>1</v>
      </c>
      <c r="F190" s="406">
        <v>1</v>
      </c>
      <c r="G190" s="406">
        <v>1</v>
      </c>
      <c r="H190" s="265"/>
      <c r="I190" s="265"/>
      <c r="J190" s="268"/>
      <c r="K190" s="268"/>
      <c r="L190" s="269"/>
      <c r="M190" s="273"/>
      <c r="N190" s="273"/>
      <c r="O190" s="268"/>
      <c r="P190" s="3"/>
    </row>
    <row r="191" spans="1:16" ht="21" customHeight="1">
      <c r="A191" s="640"/>
      <c r="B191" s="635"/>
      <c r="C191" s="636"/>
      <c r="D191" s="253" t="s">
        <v>787</v>
      </c>
      <c r="E191" s="406" t="s">
        <v>44</v>
      </c>
      <c r="F191" s="406">
        <v>0.98</v>
      </c>
      <c r="G191" s="406">
        <v>1.74</v>
      </c>
      <c r="H191" s="265"/>
      <c r="I191" s="265"/>
      <c r="J191" s="268"/>
      <c r="K191" s="268"/>
      <c r="L191" s="269"/>
      <c r="M191" s="273"/>
      <c r="N191" s="269"/>
      <c r="O191" s="268"/>
      <c r="P191" s="3"/>
    </row>
    <row r="192" spans="1:16" ht="19.5" customHeight="1">
      <c r="A192" s="633" t="s">
        <v>789</v>
      </c>
      <c r="B192" s="637" t="s">
        <v>782</v>
      </c>
      <c r="C192" s="638" t="s">
        <v>788</v>
      </c>
      <c r="D192" s="258" t="s">
        <v>774</v>
      </c>
      <c r="E192" s="406" t="s">
        <v>45</v>
      </c>
      <c r="F192" s="406">
        <v>0.95</v>
      </c>
      <c r="G192" s="406">
        <v>0.96</v>
      </c>
      <c r="H192" s="265"/>
      <c r="I192" s="265"/>
      <c r="J192" s="264"/>
      <c r="K192" s="264"/>
      <c r="L192" s="264"/>
      <c r="M192" s="265"/>
      <c r="N192" s="265"/>
      <c r="O192" s="264"/>
      <c r="P192" s="3"/>
    </row>
    <row r="193" spans="1:16" ht="33.75" customHeight="1">
      <c r="A193" s="634"/>
      <c r="B193" s="637"/>
      <c r="C193" s="638"/>
      <c r="D193" s="258" t="s">
        <v>787</v>
      </c>
      <c r="E193" s="406" t="s">
        <v>46</v>
      </c>
      <c r="F193" s="463">
        <v>0.96530000000000005</v>
      </c>
      <c r="G193" s="463">
        <v>0.99129999999999996</v>
      </c>
      <c r="H193" s="265"/>
      <c r="I193" s="265"/>
      <c r="J193" s="264"/>
      <c r="K193" s="264"/>
      <c r="L193" s="264"/>
      <c r="M193" s="264"/>
      <c r="N193" s="264"/>
      <c r="O193" s="264"/>
      <c r="P193" s="3"/>
    </row>
    <row r="194" spans="1:16">
      <c r="E194" s="443"/>
    </row>
    <row r="195" spans="1:16" ht="16" thickBot="1">
      <c r="A195" s="154"/>
      <c r="E195" s="443"/>
    </row>
    <row r="196" spans="1:16">
      <c r="A196" t="s">
        <v>775</v>
      </c>
      <c r="B196" s="153" t="s">
        <v>36</v>
      </c>
      <c r="C196" s="192" t="s">
        <v>37</v>
      </c>
      <c r="D196" s="119"/>
      <c r="E196" s="444" t="s">
        <v>9</v>
      </c>
      <c r="F196" s="182" t="s">
        <v>10</v>
      </c>
      <c r="G196" s="182" t="s">
        <v>7</v>
      </c>
      <c r="H196" s="182" t="s">
        <v>11</v>
      </c>
      <c r="I196" s="182" t="s">
        <v>12</v>
      </c>
      <c r="J196" s="182" t="s">
        <v>13</v>
      </c>
      <c r="K196" s="182" t="s">
        <v>14</v>
      </c>
      <c r="L196" s="182" t="s">
        <v>15</v>
      </c>
      <c r="M196" s="182" t="s">
        <v>16</v>
      </c>
      <c r="N196" s="182" t="s">
        <v>17</v>
      </c>
      <c r="O196" s="182" t="s">
        <v>18</v>
      </c>
    </row>
    <row r="197" spans="1:16" ht="30" customHeight="1">
      <c r="A197" s="710" t="str">
        <f>IF(ISBLANK(A170),"",(A170))</f>
        <v>KP-1d⁽ᴹ⁾ Процент ЛУИН, охваченных программами по профилактике ВИЧ - минимальный пакет услуг</v>
      </c>
      <c r="B197" s="658" t="str">
        <f>IF(ISBLANK(B170),"",(B170))</f>
        <v>Топ 10</v>
      </c>
      <c r="C197" s="662" t="str">
        <f>IF(ISBLANK(C170),"",(C170))</f>
        <v>с текущим грантом</v>
      </c>
      <c r="D197" s="253" t="s">
        <v>774</v>
      </c>
      <c r="E197" s="445">
        <v>0.7</v>
      </c>
      <c r="F197" s="467">
        <v>0.72</v>
      </c>
      <c r="G197" s="467">
        <v>0.8</v>
      </c>
      <c r="H197" s="407"/>
      <c r="I197" s="407"/>
      <c r="J197" s="274"/>
      <c r="K197" s="274"/>
      <c r="L197" s="275"/>
      <c r="M197" s="275"/>
      <c r="N197" s="275"/>
      <c r="O197" s="275"/>
    </row>
    <row r="198" spans="1:16" ht="15" thickBot="1">
      <c r="A198" s="711"/>
      <c r="B198" s="658"/>
      <c r="C198" s="662"/>
      <c r="D198" s="253" t="s">
        <v>787</v>
      </c>
      <c r="E198" s="445">
        <v>0.68</v>
      </c>
      <c r="F198" s="467">
        <v>0.69520000000000004</v>
      </c>
      <c r="G198" s="467">
        <v>0.79320000000000002</v>
      </c>
      <c r="H198" s="407"/>
      <c r="I198" s="407"/>
      <c r="J198" s="274"/>
      <c r="K198" s="274"/>
      <c r="L198" s="275"/>
      <c r="M198" s="275"/>
      <c r="N198" s="275"/>
      <c r="O198" s="275"/>
    </row>
    <row r="199" spans="1:16">
      <c r="A199" s="712" t="str">
        <f>IF(ISBLANK(A172),"",(A172))</f>
        <v>HTS-5 Процент людей с впервые выявленным ВИЧ, начавших АРТ</v>
      </c>
      <c r="B199" s="659" t="str">
        <f>IF(ISBLANK(B172),"",(B172))</f>
        <v>Топ 10</v>
      </c>
      <c r="C199" s="660" t="str">
        <f>IF(ISBLANK(C172),"",(C172))</f>
        <v>с текущим грантом</v>
      </c>
      <c r="D199" s="258" t="s">
        <v>774</v>
      </c>
      <c r="E199" s="446">
        <v>0.9</v>
      </c>
      <c r="F199" s="469">
        <v>0.9</v>
      </c>
      <c r="G199" s="467">
        <v>0.9</v>
      </c>
      <c r="H199" s="407"/>
      <c r="I199" s="408"/>
      <c r="J199" s="276"/>
      <c r="K199" s="276"/>
      <c r="L199" s="277"/>
      <c r="M199" s="277"/>
      <c r="N199" s="277"/>
      <c r="O199" s="277"/>
    </row>
    <row r="200" spans="1:16" ht="15" thickBot="1">
      <c r="A200" s="713"/>
      <c r="B200" s="659"/>
      <c r="C200" s="660"/>
      <c r="D200" s="258" t="s">
        <v>787</v>
      </c>
      <c r="E200" s="446">
        <v>0.88</v>
      </c>
      <c r="F200" s="469">
        <v>0.92</v>
      </c>
      <c r="G200" s="467">
        <v>0.89</v>
      </c>
      <c r="H200" s="409"/>
      <c r="I200" s="408"/>
      <c r="J200" s="276"/>
      <c r="K200" s="276"/>
      <c r="L200" s="277"/>
      <c r="M200" s="277"/>
      <c r="N200" s="277"/>
      <c r="O200" s="277"/>
    </row>
    <row r="201" spans="1:16" ht="25.5" customHeight="1">
      <c r="A201" s="714" t="str">
        <f>IF(ISBLANK(A174),"",(A174))</f>
        <v>TCS-1.1⁽ᴹ⁾ Процент людей, получающих АРТ, среди всех людей, живущих с ВИЧ, на конец отчетного периода</v>
      </c>
      <c r="B201" s="658" t="str">
        <f>IF(ISBLANK(B174),"",(B174))</f>
        <v>Топ 10</v>
      </c>
      <c r="C201" s="662" t="str">
        <f>IF(ISBLANK(C174),"",(C174))</f>
        <v>с текущим грантом</v>
      </c>
      <c r="D201" s="278" t="s">
        <v>774</v>
      </c>
      <c r="E201" s="445">
        <v>0.72</v>
      </c>
      <c r="F201" s="467">
        <v>0.81330000000000002</v>
      </c>
      <c r="G201" s="467">
        <v>0.9</v>
      </c>
      <c r="H201" s="274"/>
      <c r="I201" s="532"/>
      <c r="J201" s="274"/>
      <c r="K201" s="274"/>
      <c r="L201" s="275"/>
      <c r="M201" s="275"/>
      <c r="N201" s="275"/>
      <c r="O201" s="275"/>
    </row>
    <row r="202" spans="1:16" ht="15" thickBot="1">
      <c r="A202" s="711"/>
      <c r="B202" s="661"/>
      <c r="C202" s="663"/>
      <c r="D202" s="253" t="s">
        <v>787</v>
      </c>
      <c r="E202" s="465">
        <v>0.54</v>
      </c>
      <c r="F202" s="467">
        <v>0.57469999999999999</v>
      </c>
      <c r="G202" s="467">
        <v>0.57750000000000001</v>
      </c>
      <c r="H202" s="274"/>
      <c r="I202" s="532"/>
      <c r="J202" s="274"/>
      <c r="K202" s="274"/>
      <c r="L202" s="275"/>
      <c r="M202" s="275"/>
      <c r="N202" s="275"/>
      <c r="O202" s="275"/>
    </row>
    <row r="203" spans="1:16" ht="15" thickBot="1">
      <c r="F203" t="str">
        <f>IF(AND(D203&gt;0,E203&gt;0),E203/D203,"")</f>
        <v/>
      </c>
      <c r="G203" s="531"/>
      <c r="H203" s="531"/>
    </row>
    <row r="204" spans="1:16" ht="19" thickBot="1">
      <c r="A204" s="530" t="s">
        <v>786</v>
      </c>
      <c r="B204" s="529"/>
      <c r="C204" s="529"/>
      <c r="D204" s="529"/>
      <c r="E204" s="528"/>
      <c r="F204" s="527"/>
      <c r="G204" s="159"/>
      <c r="H204" s="526" t="s">
        <v>785</v>
      </c>
      <c r="I204" s="525"/>
      <c r="J204" s="338"/>
      <c r="K204" s="338"/>
      <c r="L204" s="338"/>
      <c r="M204" s="339"/>
    </row>
    <row r="205" spans="1:16" ht="15" thickBot="1"/>
    <row r="206" spans="1:16" ht="39.75" customHeight="1">
      <c r="A206" s="366" t="s">
        <v>738</v>
      </c>
      <c r="B206" s="153" t="s">
        <v>36</v>
      </c>
      <c r="C206" s="192" t="s">
        <v>37</v>
      </c>
      <c r="D206" s="119"/>
      <c r="E206" s="182" t="s">
        <v>47</v>
      </c>
      <c r="F206" s="182" t="s">
        <v>48</v>
      </c>
      <c r="G206" s="182" t="s">
        <v>7</v>
      </c>
      <c r="H206" s="182" t="s">
        <v>11</v>
      </c>
      <c r="I206" s="405" t="s">
        <v>12</v>
      </c>
      <c r="J206" s="182" t="s">
        <v>13</v>
      </c>
      <c r="K206" s="182" t="s">
        <v>14</v>
      </c>
      <c r="L206" s="182" t="s">
        <v>15</v>
      </c>
      <c r="M206" s="182" t="s">
        <v>16</v>
      </c>
      <c r="N206" s="182" t="s">
        <v>17</v>
      </c>
      <c r="O206" s="182" t="s">
        <v>18</v>
      </c>
      <c r="P206" s="3"/>
    </row>
    <row r="207" spans="1:16" ht="40.5" customHeight="1">
      <c r="A207" s="368" t="s">
        <v>692</v>
      </c>
      <c r="B207" s="635" t="s">
        <v>782</v>
      </c>
      <c r="C207" s="656" t="s">
        <v>780</v>
      </c>
      <c r="D207" s="340" t="s">
        <v>774</v>
      </c>
      <c r="E207" s="433">
        <v>0.97</v>
      </c>
      <c r="F207" s="435">
        <v>0.98</v>
      </c>
      <c r="G207" s="288">
        <v>0.99</v>
      </c>
      <c r="H207" s="288"/>
      <c r="I207" s="288"/>
      <c r="J207" s="133"/>
      <c r="K207" s="133"/>
      <c r="L207" s="133"/>
      <c r="M207" s="133"/>
      <c r="N207" s="133"/>
      <c r="O207" s="133"/>
      <c r="P207" s="3"/>
    </row>
    <row r="208" spans="1:16" ht="23.25" customHeight="1">
      <c r="A208" s="369"/>
      <c r="B208" s="635"/>
      <c r="C208" s="657"/>
      <c r="D208" s="340" t="s">
        <v>773</v>
      </c>
      <c r="E208" s="433">
        <v>0.94</v>
      </c>
      <c r="F208" s="433">
        <v>0.95</v>
      </c>
      <c r="G208" s="288">
        <v>0.95</v>
      </c>
      <c r="H208" s="133"/>
      <c r="I208" s="133"/>
      <c r="J208" s="133"/>
      <c r="K208" s="133"/>
      <c r="L208" s="133"/>
      <c r="M208" s="133"/>
      <c r="N208" s="133"/>
      <c r="O208" s="133"/>
      <c r="P208" s="3"/>
    </row>
    <row r="209" spans="1:16" ht="48" customHeight="1">
      <c r="A209" s="715" t="s">
        <v>784</v>
      </c>
      <c r="B209" s="637" t="s">
        <v>781</v>
      </c>
      <c r="C209" s="672" t="s">
        <v>780</v>
      </c>
      <c r="D209" s="340" t="s">
        <v>774</v>
      </c>
      <c r="E209" s="434">
        <v>1697</v>
      </c>
      <c r="F209" s="434">
        <v>1832</v>
      </c>
      <c r="G209" s="134">
        <v>1850</v>
      </c>
      <c r="H209" s="134"/>
      <c r="I209" s="230"/>
      <c r="J209" s="134"/>
      <c r="K209" s="134"/>
      <c r="L209" s="134"/>
      <c r="M209" s="134"/>
      <c r="N209" s="134"/>
      <c r="O209" s="134"/>
      <c r="P209" s="3"/>
    </row>
    <row r="210" spans="1:16" ht="15.75" customHeight="1">
      <c r="A210" s="716"/>
      <c r="B210" s="637"/>
      <c r="C210" s="673"/>
      <c r="D210" s="341" t="s">
        <v>773</v>
      </c>
      <c r="E210" s="434">
        <v>914</v>
      </c>
      <c r="F210" s="434">
        <v>858</v>
      </c>
      <c r="G210" s="152">
        <v>768</v>
      </c>
      <c r="H210" s="152"/>
      <c r="I210" s="152"/>
      <c r="J210" s="152"/>
      <c r="K210" s="152"/>
      <c r="L210" s="152"/>
      <c r="M210" s="134"/>
      <c r="N210" s="134"/>
      <c r="O210" s="134"/>
      <c r="P210" s="3"/>
    </row>
    <row r="211" spans="1:16" ht="38.25" customHeight="1">
      <c r="A211" s="368" t="s">
        <v>783</v>
      </c>
      <c r="B211" s="635" t="s">
        <v>782</v>
      </c>
      <c r="C211" s="656" t="s">
        <v>780</v>
      </c>
      <c r="D211" s="340" t="s">
        <v>774</v>
      </c>
      <c r="E211" s="434">
        <v>1612</v>
      </c>
      <c r="F211" s="434">
        <v>1832</v>
      </c>
      <c r="G211" s="134">
        <v>1850</v>
      </c>
      <c r="H211" s="134"/>
      <c r="I211" s="230"/>
      <c r="J211" s="133"/>
      <c r="K211" s="133"/>
      <c r="L211" s="133"/>
      <c r="M211" s="133"/>
      <c r="N211" s="133"/>
      <c r="O211" s="133"/>
      <c r="P211" s="3"/>
    </row>
    <row r="212" spans="1:16" ht="39.75" customHeight="1">
      <c r="A212" s="367"/>
      <c r="B212" s="635"/>
      <c r="C212" s="657"/>
      <c r="D212" s="340" t="s">
        <v>773</v>
      </c>
      <c r="E212" s="434">
        <v>934</v>
      </c>
      <c r="F212" s="434">
        <v>904</v>
      </c>
      <c r="G212" s="210">
        <v>776</v>
      </c>
      <c r="H212" s="210"/>
      <c r="I212" s="210"/>
      <c r="J212" s="133"/>
      <c r="K212" s="133"/>
      <c r="L212" s="133"/>
      <c r="M212" s="133"/>
      <c r="N212" s="133"/>
      <c r="O212" s="133"/>
      <c r="P212" s="3"/>
    </row>
    <row r="213" spans="1:16" ht="39.75" customHeight="1">
      <c r="A213" s="715" t="s">
        <v>681</v>
      </c>
      <c r="B213" s="637" t="s">
        <v>781</v>
      </c>
      <c r="C213" s="672" t="s">
        <v>780</v>
      </c>
      <c r="D213" s="340" t="s">
        <v>774</v>
      </c>
      <c r="E213" s="433">
        <v>0.72</v>
      </c>
      <c r="F213" s="435">
        <v>0.75</v>
      </c>
      <c r="G213" s="288">
        <v>0.8</v>
      </c>
      <c r="H213" s="288"/>
      <c r="I213" s="288"/>
      <c r="J213" s="210"/>
      <c r="K213" s="210"/>
      <c r="L213" s="210"/>
      <c r="M213" s="210"/>
      <c r="N213" s="210"/>
      <c r="O213" s="210"/>
      <c r="P213" s="3"/>
    </row>
    <row r="214" spans="1:16" ht="39.75" customHeight="1">
      <c r="A214" s="716"/>
      <c r="B214" s="637"/>
      <c r="C214" s="673"/>
      <c r="D214" s="340" t="s">
        <v>773</v>
      </c>
      <c r="E214" s="433">
        <v>0.79</v>
      </c>
      <c r="F214" s="435">
        <v>0.86699999999999999</v>
      </c>
      <c r="G214" s="288">
        <v>0.86</v>
      </c>
      <c r="H214" s="288"/>
      <c r="I214" s="288"/>
      <c r="J214" s="210"/>
      <c r="K214" s="210"/>
      <c r="L214" s="210"/>
      <c r="M214" s="210"/>
      <c r="N214" s="210"/>
      <c r="O214" s="210"/>
      <c r="P214" s="3"/>
    </row>
    <row r="215" spans="1:16" ht="35.25" customHeight="1">
      <c r="A215" s="704" t="s">
        <v>779</v>
      </c>
      <c r="B215" s="635" t="s">
        <v>49</v>
      </c>
      <c r="C215" s="656"/>
      <c r="D215" s="340" t="s">
        <v>774</v>
      </c>
      <c r="E215" s="435">
        <v>0.23</v>
      </c>
      <c r="F215" s="435">
        <v>0.31</v>
      </c>
      <c r="G215" s="435">
        <v>0.45</v>
      </c>
      <c r="H215" s="211"/>
      <c r="I215" s="211"/>
      <c r="J215" s="211"/>
      <c r="K215" s="211"/>
      <c r="L215" s="211"/>
      <c r="M215" s="211"/>
      <c r="N215" s="211"/>
      <c r="O215" s="211"/>
      <c r="P215" s="3"/>
    </row>
    <row r="216" spans="1:16" ht="39" customHeight="1">
      <c r="A216" s="705"/>
      <c r="B216" s="635"/>
      <c r="C216" s="657"/>
      <c r="D216" s="341" t="s">
        <v>773</v>
      </c>
      <c r="E216" s="460">
        <v>0.18</v>
      </c>
      <c r="F216" s="460">
        <v>0.17299999999999999</v>
      </c>
      <c r="G216" s="460">
        <v>0.2</v>
      </c>
      <c r="H216" s="211"/>
      <c r="I216" s="211"/>
      <c r="J216" s="211"/>
      <c r="K216" s="211"/>
      <c r="L216" s="211"/>
      <c r="M216" s="211"/>
      <c r="N216" s="211"/>
      <c r="O216" s="211"/>
      <c r="P216" s="3"/>
    </row>
    <row r="217" spans="1:16" ht="43.5" customHeight="1">
      <c r="A217" s="704" t="s">
        <v>673</v>
      </c>
      <c r="B217" s="674" t="s">
        <v>49</v>
      </c>
      <c r="C217" s="672"/>
      <c r="D217" s="340" t="s">
        <v>774</v>
      </c>
      <c r="E217" s="433" t="s">
        <v>635</v>
      </c>
      <c r="F217" s="433" t="s">
        <v>635</v>
      </c>
      <c r="G217" s="288" t="s">
        <v>635</v>
      </c>
      <c r="H217" s="288"/>
      <c r="I217" s="288"/>
      <c r="J217" s="212"/>
      <c r="K217" s="212"/>
      <c r="L217" s="212"/>
      <c r="M217" s="212"/>
      <c r="N217" s="212"/>
      <c r="O217" s="238"/>
      <c r="P217" s="3"/>
    </row>
    <row r="218" spans="1:16" ht="40.5" customHeight="1">
      <c r="A218" s="705"/>
      <c r="B218" s="675"/>
      <c r="C218" s="673"/>
      <c r="D218" s="340" t="s">
        <v>778</v>
      </c>
      <c r="E218" s="433" t="s">
        <v>777</v>
      </c>
      <c r="F218" s="433" t="s">
        <v>776</v>
      </c>
      <c r="G218" s="288" t="s">
        <v>636</v>
      </c>
      <c r="H218" s="288"/>
      <c r="I218" s="288"/>
      <c r="J218" s="210"/>
      <c r="K218" s="210"/>
      <c r="L218" s="210"/>
      <c r="M218" s="212"/>
      <c r="N218" s="212"/>
      <c r="O218" s="212"/>
      <c r="P218" s="3"/>
    </row>
    <row r="219" spans="1:16" ht="20.25" customHeight="1"/>
    <row r="220" spans="1:16">
      <c r="A220" t="s">
        <v>775</v>
      </c>
    </row>
    <row r="221" spans="1:16" ht="4.5" customHeight="1" thickBot="1"/>
    <row r="222" spans="1:16" ht="16" hidden="1" thickBot="1">
      <c r="A222" s="154"/>
    </row>
    <row r="223" spans="1:16" ht="72" customHeight="1">
      <c r="A223" s="27"/>
      <c r="B223" s="524" t="s">
        <v>36</v>
      </c>
      <c r="C223" s="192" t="s">
        <v>37</v>
      </c>
      <c r="D223" s="119"/>
      <c r="E223" s="182" t="str">
        <f t="shared" ref="E223:O223" si="8">B30</f>
        <v>P1</v>
      </c>
      <c r="F223" s="182" t="str">
        <f t="shared" si="8"/>
        <v>P2</v>
      </c>
      <c r="G223" s="182" t="str">
        <f t="shared" si="8"/>
        <v>P3</v>
      </c>
      <c r="H223" s="182" t="str">
        <f t="shared" si="8"/>
        <v>P4</v>
      </c>
      <c r="I223" s="182" t="str">
        <f t="shared" si="8"/>
        <v>P5</v>
      </c>
      <c r="J223" s="182" t="str">
        <f t="shared" si="8"/>
        <v>P6</v>
      </c>
      <c r="K223" s="182" t="str">
        <f t="shared" si="8"/>
        <v>P7</v>
      </c>
      <c r="L223" s="182" t="str">
        <f t="shared" si="8"/>
        <v>P8</v>
      </c>
      <c r="M223" s="182" t="str">
        <f t="shared" si="8"/>
        <v>P9</v>
      </c>
      <c r="N223" s="182" t="str">
        <f t="shared" si="8"/>
        <v>P10</v>
      </c>
      <c r="O223" s="182" t="str">
        <f t="shared" si="8"/>
        <v>P11</v>
      </c>
    </row>
    <row r="224" spans="1:16" ht="47.25" customHeight="1">
      <c r="A224" s="706" t="str">
        <f>A207</f>
        <v>MDR TB-6: Процент ТБ пациентов с результатом ТЛЧ как минимум к рифампицину среди общего количества зарегистрированных (новых и ранее леченных) случаев том же году.</v>
      </c>
      <c r="B224" s="664" t="str">
        <f>IF(ISBLANK(B207),"",(B207))</f>
        <v xml:space="preserve"> Топ 10</v>
      </c>
      <c r="C224" s="666" t="str">
        <f>IF(ISBLANK(C207),"",(C207))</f>
        <v>да</v>
      </c>
      <c r="D224" s="340" t="s">
        <v>774</v>
      </c>
      <c r="E224" s="436">
        <f t="shared" ref="E224:O224" si="9">E207</f>
        <v>0.97</v>
      </c>
      <c r="F224" s="436">
        <f t="shared" si="9"/>
        <v>0.98</v>
      </c>
      <c r="G224" s="436">
        <f t="shared" si="9"/>
        <v>0.99</v>
      </c>
      <c r="H224" s="342">
        <f t="shared" si="9"/>
        <v>0</v>
      </c>
      <c r="I224" s="342">
        <f t="shared" si="9"/>
        <v>0</v>
      </c>
      <c r="J224" s="342">
        <f t="shared" si="9"/>
        <v>0</v>
      </c>
      <c r="K224" s="342">
        <f t="shared" si="9"/>
        <v>0</v>
      </c>
      <c r="L224" s="342">
        <f t="shared" si="9"/>
        <v>0</v>
      </c>
      <c r="M224" s="342">
        <f t="shared" si="9"/>
        <v>0</v>
      </c>
      <c r="N224" s="342">
        <f t="shared" si="9"/>
        <v>0</v>
      </c>
      <c r="O224" s="342">
        <f t="shared" si="9"/>
        <v>0</v>
      </c>
    </row>
    <row r="225" spans="1:15">
      <c r="A225" s="707"/>
      <c r="B225" s="670"/>
      <c r="C225" s="671"/>
      <c r="D225" s="343" t="s">
        <v>773</v>
      </c>
      <c r="E225" s="436">
        <f t="shared" ref="E225:O225" si="10">E208</f>
        <v>0.94</v>
      </c>
      <c r="F225" s="436">
        <f t="shared" si="10"/>
        <v>0.95</v>
      </c>
      <c r="G225" s="436">
        <f t="shared" si="10"/>
        <v>0.95</v>
      </c>
      <c r="H225" s="342">
        <f t="shared" si="10"/>
        <v>0</v>
      </c>
      <c r="I225" s="342">
        <f t="shared" si="10"/>
        <v>0</v>
      </c>
      <c r="J225" s="342">
        <f t="shared" si="10"/>
        <v>0</v>
      </c>
      <c r="K225" s="342">
        <f t="shared" si="10"/>
        <v>0</v>
      </c>
      <c r="L225" s="342">
        <f t="shared" si="10"/>
        <v>0</v>
      </c>
      <c r="M225" s="342">
        <f t="shared" si="10"/>
        <v>0</v>
      </c>
      <c r="N225" s="342">
        <f t="shared" si="10"/>
        <v>0</v>
      </c>
      <c r="O225" s="342">
        <f t="shared" si="10"/>
        <v>0</v>
      </c>
    </row>
    <row r="226" spans="1:15" ht="25.5" customHeight="1">
      <c r="A226" s="708" t="str">
        <f>A209</f>
        <v xml:space="preserve">MDR TB-2: Количество бактериологически подтвержденных зарегистрированных ЛУ-ТБ случаев (РУ-ТБ и/или МЛУ-ТБ)		</v>
      </c>
      <c r="B226" s="676" t="str">
        <f>IF(ISBLANK(B209),"",(B209))</f>
        <v>Топ 10</v>
      </c>
      <c r="C226" s="668" t="str">
        <f>IF(ISBLANK(C209),"",(C209))</f>
        <v>да</v>
      </c>
      <c r="D226" s="341" t="s">
        <v>774</v>
      </c>
      <c r="E226" s="437">
        <f t="shared" ref="E226:O226" si="11">E209</f>
        <v>1697</v>
      </c>
      <c r="F226" s="437">
        <f t="shared" si="11"/>
        <v>1832</v>
      </c>
      <c r="G226" s="344">
        <f t="shared" si="11"/>
        <v>1850</v>
      </c>
      <c r="H226" s="344">
        <f t="shared" si="11"/>
        <v>0</v>
      </c>
      <c r="I226" s="344">
        <f t="shared" si="11"/>
        <v>0</v>
      </c>
      <c r="J226" s="344">
        <f t="shared" si="11"/>
        <v>0</v>
      </c>
      <c r="K226" s="344">
        <f t="shared" si="11"/>
        <v>0</v>
      </c>
      <c r="L226" s="344">
        <f t="shared" si="11"/>
        <v>0</v>
      </c>
      <c r="M226" s="344">
        <f t="shared" si="11"/>
        <v>0</v>
      </c>
      <c r="N226" s="344">
        <f t="shared" si="11"/>
        <v>0</v>
      </c>
      <c r="O226" s="344">
        <f t="shared" si="11"/>
        <v>0</v>
      </c>
    </row>
    <row r="227" spans="1:15">
      <c r="A227" s="709"/>
      <c r="B227" s="677"/>
      <c r="C227" s="669"/>
      <c r="D227" s="341" t="s">
        <v>773</v>
      </c>
      <c r="E227" s="437">
        <f t="shared" ref="E227:O227" si="12">E210</f>
        <v>914</v>
      </c>
      <c r="F227" s="437">
        <f t="shared" si="12"/>
        <v>858</v>
      </c>
      <c r="G227" s="344">
        <f t="shared" si="12"/>
        <v>768</v>
      </c>
      <c r="H227" s="344">
        <f t="shared" si="12"/>
        <v>0</v>
      </c>
      <c r="I227" s="344">
        <f t="shared" si="12"/>
        <v>0</v>
      </c>
      <c r="J227" s="344">
        <f t="shared" si="12"/>
        <v>0</v>
      </c>
      <c r="K227" s="344">
        <f t="shared" si="12"/>
        <v>0</v>
      </c>
      <c r="L227" s="344">
        <f t="shared" si="12"/>
        <v>0</v>
      </c>
      <c r="M227" s="344">
        <f t="shared" si="12"/>
        <v>0</v>
      </c>
      <c r="N227" s="344">
        <f t="shared" si="12"/>
        <v>0</v>
      </c>
      <c r="O227" s="344">
        <f t="shared" si="12"/>
        <v>0</v>
      </c>
    </row>
    <row r="228" spans="1:15" ht="58.5" customHeight="1">
      <c r="A228" s="706" t="str">
        <f>A211</f>
        <v>MDR TB-3: Количество случаев с РУ/МЛУ ТБ, начавших лечение препаратами второго ряда</v>
      </c>
      <c r="B228" s="664" t="str">
        <f>IF(ISBLANK(B211),"",(B211))</f>
        <v xml:space="preserve"> Топ 10</v>
      </c>
      <c r="C228" s="666" t="str">
        <f>IF(ISBLANK(C211),"",(C211))</f>
        <v>да</v>
      </c>
      <c r="D228" s="345" t="s">
        <v>774</v>
      </c>
      <c r="E228" s="438">
        <f t="shared" ref="E228:O228" si="13">E211</f>
        <v>1612</v>
      </c>
      <c r="F228" s="438">
        <f t="shared" si="13"/>
        <v>1832</v>
      </c>
      <c r="G228" s="342">
        <f t="shared" si="13"/>
        <v>1850</v>
      </c>
      <c r="H228" s="346">
        <f t="shared" si="13"/>
        <v>0</v>
      </c>
      <c r="I228" s="342">
        <f t="shared" si="13"/>
        <v>0</v>
      </c>
      <c r="J228" s="342">
        <f t="shared" si="13"/>
        <v>0</v>
      </c>
      <c r="K228" s="342">
        <f t="shared" si="13"/>
        <v>0</v>
      </c>
      <c r="L228" s="342">
        <f t="shared" si="13"/>
        <v>0</v>
      </c>
      <c r="M228" s="342">
        <f t="shared" si="13"/>
        <v>0</v>
      </c>
      <c r="N228" s="342">
        <f t="shared" si="13"/>
        <v>0</v>
      </c>
      <c r="O228" s="342">
        <f t="shared" si="13"/>
        <v>0</v>
      </c>
    </row>
    <row r="229" spans="1:15" ht="15" thickBot="1">
      <c r="A229" s="707"/>
      <c r="B229" s="665"/>
      <c r="C229" s="667"/>
      <c r="D229" s="347" t="s">
        <v>773</v>
      </c>
      <c r="E229" s="439">
        <f t="shared" ref="E229:O229" si="14">E212</f>
        <v>934</v>
      </c>
      <c r="F229" s="439">
        <f t="shared" si="14"/>
        <v>904</v>
      </c>
      <c r="G229" s="348">
        <f t="shared" si="14"/>
        <v>776</v>
      </c>
      <c r="H229" s="349">
        <f t="shared" si="14"/>
        <v>0</v>
      </c>
      <c r="I229" s="342">
        <f t="shared" si="14"/>
        <v>0</v>
      </c>
      <c r="J229" s="342">
        <f t="shared" si="14"/>
        <v>0</v>
      </c>
      <c r="K229" s="342">
        <f t="shared" si="14"/>
        <v>0</v>
      </c>
      <c r="L229" s="342">
        <f t="shared" si="14"/>
        <v>0</v>
      </c>
      <c r="M229" s="342">
        <f t="shared" si="14"/>
        <v>0</v>
      </c>
      <c r="N229" s="342">
        <f t="shared" si="14"/>
        <v>0</v>
      </c>
      <c r="O229" s="342">
        <f t="shared" si="14"/>
        <v>0</v>
      </c>
    </row>
    <row r="232" spans="1:15" ht="14.25" customHeight="1"/>
    <row r="237" spans="1:15">
      <c r="G237" t="s">
        <v>50</v>
      </c>
    </row>
  </sheetData>
  <mergeCells count="106">
    <mergeCell ref="A217:A218"/>
    <mergeCell ref="A215:A216"/>
    <mergeCell ref="A224:A225"/>
    <mergeCell ref="A226:A227"/>
    <mergeCell ref="A228:A229"/>
    <mergeCell ref="A197:A198"/>
    <mergeCell ref="A199:A200"/>
    <mergeCell ref="A201:A202"/>
    <mergeCell ref="A209:A210"/>
    <mergeCell ref="A213:A214"/>
    <mergeCell ref="B211:B212"/>
    <mergeCell ref="C211:C212"/>
    <mergeCell ref="B213:B214"/>
    <mergeCell ref="A18:B18"/>
    <mergeCell ref="C213:C214"/>
    <mergeCell ref="A26:B26"/>
    <mergeCell ref="A88:B88"/>
    <mergeCell ref="A77:C77"/>
    <mergeCell ref="A91:B91"/>
    <mergeCell ref="A29:M29"/>
    <mergeCell ref="A174:A175"/>
    <mergeCell ref="A176:A177"/>
    <mergeCell ref="A178:A179"/>
    <mergeCell ref="A180:A181"/>
    <mergeCell ref="A182:A183"/>
    <mergeCell ref="A92:B92"/>
    <mergeCell ref="C24:D24"/>
    <mergeCell ref="F24:G24"/>
    <mergeCell ref="H24:I24"/>
    <mergeCell ref="C18:E18"/>
    <mergeCell ref="A21:I21"/>
    <mergeCell ref="C209:C210"/>
    <mergeCell ref="B207:B208"/>
    <mergeCell ref="C207:C208"/>
    <mergeCell ref="B1:C1"/>
    <mergeCell ref="B8:C8"/>
    <mergeCell ref="A14:I14"/>
    <mergeCell ref="B6:C6"/>
    <mergeCell ref="D6:E6"/>
    <mergeCell ref="H6:I6"/>
    <mergeCell ref="F10:I10"/>
    <mergeCell ref="G16:H16"/>
    <mergeCell ref="H8:I8"/>
    <mergeCell ref="B10:C10"/>
    <mergeCell ref="D12:E12"/>
    <mergeCell ref="F12:I12"/>
    <mergeCell ref="A2:I2"/>
    <mergeCell ref="B4:C4"/>
    <mergeCell ref="D4:E4"/>
    <mergeCell ref="D10:E10"/>
    <mergeCell ref="B12:C12"/>
    <mergeCell ref="B228:B229"/>
    <mergeCell ref="C228:C229"/>
    <mergeCell ref="C226:C227"/>
    <mergeCell ref="B224:B225"/>
    <mergeCell ref="C224:C225"/>
    <mergeCell ref="C215:C216"/>
    <mergeCell ref="C217:C218"/>
    <mergeCell ref="B217:B218"/>
    <mergeCell ref="B215:B216"/>
    <mergeCell ref="B226:B227"/>
    <mergeCell ref="B209:B210"/>
    <mergeCell ref="E64:H64"/>
    <mergeCell ref="C178:C179"/>
    <mergeCell ref="B180:B181"/>
    <mergeCell ref="C174:C175"/>
    <mergeCell ref="B176:B177"/>
    <mergeCell ref="C176:C177"/>
    <mergeCell ref="C180:C181"/>
    <mergeCell ref="B182:B183"/>
    <mergeCell ref="C182:C183"/>
    <mergeCell ref="N31:N34"/>
    <mergeCell ref="B172:B173"/>
    <mergeCell ref="C172:C173"/>
    <mergeCell ref="G130:H130"/>
    <mergeCell ref="B170:B171"/>
    <mergeCell ref="C170:C171"/>
    <mergeCell ref="B174:B175"/>
    <mergeCell ref="B178:B179"/>
    <mergeCell ref="A89:B89"/>
    <mergeCell ref="A90:B90"/>
    <mergeCell ref="A132:A144"/>
    <mergeCell ref="A145:A162"/>
    <mergeCell ref="A170:A171"/>
    <mergeCell ref="A172:A173"/>
    <mergeCell ref="A192:A193"/>
    <mergeCell ref="B190:B191"/>
    <mergeCell ref="A184:A185"/>
    <mergeCell ref="A186:A187"/>
    <mergeCell ref="A188:A189"/>
    <mergeCell ref="A190:A191"/>
    <mergeCell ref="B201:B202"/>
    <mergeCell ref="C201:C202"/>
    <mergeCell ref="C197:C198"/>
    <mergeCell ref="B192:B193"/>
    <mergeCell ref="C190:C191"/>
    <mergeCell ref="B184:B185"/>
    <mergeCell ref="C184:C185"/>
    <mergeCell ref="B186:B187"/>
    <mergeCell ref="C186:C187"/>
    <mergeCell ref="B188:B189"/>
    <mergeCell ref="C188:C189"/>
    <mergeCell ref="C192:C193"/>
    <mergeCell ref="B197:B198"/>
    <mergeCell ref="B199:B200"/>
    <mergeCell ref="C199:C200"/>
  </mergeCells>
  <conditionalFormatting sqref="A32 E32:G32 A34">
    <cfRule type="expression" dxfId="40" priority="6" stopIfTrue="1">
      <formula>+AND(A31&gt;=#REF!,A31&lt;=#REF!)</formula>
    </cfRule>
  </conditionalFormatting>
  <conditionalFormatting sqref="B12:C12">
    <cfRule type="cellIs" dxfId="39" priority="8" stopIfTrue="1" operator="equal">
      <formula>"C"</formula>
    </cfRule>
    <cfRule type="cellIs" dxfId="38" priority="9" stopIfTrue="1" operator="equal">
      <formula>"B2"</formula>
    </cfRule>
    <cfRule type="cellIs" dxfId="37" priority="10" stopIfTrue="1" operator="equal">
      <formula>"B1"</formula>
    </cfRule>
  </conditionalFormatting>
  <conditionalFormatting sqref="B33:D33">
    <cfRule type="expression" dxfId="36" priority="3" stopIfTrue="1">
      <formula>+AND(B32&gt;=#REF!,B32&lt;=#REF!)</formula>
    </cfRule>
  </conditionalFormatting>
  <conditionalFormatting sqref="B30:M30 B118:M118">
    <cfRule type="cellIs" dxfId="35" priority="7" stopIfTrue="1" operator="equal">
      <formula>$B$16</formula>
    </cfRule>
  </conditionalFormatting>
  <conditionalFormatting sqref="B34:M34">
    <cfRule type="expression" dxfId="34" priority="4" stopIfTrue="1">
      <formula>+AND(B32&gt;=#REF!,B32&lt;=#REF!)</formula>
    </cfRule>
  </conditionalFormatting>
  <conditionalFormatting sqref="D32 E33:M33">
    <cfRule type="expression" dxfId="33" priority="1" stopIfTrue="1">
      <formula>+AND(D31&gt;=#REF!,D31&lt;=#REF!)</formula>
    </cfRule>
  </conditionalFormatting>
  <conditionalFormatting sqref="E64:H64">
    <cfRule type="expression" dxfId="32" priority="5" stopIfTrue="1">
      <formula>LEFT($E$64,3)="Все"</formula>
    </cfRule>
  </conditionalFormatting>
  <conditionalFormatting sqref="E169:O169">
    <cfRule type="cellIs" dxfId="31" priority="11" stopIfTrue="1" operator="equal">
      <formula>$B$16</formula>
    </cfRule>
  </conditionalFormatting>
  <conditionalFormatting sqref="E196:O223">
    <cfRule type="cellIs" dxfId="30" priority="2" stopIfTrue="1" operator="equal">
      <formula>$B$16</formula>
    </cfRule>
  </conditionalFormatting>
  <dataValidations count="9">
    <dataValidation type="list" allowBlank="1" showInputMessage="1" showErrorMessage="1" sqref="WVJ161:WVJ164 IX161:IX164 ST161:ST164 ACP161:ACP164 AML161:AML164 AWH161:AWH164 BGD161:BGD164 BPZ161:BPZ164 BZV161:BZV164 CJR161:CJR164 CTN161:CTN164 DDJ161:DDJ164 DNF161:DNF164 DXB161:DXB164 EGX161:EGX164 EQT161:EQT164 FAP161:FAP164 FKL161:FKL164 FUH161:FUH164 GED161:GED164 GNZ161:GNZ164 GXV161:GXV164 HHR161:HHR164 HRN161:HRN164 IBJ161:IBJ164 ILF161:ILF164 IVB161:IVB164 JEX161:JEX164 JOT161:JOT164 JYP161:JYP164 KIL161:KIL164 KSH161:KSH164 LCD161:LCD164 LLZ161:LLZ164 LVV161:LVV164 MFR161:MFR164 MPN161:MPN164 MZJ161:MZJ164 NJF161:NJF164 NTB161:NTB164 OCX161:OCX164 OMT161:OMT164 OWP161:OWP164 PGL161:PGL164 PQH161:PQH164 QAD161:QAD164 QJZ161:QJZ164 QTV161:QTV164 RDR161:RDR164 RNN161:RNN164 RXJ161:RXJ164 SHF161:SHF164 SRB161:SRB164 TAX161:TAX164 TKT161:TKT164 TUP161:TUP164 UEL161:UEL164 UOH161:UOH164 UYD161:UYD164 VHZ161:VHZ164 VRV161:VRV164 WBR161:WBR164 WLN161:WLN164 B137:B144" xr:uid="{00000000-0002-0000-0200-000008000000}">
      <formula1>Medicaments</formula1>
    </dataValidation>
    <dataValidation type="list" allowBlank="1" showInputMessage="1" showErrorMessage="1" sqref="B145:B162 ST141:ST160 ACP141:ACP160 AML141:AML160 AWH141:AWH160 BGD141:BGD160 BPZ141:BPZ160 BZV141:BZV160 CJR141:CJR160 CTN141:CTN160 DDJ141:DDJ160 DNF141:DNF160 DXB141:DXB160 EGX141:EGX160 EQT141:EQT160 FAP141:FAP160 FKL141:FKL160 FUH141:FUH160 GED141:GED160 GNZ141:GNZ160 GXV141:GXV160 HHR141:HHR160 HRN141:HRN160 IBJ141:IBJ160 ILF141:ILF160 IVB141:IVB160 JEX141:JEX160 JOT141:JOT160 JYP141:JYP160 KIL141:KIL160 KSH141:KSH160 LCD141:LCD160 LLZ141:LLZ160 LVV141:LVV160 MFR141:MFR160 MPN141:MPN160 MZJ141:MZJ160 NJF141:NJF160 NTB141:NTB160 OCX141:OCX160 OMT141:OMT160 OWP141:OWP160 PGL141:PGL160 PQH141:PQH160 QAD141:QAD160 QJZ141:QJZ160 QTV141:QTV160 RDR141:RDR160 RNN141:RNN160 RXJ141:RXJ160 SHF141:SHF160 SRB141:SRB160 TAX141:TAX160 TKT141:TKT160 TUP141:TUP160 UEL141:UEL160 UOH141:UOH160 UYD141:UYD160 VHZ141:VHZ160 VRV141:VRV160 WBR141:WBR160 WLN141:WLN160 WVJ141:WVJ160 IX141:IX160 WVK138:WVK140 IY138:IY140 SU138:SU140 ACQ138:ACQ140 AMM138:AMM140 AWI138:AWI140 BGE138:BGE140 BQA138:BQA140 BZW138:BZW140 CJS138:CJS140 CTO138:CTO140 DDK138:DDK140 DNG138:DNG140 DXC138:DXC140 EGY138:EGY140 EQU138:EQU140 FAQ138:FAQ140 FKM138:FKM140 FUI138:FUI140 GEE138:GEE140 GOA138:GOA140 GXW138:GXW140 HHS138:HHS140 HRO138:HRO140 IBK138:IBK140 ILG138:ILG140 IVC138:IVC140 JEY138:JEY140 JOU138:JOU140 JYQ138:JYQ140 KIM138:KIM140 KSI138:KSI140 LCE138:LCE140 LMA138:LMA140 LVW138:LVW140 MFS138:MFS140 MPO138:MPO140 MZK138:MZK140 NJG138:NJG140 NTC138:NTC140 OCY138:OCY140 OMU138:OMU140 OWQ138:OWQ140 PGM138:PGM140 PQI138:PQI140 QAE138:QAE140 QKA138:QKA140 QTW138:QTW140 RDS138:RDS140 RNO138:RNO140 RXK138:RXK140 SHG138:SHG140 SRC138:SRC140 TAY138:TAY140 TKU138:TKU140 TUQ138:TUQ140 UEM138:UEM140 UOI138:UOI140 UYE138:UYE140 VIA138:VIA140 VRW138:VRW140 WBS138:WBS140 WLO138:WLO140" xr:uid="{00000000-0002-0000-0200-000007000000}">
      <formula1>мва</formula1>
    </dataValidation>
    <dataValidation type="list" allowBlank="1" showInputMessage="1" showErrorMessage="1" sqref="C26" xr:uid="{00000000-0002-0000-0200-000006000000}">
      <formula1>Currency</formula1>
    </dataValidation>
    <dataValidation type="list" allowBlank="1" showInputMessage="1" showErrorMessage="1" sqref="F8" xr:uid="{00000000-0002-0000-0200-000005000000}">
      <formula1>Round</formula1>
    </dataValidation>
    <dataValidation type="list" allowBlank="1" showInputMessage="1" showErrorMessage="1" sqref="H8:I8" xr:uid="{00000000-0002-0000-0200-000004000000}">
      <formula1>Phase</formula1>
    </dataValidation>
    <dataValidation type="list" allowBlank="1" showInputMessage="1" showErrorMessage="1" sqref="B12:C12" xr:uid="{00000000-0002-0000-0200-000003000000}">
      <formula1>Rating</formula1>
    </dataValidation>
    <dataValidation type="list" allowBlank="1" showInputMessage="1" showErrorMessage="1" sqref="F10:I10" xr:uid="{00000000-0002-0000-0200-000002000000}">
      <formula1>LFA</formula1>
    </dataValidation>
    <dataValidation type="list" allowBlank="1" showInputMessage="1" showErrorMessage="1" sqref="B16" xr:uid="{00000000-0002-0000-0200-000001000000}">
      <formula1>PERIOD</formula1>
    </dataValidation>
    <dataValidation type="list" allowBlank="1" showInputMessage="1" showErrorMessage="1" sqref="F6 IW161 SS161 ACO161 AMK161 AWG161 BGC161 BPY161 BZU161 CJQ161 CTM161 DDI161 DNE161 DXA161 EGW161 EQS161 FAO161 FKK161 FUG161 GEC161 GNY161 GXU161 HHQ161 HRM161 IBI161 ILE161 IVA161 JEW161 JOS161 JYO161 KIK161 KSG161 LCC161 LLY161 LVU161 MFQ161 MPM161 MZI161 NJE161 NTA161 OCW161 OMS161 OWO161 PGK161 PQG161 QAC161 QJY161 QTU161 RDQ161 RNM161 RXI161 SHE161 SRA161 TAW161 TKS161 TUO161 UEK161 UOG161 UYC161 VHY161 VRU161 WBQ161 WLM161 WVI161" xr:uid="{00000000-0002-0000-0200-000000000000}">
      <formula1>Component</formula1>
    </dataValidation>
  </dataValidations>
  <printOptions horizontalCentered="1"/>
  <pageMargins left="0.45866141700000002" right="0.45866141700000002" top="0.74803149606299202" bottom="0.74803149606299202" header="0.31496062992126" footer="0.31496062992126"/>
  <pageSetup paperSize="8" scale="70" orientation="landscape" r:id="rId1"/>
  <headerFooter>
    <oddFooter>&amp;L&amp;F&amp;C&amp;A&amp;RV1.0          &amp;D</oddFooter>
  </headerFooter>
  <rowBreaks count="1" manualBreakCount="1">
    <brk id="65"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N A D A A B Q S w M E F A A C A A g A d I b y W B y k J p C l A A A A 9 w A A A B I A H A B D b 2 5 m a W c v U G F j a 2 F n Z S 5 4 b W w g o h g A K K A U A A A A A A A A A A A A A A A A A A A A A A A A A A A A h Y 8 x D o I w G I W v Q r r T l h q M I a U M r p K Y E I 1 r U y o 0 w o + h x X I 3 B 4 / k F c Q o 6 u b 4 v v c N 7 9 2 v N 5 6 N b R N c d G 9 N B y m K M E W B B t W V B q o U D e 4 Y r l A m + F a q k 6 x 0 M M l g k 9 G W K a q d O y e E e O + x X + C u r w i j N C K H f F O o W r c S f W T z X w 4 N W C d B a S T 4 / j V G M B w x i u N 4 G W P K y U x 5 b u B r s G n w s / 2 B f D 0 0 b u i 1 0 B D u C k 7 m y M n 7 h H g A U E s D B B Q A A g A I A H S G 8 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0 h v J Y P g U J k M k A A A A 0 A Q A A E w A c A E Z v c m 1 1 b G F z L 1 N l Y 3 R p b 2 4 x L m 0 g o h g A K K A U A A A A A A A A A A A A A A A A A A A A A A A A A A A A b Y 1 P C 4 J A E M X v g t 9 h 2 S 4 K E n Q O D 2 V B X S J Q 6 i A S k 0 5 / a N 2 J 2 R U K 8 b u 3 o d W l u T x 4 7 8 3 v G S z t l b R I e 5 1 M f c / 3 z A U Y K 7 F a 7 w 6 H 2 X o h Y q H Q + p 5 w l 1 L D J T p n + S h R j Z O G G b X d E 9 + O R L c g b P M N 1 B j L z 6 8 s u j w h b V 2 p i H r E S G 6 Z a r L v B Y Q K 2 U j H y + C o c D w k g x / 0 a 5 H I B 3 + m V F q C A j a x 5 Q a L 8 I t M L q D P j p g 9 7 / j D Z Q z a n I j r h F R T 6 3 d o g j / 7 U d v K b C 4 j Y V 1 D g H 5 2 X e h 7 V / 2 X P n 0 B U E s B A i 0 A F A A C A A g A d I b y W B y k J p C l A A A A 9 w A A A B I A A A A A A A A A A A A A A A A A A A A A A E N v b m Z p Z y 9 Q Y W N r Y W d l L n h t b F B L A Q I t A B Q A A g A I A H S G 8 l g P y u m r p A A A A O k A A A A T A A A A A A A A A A A A A A A A A P E A A A B b Q 2 9 u d G V u d F 9 U e X B l c 1 0 u e G 1 s U E s B A i 0 A F A A C A A g A d I b y W D 4 F C Z D J A A A A N A E A A B M A A A A A A A A A A A A A A A A A 4 g E A A E Z v c m 1 1 b G F z L 1 N l Y 3 R p b 2 4 x L m 1 Q S w U G A A A A A A M A A w D C A A A A + 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Y A A A A A A A A N B 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S E l W X 1 9 B S U 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F e G N l c H R p b 2 4 i I C 8 + P E V u d H J 5 I F R 5 c G U 9 I k 5 h b W V V c G R h d G V k Q W Z 0 Z X J G a W x s I i B W Y W x 1 Z T 0 i b D A i I C 8 + P E V u d H J 5 I F R 5 c G U 9 I k 5 h d m l n Y X R p b 2 5 T d G V w T m F t Z S I g V m F s d W U 9 I n N O Y X Z p Z 2 F 0 a W 9 u I i A v P j x F b n R y e S B U e X B l P S J G a W x s Q 2 9 1 b n Q i I F Z h b H V l P S J s M C I g L z 4 8 R W 5 0 c n k g V H l w Z T 0 i R m l s b E V y c m 9 y Q 2 9 k Z S I g V m F s d W U 9 I n N V b m t u b 3 d u I i A v P j x F b n R y e S B U e X B l P S J G a W x s R X J y b 3 J D b 3 V u d C I g V m F s d W U 9 I m w w I i A v P j x F b n R y e S B U e X B l P S J G a W x s T G F z d F V w Z G F 0 Z W Q i I F Z h b H V l P S J k M j A y N C 0 w N y 0 x O F Q x M D o 1 M T o z O C 4 0 N j Y 4 M T A w W i I g L z 4 8 R W 5 0 c n k g V H l w Z T 0 i R m l s b F N 0 Y X R 1 c y I g V m F s d W U 9 I n N X Y W l 0 a W 5 n R m 9 y R X h j Z W x S Z W Z y Z X N o I i A v P j w v U 3 R h Y m x l R W 5 0 c m l l c z 4 8 L 0 l 0 Z W 0 + P E l 0 Z W 0 + P E l 0 Z W 1 M b 2 N h d G l v b j 4 8 S X R l b V R 5 c G U + R m 9 y b X V s Y T w v S X R l b V R 5 c G U + P E l 0 Z W 1 Q Y X R o P l N l Y 3 R p b 2 4 x L 0 h J V l 9 f Q U l E L 1 N v d X J j Z T w v S X R l b V B h d G g + P C 9 J d G V t T G 9 j Y X R p b 2 4 + P F N 0 Y W J s Z U V u d H J p Z X M g L z 4 8 L 0 l 0 Z W 0 + P E l 0 Z W 0 + P E l 0 Z W 1 M b 2 N h d G l v b j 4 8 S X R l b V R 5 c G U + R m 9 y b X V s Y T w v S X R l b V R 5 c G U + P E l 0 Z W 1 Q Y X R o P l N l Y 3 R p b 2 4 x L 0 h J V l 9 f Q U l E L 1 B y b 2 1 v d G V k J T I w S G V h Z G V y c z w v S X R l b V B h d G g + P C 9 J d G V t T G 9 j Y X R p b 2 4 + P F N 0 Y W J s Z U V u d H J p Z X M g L z 4 8 L 0 l 0 Z W 0 + P E l 0 Z W 0 + P E l 0 Z W 1 M b 2 N h d G l v b j 4 8 S X R l b V R 5 c G U + R m 9 y b X V s Y T w v S X R l b V R 5 c G U + P E l 0 Z W 1 Q Y X R o P l N l Y 3 R p b 2 4 x L 0 h J V l 9 f Q U l E L 0 N o Y W 5 n Z W Q l M j B U e X B l P C 9 J d G V t U G F 0 a D 4 8 L 0 l 0 Z W 1 M b 2 N h d G l v b j 4 8 U 3 R h Y m x l R W 5 0 c m l l c y A v P j w v S X R l b T 4 8 L 0 l 0 Z W 1 z P j w v T G 9 j Y W x Q Y W N r Y W d l T W V 0 Y W R h d G F G a W x l P h Y A A A B Q S w U G A A A A A A A A A A A A A A A A A A A A A A A A J g E A A A E A A A D Q j J 3 f A R X R E Y x 6 A M B P w p f r A Q A A A B G H + G I 5 V Y 9 D n Y 1 / D H o 5 c H I A A A A A A g A A A A A A E G Y A A A A B A A A g A A A A m K f J J B P x V 6 N Y v 4 k 7 N w / i A S L D 4 V k D + A 2 f 3 / V S a s B M K m g A A A A A D o A A A A A C A A A g A A A A Y O + 9 x 3 X 8 P P s 9 M X / Q p 7 a G E f A K 1 T T b 4 / 6 W g v p N h S W c w X B Q A A A A e W c z A E V s 7 5 L l y m g O f Z x Q E 0 l y r + 9 + 9 G t f z 3 D 1 7 u h t 7 w m G V o L f J H Z G Q I q O s 1 j V y T O U G c g o q p P t c 4 B 2 v B B D v i 3 H 2 M P m 2 s 1 T J L l 5 g Q 3 G q T l P x o Z A A A A A G Y f x 2 m U D w e M 5 p 3 R X D I 1 Z q B T W i q o G t l t X l k i d X j a R i R l 1 u m V b 6 Y M z v l A X 0 K m 9 G m V 5 T t z u A 0 T f h G m V n h V D 4 K Z W w 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EBAFB83A586EF4F94E7F07E84C3D94B" ma:contentTypeVersion="19" ma:contentTypeDescription="Create a new document." ma:contentTypeScope="" ma:versionID="d39c904b16324dc4317d6ea7776b1f27">
  <xsd:schema xmlns:xsd="http://www.w3.org/2001/XMLSchema" xmlns:xs="http://www.w3.org/2001/XMLSchema" xmlns:p="http://schemas.microsoft.com/office/2006/metadata/properties" xmlns:ns2="0d090553-ac12-4b9f-ace9-08ae9ba49871" xmlns:ns3="b7c0ead1-1596-430a-9f15-fe6efc5e9c7f" targetNamespace="http://schemas.microsoft.com/office/2006/metadata/properties" ma:root="true" ma:fieldsID="ae8a8aa7f63a1d17c1aa9281860511cb" ns2:_="" ns3:_="">
    <xsd:import namespace="0d090553-ac12-4b9f-ace9-08ae9ba49871"/>
    <xsd:import namespace="b7c0ead1-1596-430a-9f15-fe6efc5e9c7f"/>
    <xsd:element name="properties">
      <xsd:complexType>
        <xsd:sequence>
          <xsd:element name="documentManagement">
            <xsd:complexType>
              <xsd:all>
                <xsd:element ref="ns2:MediaServiceMetadata" minOccurs="0"/>
                <xsd:element ref="ns2:MediaServiceFastMetadata" minOccurs="0"/>
                <xsd:element ref="ns2:_Flow_SignoffStatus"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90553-ac12-4b9f-ace9-08ae9ba498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_x0024_Resources_x003a_core_x002c_Signoff_Status_x003b_">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c0ead1-1596-430a-9f15-fe6efc5e9c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bee817-e277-44d7-b1b3-2d258cf7fc2d}" ma:internalName="TaxCatchAll" ma:showField="CatchAllData" ma:web="b7c0ead1-1596-430a-9f15-fe6efc5e9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Flow_SignoffStatus xmlns="0d090553-ac12-4b9f-ace9-08ae9ba49871" xsi:nil="true"/>
    <TaxCatchAll xmlns="b7c0ead1-1596-430a-9f15-fe6efc5e9c7f" xsi:nil="true"/>
    <lcf76f155ced4ddcb4097134ff3c332f xmlns="0d090553-ac12-4b9f-ace9-08ae9ba498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02EAF0-2AA9-4A84-A04C-8376A13F02F4}">
  <ds:schemaRefs>
    <ds:schemaRef ds:uri="http://schemas.microsoft.com/sharepoint/v3/contenttype/forms"/>
  </ds:schemaRefs>
</ds:datastoreItem>
</file>

<file path=customXml/itemProps2.xml><?xml version="1.0" encoding="utf-8"?>
<ds:datastoreItem xmlns:ds="http://schemas.openxmlformats.org/officeDocument/2006/customXml" ds:itemID="{5A39884F-3831-4EF8-B143-6F6CB756E353}">
  <ds:schemaRefs>
    <ds:schemaRef ds:uri="http://schemas.microsoft.com/DataMashup"/>
  </ds:schemaRefs>
</ds:datastoreItem>
</file>

<file path=customXml/itemProps3.xml><?xml version="1.0" encoding="utf-8"?>
<ds:datastoreItem xmlns:ds="http://schemas.openxmlformats.org/officeDocument/2006/customXml" ds:itemID="{4A957847-59BE-44A5-81E9-F40E0C39B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90553-ac12-4b9f-ace9-08ae9ba49871"/>
    <ds:schemaRef ds:uri="b7c0ead1-1596-430a-9f15-fe6efc5e9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8DFA6C9-3F96-4413-B912-D348D4E4188B}">
  <ds:schemaRefs>
    <ds:schemaRef ds:uri="http://schemas.microsoft.com/office/2006/metadata/properties"/>
    <ds:schemaRef ds:uri="http://schemas.microsoft.com/office/infopath/2007/PartnerControls"/>
    <ds:schemaRef ds:uri="0d090553-ac12-4b9f-ace9-08ae9ba49871"/>
    <ds:schemaRef ds:uri="b7c0ead1-1596-430a-9f15-fe6efc5e9c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51</vt:i4>
      </vt:variant>
    </vt:vector>
  </HeadingPairs>
  <TitlesOfParts>
    <vt:vector size="67" baseType="lpstr">
      <vt:lpstr>Menu</vt:lpstr>
      <vt:lpstr>Data Input</vt:lpstr>
      <vt:lpstr>Indictors</vt:lpstr>
      <vt:lpstr>Grant Details</vt:lpstr>
      <vt:lpstr>Financing</vt:lpstr>
      <vt:lpstr>Programme</vt:lpstr>
      <vt:lpstr>Management</vt:lpstr>
      <vt:lpstr>Меню</vt:lpstr>
      <vt:lpstr>Ввод данных</vt:lpstr>
      <vt:lpstr>Показатели</vt:lpstr>
      <vt:lpstr>Сведения о гранте</vt:lpstr>
      <vt:lpstr>Финансирование</vt:lpstr>
      <vt:lpstr>Программа</vt:lpstr>
      <vt:lpstr>Управление</vt:lpstr>
      <vt:lpstr>Установки</vt:lpstr>
      <vt:lpstr>Акронимы</vt:lpstr>
      <vt:lpstr>Component</vt:lpstr>
      <vt:lpstr>Countries</vt:lpstr>
      <vt:lpstr>Currency</vt:lpstr>
      <vt:lpstr>HIV___AID</vt:lpstr>
      <vt:lpstr>'Data Input'!HIV__AID</vt:lpstr>
      <vt:lpstr>Financing!HIV__AID</vt:lpstr>
      <vt:lpstr>'Grant Details'!HIV__AID</vt:lpstr>
      <vt:lpstr>Indictors!HIV__AID</vt:lpstr>
      <vt:lpstr>HIV__AID</vt:lpstr>
      <vt:lpstr>HIV_AID_TB</vt:lpstr>
      <vt:lpstr>LFA</vt:lpstr>
      <vt:lpstr>Medicaments</vt:lpstr>
      <vt:lpstr>PERIOD</vt:lpstr>
      <vt:lpstr>Phase</vt:lpstr>
      <vt:lpstr>Financing!Print_Area</vt:lpstr>
      <vt:lpstr>Management!Print_Area</vt:lpstr>
      <vt:lpstr>Programme!Print_Area</vt:lpstr>
      <vt:lpstr>Программа!Print_Area</vt:lpstr>
      <vt:lpstr>Управление!Print_Area</vt:lpstr>
      <vt:lpstr>Финансирование!Print_Area</vt:lpstr>
      <vt:lpstr>'Ввод данных'!PrintDataF</vt:lpstr>
      <vt:lpstr>Программа!PrintDataF</vt:lpstr>
      <vt:lpstr>'Сведения о гранте'!PrintDataF</vt:lpstr>
      <vt:lpstr>Управление!PrintDataF</vt:lpstr>
      <vt:lpstr>Финансирование!PrintDataF</vt:lpstr>
      <vt:lpstr>PrintDataF</vt:lpstr>
      <vt:lpstr>'Ввод данных'!PrintDataM</vt:lpstr>
      <vt:lpstr>Программа!PrintDataM</vt:lpstr>
      <vt:lpstr>'Сведения о гранте'!PrintDataM</vt:lpstr>
      <vt:lpstr>Управление!PrintDataM</vt:lpstr>
      <vt:lpstr>Финансирование!PrintDataM</vt:lpstr>
      <vt:lpstr>PrintDataM</vt:lpstr>
      <vt:lpstr>Программа!PrintF</vt:lpstr>
      <vt:lpstr>Управление!PrintF</vt:lpstr>
      <vt:lpstr>Финансирование!PrintF</vt:lpstr>
      <vt:lpstr>PrintF</vt:lpstr>
      <vt:lpstr>Программа!PrintGD</vt:lpstr>
      <vt:lpstr>'Сведения о гранте'!PrintGD</vt:lpstr>
      <vt:lpstr>Управление!PrintGD</vt:lpstr>
      <vt:lpstr>Финансирование!PrintGD</vt:lpstr>
      <vt:lpstr>PrintGD</vt:lpstr>
      <vt:lpstr>Управление!PrintM</vt:lpstr>
      <vt:lpstr>PrintM</vt:lpstr>
      <vt:lpstr>Программа!PrintP</vt:lpstr>
      <vt:lpstr>Управление!PrintP</vt:lpstr>
      <vt:lpstr>PrintP</vt:lpstr>
      <vt:lpstr>Rating</vt:lpstr>
      <vt:lpstr>Round</vt:lpstr>
      <vt:lpstr>TB</vt:lpstr>
      <vt:lpstr>Menu!ВИЧ___СПИД</vt:lpstr>
      <vt:lpstr>мва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CCM_Generic_Dashboard_ru</dc:title>
  <dc:subject/>
  <dc:creator>Genc Kastrati</dc:creator>
  <cp:keywords/>
  <dc:description/>
  <cp:lastModifiedBy>Hedieh KhaneghahPanah</cp:lastModifiedBy>
  <cp:revision/>
  <dcterms:created xsi:type="dcterms:W3CDTF">2008-11-20T16:06:13Z</dcterms:created>
  <dcterms:modified xsi:type="dcterms:W3CDTF">2024-07-22T05:44:49Z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SubtType">
    <vt:lpwstr/>
  </property>
  <property fmtid="{D5CDD505-2E9C-101B-9397-08002B2CF9AE}" pid="6" name="gfGrant">
    <vt:lpwstr/>
  </property>
  <property fmtid="{D5CDD505-2E9C-101B-9397-08002B2CF9AE}" pid="7" name="GrantDocType">
    <vt:lpwstr/>
  </property>
  <property fmtid="{D5CDD505-2E9C-101B-9397-08002B2CF9AE}" pid="8" name="IsFinal">
    <vt:lpwstr>NO</vt:lpwstr>
  </property>
  <property fmtid="{D5CDD505-2E9C-101B-9397-08002B2CF9AE}" pid="9" name="EktContentLanguage">
    <vt:i4>1033</vt:i4>
  </property>
  <property fmtid="{D5CDD505-2E9C-101B-9397-08002B2CF9AE}" pid="10" name="EktQuickLink">
    <vt:lpwstr>DownloadAsset.aspx?id=10410</vt:lpwstr>
  </property>
  <property fmtid="{D5CDD505-2E9C-101B-9397-08002B2CF9AE}" pid="11" name="EktContentType">
    <vt:i4>101</vt:i4>
  </property>
  <property fmtid="{D5CDD505-2E9C-101B-9397-08002B2CF9AE}" pid="12" name="EktContentSubType">
    <vt:i4>0</vt:i4>
  </property>
  <property fmtid="{D5CDD505-2E9C-101B-9397-08002B2CF9AE}" pid="13" name="EktFolderName">
    <vt:lpwstr/>
  </property>
  <property fmtid="{D5CDD505-2E9C-101B-9397-08002B2CF9AE}" pid="14" name="EktCmsPath">
    <vt:lpwstr>&amp;lt;p&amp;gt;Акронимы  Установки  Действия  Рекомендации  Программа  Управление  Финансирование  Сведения о гранте  Ввод данных  Показатели  Меню  Component  Countries  Currency  LFA  Medicaments  PERIOD  Phase  PrintA  PrintDataF  PrintDataM  PrintF  PrintGD</vt:lpwstr>
  </property>
  <property fmtid="{D5CDD505-2E9C-101B-9397-08002B2CF9AE}" pid="15" name="EktExpiryType">
    <vt:i4>1</vt:i4>
  </property>
  <property fmtid="{D5CDD505-2E9C-101B-9397-08002B2CF9AE}" pid="16" name="EktDateCreated">
    <vt:filetime>2011-06-15T08:55:33Z</vt:filetime>
  </property>
  <property fmtid="{D5CDD505-2E9C-101B-9397-08002B2CF9AE}" pid="17" name="EktDateModified">
    <vt:filetime>2011-06-15T08:55:40Z</vt:filetime>
  </property>
  <property fmtid="{D5CDD505-2E9C-101B-9397-08002B2CF9AE}" pid="18" name="EktTaxCategory">
    <vt:lpwstr> #eksep# \Navigation\documents\ccm #eksep# </vt:lpwstr>
  </property>
  <property fmtid="{D5CDD505-2E9C-101B-9397-08002B2CF9AE}" pid="19" name="EktDisabledTaxCategory">
    <vt:lpwstr/>
  </property>
  <property fmtid="{D5CDD505-2E9C-101B-9397-08002B2CF9AE}" pid="20" name="EktCmsSize">
    <vt:i4>883200</vt:i4>
  </property>
  <property fmtid="{D5CDD505-2E9C-101B-9397-08002B2CF9AE}" pid="21" name="EktSearchable">
    <vt:i4>1</vt:i4>
  </property>
  <property fmtid="{D5CDD505-2E9C-101B-9397-08002B2CF9AE}" pid="22" name="EktEDescription">
    <vt:lpwstr>Summary &amp;lt;p&amp;gt;Акронимы  Установки  Действия  Рекомендации  Программа  Управление  Финансирование  Сведения о гранте  Ввод данных  Показатели  Меню  Component  Countries  Currency  LFA  Medicaments  PERIOD  Phase  PrintA  PrintDataF  PrintDataM  PrintF </vt:lpwstr>
  </property>
  <property fmtid="{D5CDD505-2E9C-101B-9397-08002B2CF9AE}" pid="23" name="EktFile_Size">
    <vt:lpwstr>850 KB</vt:lpwstr>
  </property>
  <property fmtid="{D5CDD505-2E9C-101B-9397-08002B2CF9AE}" pid="24" name="EktFile_Type">
    <vt:lpwstr>XLS</vt:lpwstr>
  </property>
  <property fmtid="{D5CDD505-2E9C-101B-9397-08002B2CF9AE}" pid="25" name="ekttaxonomyenabled">
    <vt:i4>1</vt:i4>
  </property>
  <property fmtid="{D5CDD505-2E9C-101B-9397-08002B2CF9AE}" pid="26" name="SV_QUERY_LIST_4F35BF76-6C0D-4D9B-82B2-816C12CF3733">
    <vt:lpwstr>empty_477D106A-C0D6-4607-AEBD-E2C9D60EA279</vt:lpwstr>
  </property>
  <property fmtid="{D5CDD505-2E9C-101B-9397-08002B2CF9AE}" pid="27" name="SV_HIDDEN_GRID_QUERY_LIST_4F35BF76-6C0D-4D9B-82B2-816C12CF3733">
    <vt:lpwstr>empty_477D106A-C0D6-4607-AEBD-E2C9D60EA279</vt:lpwstr>
  </property>
  <property fmtid="{D5CDD505-2E9C-101B-9397-08002B2CF9AE}" pid="28" name="ContentTypeId">
    <vt:lpwstr>0x0101004EBAFB83A586EF4F94E7F07E84C3D94B</vt:lpwstr>
  </property>
  <property fmtid="{D5CDD505-2E9C-101B-9397-08002B2CF9AE}" pid="29" name="AuthorIds_UIVersion_512">
    <vt:lpwstr>21</vt:lpwstr>
  </property>
  <property fmtid="{D5CDD505-2E9C-101B-9397-08002B2CF9AE}" pid="30" name="AuthorIds_UIVersion_1024">
    <vt:lpwstr>21</vt:lpwstr>
  </property>
  <property fmtid="{D5CDD505-2E9C-101B-9397-08002B2CF9AE}" pid="31" name="AuthorIds_UIVersion_40960">
    <vt:lpwstr>13</vt:lpwstr>
  </property>
  <property fmtid="{D5CDD505-2E9C-101B-9397-08002B2CF9AE}" pid="32" name="AuthorIds_UIVersion_41472">
    <vt:lpwstr>21</vt:lpwstr>
  </property>
  <property fmtid="{D5CDD505-2E9C-101B-9397-08002B2CF9AE}" pid="33" name="AuthorIds_UIVersion_43008">
    <vt:lpwstr>31,21</vt:lpwstr>
  </property>
  <property fmtid="{D5CDD505-2E9C-101B-9397-08002B2CF9AE}" pid="34" name="MediaServiceImageTags">
    <vt:lpwstr/>
  </property>
</Properties>
</file>