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09"/>
  <workbookPr codeName="ThisWorkbook"/>
  <mc:AlternateContent xmlns:mc="http://schemas.openxmlformats.org/markup-compatibility/2006">
    <mc:Choice Requires="x15">
      <x15ac:absPath xmlns:x15ac="http://schemas.microsoft.com/office/spreadsheetml/2010/11/ac" url="https://undp.sharepoint.com/sites/GF-UNDPKyrgyzRepublic/Shared Documents/General/CCM Dashboard/HIV-TB/CCM Dashboard_P22/"/>
    </mc:Choice>
  </mc:AlternateContent>
  <xr:revisionPtr revIDLastSave="2023" documentId="13_ncr:1_{45768A93-CAB4-4617-BBDA-A89000B7B9E1}" xr6:coauthVersionLast="47" xr6:coauthVersionMax="47" xr10:uidLastSave="{AE985100-0973-4353-BE9C-A2D1CF7682F9}"/>
  <bookViews>
    <workbookView xWindow="-110" yWindow="-110" windowWidth="19420" windowHeight="10420" tabRatio="793" firstSheet="5" activeTab="4" xr2:uid="{00000000-000D-0000-FFFF-FFFF00000000}"/>
  </bookViews>
  <sheets>
    <sheet name="Меню" sheetId="1" r:id="rId1"/>
    <sheet name="Ввод данных" sheetId="29" r:id="rId2"/>
    <sheet name="Показатели" sheetId="45" r:id="rId3"/>
    <sheet name="Сведения о гранте" sheetId="27" r:id="rId4"/>
    <sheet name="Финансирование" sheetId="30" r:id="rId5"/>
    <sheet name="Программа" sheetId="37" r:id="rId6"/>
    <sheet name="Управление" sheetId="35" r:id="rId7"/>
    <sheet name="Действия" sheetId="39" r:id="rId8"/>
    <sheet name="Рекомендации" sheetId="42" r:id="rId9"/>
    <sheet name="Sheet1" sheetId="47" r:id="rId10"/>
    <sheet name="Установки" sheetId="32" state="hidden" r:id="rId11"/>
    <sheet name="Акронимы" sheetId="46" state="hidden" r:id="rId12"/>
  </sheets>
  <definedNames>
    <definedName name="Component">Установки!$B$9:$B$14</definedName>
    <definedName name="Countries">Установки!$J$9:$J$143</definedName>
    <definedName name="Currency">Установки!$C$9:$C$11</definedName>
    <definedName name="LFA">Установки!$H$9:$H$22</definedName>
    <definedName name="Medicaments">Установки!$I$9:$I$30</definedName>
    <definedName name="PERIOD">Установки!$F$9:$F$21</definedName>
    <definedName name="Phase">Установки!$E$9:$E$13</definedName>
    <definedName name="_xlnm.Print_Area" localSheetId="7">Действия!$A$1:$L$43</definedName>
    <definedName name="_xlnm.Print_Area" localSheetId="5">Программа!$A$1:$Q$54</definedName>
    <definedName name="_xlnm.Print_Area" localSheetId="6">Управление!$A$1:$M$50</definedName>
    <definedName name="_xlnm.Print_Area" localSheetId="4">Финансирование!$A$2:$M$31</definedName>
    <definedName name="PrintA">Действия!$A$2:$L$34</definedName>
    <definedName name="PrintDataF">'Ввод данных'!$A$25:$I$82</definedName>
    <definedName name="PrintDataM">'Ввод данных'!$A$84:$G$167</definedName>
    <definedName name="PrintF">Финансирование!$A$2:$M$31</definedName>
    <definedName name="PrintGD">'Сведения о гранте'!$A$2:$J$13</definedName>
    <definedName name="PrintM" localSheetId="7">Действия!$A$2:$L$6</definedName>
    <definedName name="PrintM">Управление!$A$2:$M$64</definedName>
    <definedName name="PrintP">Программа!$A$2:$P$55</definedName>
    <definedName name="PrintR">Рекомендации!$A$2:$N$41</definedName>
    <definedName name="Rating">Установки!$G$9:$G$14</definedName>
    <definedName name="Round">Установки!$D$9:$D$21</definedName>
    <definedName name="мва">Установки!$I$9:$I$30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29" l="1"/>
  <c r="C124" i="29"/>
  <c r="C123" i="29"/>
  <c r="C122" i="29"/>
  <c r="B122" i="29"/>
  <c r="C34" i="29" l="1"/>
  <c r="C33" i="29"/>
  <c r="F227" i="29"/>
  <c r="I136" i="29" l="1"/>
  <c r="K46" i="35"/>
  <c r="K45" i="35"/>
  <c r="K44" i="35"/>
  <c r="K43" i="35"/>
  <c r="D140" i="29"/>
  <c r="K156" i="29"/>
  <c r="B124" i="29"/>
  <c r="B123" i="29"/>
  <c r="J61" i="35"/>
  <c r="K51" i="35"/>
  <c r="K50" i="35"/>
  <c r="A199" i="29"/>
  <c r="G53" i="37"/>
  <c r="G54" i="37"/>
  <c r="D145" i="29"/>
  <c r="D146" i="29"/>
  <c r="F144" i="29"/>
  <c r="I144" i="29" s="1"/>
  <c r="M46" i="35" s="1"/>
  <c r="F145" i="29"/>
  <c r="A230" i="29"/>
  <c r="A228" i="29"/>
  <c r="A226" i="29"/>
  <c r="G52" i="37"/>
  <c r="G51" i="37"/>
  <c r="G50" i="37"/>
  <c r="G49" i="37"/>
  <c r="M68" i="35"/>
  <c r="M51" i="35"/>
  <c r="M50" i="35"/>
  <c r="F164" i="29"/>
  <c r="I164" i="29" s="1"/>
  <c r="F163" i="29"/>
  <c r="I163" i="29" s="1"/>
  <c r="F162" i="29"/>
  <c r="I162" i="29" s="1"/>
  <c r="F161" i="29"/>
  <c r="I161" i="29" s="1"/>
  <c r="F160" i="29"/>
  <c r="I160" i="29" s="1"/>
  <c r="F159" i="29"/>
  <c r="I159" i="29" s="1"/>
  <c r="F158" i="29"/>
  <c r="I158" i="29" s="1"/>
  <c r="F157" i="29"/>
  <c r="F156" i="29"/>
  <c r="F155" i="29"/>
  <c r="I155" i="29" s="1"/>
  <c r="F154" i="29"/>
  <c r="I154" i="29" s="1"/>
  <c r="F153" i="29"/>
  <c r="I153" i="29" s="1"/>
  <c r="F152" i="29"/>
  <c r="I152" i="29" s="1"/>
  <c r="F151" i="29"/>
  <c r="I151" i="29" s="1"/>
  <c r="F150" i="29"/>
  <c r="I150" i="29" s="1"/>
  <c r="F148" i="29"/>
  <c r="F147" i="29"/>
  <c r="M48" i="35"/>
  <c r="K52" i="35" l="1"/>
  <c r="M52" i="35" s="1"/>
  <c r="K150" i="29"/>
  <c r="K53" i="35"/>
  <c r="M53" i="35" s="1"/>
  <c r="K151" i="29"/>
  <c r="K54" i="35"/>
  <c r="M54" i="35" s="1"/>
  <c r="K152" i="29"/>
  <c r="K55" i="35"/>
  <c r="M55" i="35" s="1"/>
  <c r="K153" i="29"/>
  <c r="K56" i="35"/>
  <c r="M56" i="35" s="1"/>
  <c r="K154" i="29"/>
  <c r="K57" i="35"/>
  <c r="M57" i="35" s="1"/>
  <c r="K155" i="29"/>
  <c r="K58" i="35"/>
  <c r="M58" i="35" s="1"/>
  <c r="K59" i="35"/>
  <c r="M59" i="35" s="1"/>
  <c r="K157" i="29"/>
  <c r="K60" i="35"/>
  <c r="M60" i="35" s="1"/>
  <c r="K158" i="29"/>
  <c r="K61" i="35"/>
  <c r="M61" i="35" s="1"/>
  <c r="K159" i="29"/>
  <c r="K62" i="35"/>
  <c r="M62" i="35" s="1"/>
  <c r="K160" i="29"/>
  <c r="K63" i="35"/>
  <c r="M63" i="35" s="1"/>
  <c r="K161" i="29"/>
  <c r="K64" i="35"/>
  <c r="M64" i="35" s="1"/>
  <c r="K162" i="29"/>
  <c r="K65" i="35"/>
  <c r="M65" i="35" s="1"/>
  <c r="K163" i="29"/>
  <c r="K66" i="35"/>
  <c r="M66" i="35" s="1"/>
  <c r="K164" i="29"/>
  <c r="K67" i="35"/>
  <c r="M67" i="35" s="1"/>
  <c r="K144" i="29"/>
  <c r="I145" i="29"/>
  <c r="K145" i="29" l="1"/>
  <c r="F146" i="29"/>
  <c r="F143" i="29"/>
  <c r="M44" i="35"/>
  <c r="F142" i="29"/>
  <c r="I142" i="29" s="1"/>
  <c r="K42" i="35" s="1"/>
  <c r="D141" i="29"/>
  <c r="F141" i="29" s="1"/>
  <c r="F140" i="29"/>
  <c r="D139" i="29"/>
  <c r="F139" i="29" s="1"/>
  <c r="D138" i="29"/>
  <c r="F138" i="29" s="1"/>
  <c r="D137" i="29"/>
  <c r="F137" i="29" s="1"/>
  <c r="I137" i="29" s="1"/>
  <c r="K37" i="35" s="1"/>
  <c r="M37" i="35" s="1"/>
  <c r="D136" i="29"/>
  <c r="D135" i="29"/>
  <c r="F135" i="29" s="1"/>
  <c r="D134" i="29"/>
  <c r="F134" i="29" s="1"/>
  <c r="D133" i="29"/>
  <c r="F133" i="29" s="1"/>
  <c r="D132" i="29"/>
  <c r="F132" i="29" l="1"/>
  <c r="I132" i="29" s="1"/>
  <c r="F136" i="29"/>
  <c r="K36" i="35" s="1"/>
  <c r="M36" i="35" s="1"/>
  <c r="K32" i="35"/>
  <c r="M32" i="35" s="1"/>
  <c r="K132" i="29"/>
  <c r="M49" i="35" l="1"/>
  <c r="I146" i="29" l="1"/>
  <c r="I143" i="29"/>
  <c r="I140" i="29"/>
  <c r="I139" i="29"/>
  <c r="I138" i="29"/>
  <c r="K137" i="29"/>
  <c r="K136" i="29"/>
  <c r="I135" i="29"/>
  <c r="I133" i="29"/>
  <c r="K133" i="29" l="1"/>
  <c r="K33" i="35"/>
  <c r="M33" i="35" s="1"/>
  <c r="K135" i="29"/>
  <c r="K35" i="35"/>
  <c r="M35" i="35" s="1"/>
  <c r="K138" i="29"/>
  <c r="K38" i="35"/>
  <c r="M38" i="35" s="1"/>
  <c r="K139" i="29"/>
  <c r="K39" i="35"/>
  <c r="M39" i="35" s="1"/>
  <c r="K140" i="29"/>
  <c r="K40" i="35"/>
  <c r="M40" i="35" s="1"/>
  <c r="M42" i="35"/>
  <c r="K142" i="29"/>
  <c r="M43" i="35"/>
  <c r="K143" i="29"/>
  <c r="M45" i="35"/>
  <c r="K146" i="29"/>
  <c r="I134" i="29"/>
  <c r="I141" i="29"/>
  <c r="K141" i="29" l="1"/>
  <c r="K41" i="35"/>
  <c r="M41" i="35" s="1"/>
  <c r="K134" i="29"/>
  <c r="K34" i="35"/>
  <c r="M34" i="35" s="1"/>
  <c r="M47" i="35" l="1"/>
  <c r="B50" i="37"/>
  <c r="B28" i="35"/>
  <c r="B51" i="37"/>
  <c r="B52" i="37"/>
  <c r="D113" i="29"/>
  <c r="D114" i="29"/>
  <c r="D112" i="29"/>
  <c r="X33" i="37"/>
  <c r="W33" i="37"/>
  <c r="V33" i="37"/>
  <c r="U33" i="37"/>
  <c r="T33" i="37"/>
  <c r="X32" i="37"/>
  <c r="W32" i="37"/>
  <c r="V32" i="37"/>
  <c r="U32" i="37"/>
  <c r="T32" i="37"/>
  <c r="X29" i="37"/>
  <c r="W29" i="37"/>
  <c r="V29" i="37"/>
  <c r="U29" i="37"/>
  <c r="T29" i="37"/>
  <c r="X28" i="37"/>
  <c r="W28" i="37"/>
  <c r="V28" i="37"/>
  <c r="U28" i="37"/>
  <c r="T28" i="37"/>
  <c r="AA26" i="37"/>
  <c r="X26" i="37"/>
  <c r="W26" i="37"/>
  <c r="V26" i="37"/>
  <c r="U26" i="37"/>
  <c r="T26" i="37"/>
  <c r="AA25" i="37"/>
  <c r="X25" i="37"/>
  <c r="W25" i="37"/>
  <c r="V25" i="37"/>
  <c r="U25" i="37"/>
  <c r="T25" i="37"/>
  <c r="AF23" i="37"/>
  <c r="AE23" i="37"/>
  <c r="AD23" i="37"/>
  <c r="AC23" i="37"/>
  <c r="AB23" i="37"/>
  <c r="X23" i="37"/>
  <c r="W23" i="37"/>
  <c r="V23" i="37"/>
  <c r="U23" i="37"/>
  <c r="T23" i="37"/>
  <c r="C203" i="29"/>
  <c r="B203" i="29"/>
  <c r="A203" i="29"/>
  <c r="C201" i="29"/>
  <c r="B201" i="29"/>
  <c r="A201" i="29"/>
  <c r="C199" i="29"/>
  <c r="B199" i="29"/>
  <c r="F205" i="29"/>
  <c r="E225" i="29"/>
  <c r="F225" i="29"/>
  <c r="G225" i="29"/>
  <c r="H225" i="29"/>
  <c r="I225" i="29"/>
  <c r="J225" i="29"/>
  <c r="K225" i="29"/>
  <c r="L225" i="29"/>
  <c r="M225" i="29"/>
  <c r="N225" i="29"/>
  <c r="O225" i="29"/>
  <c r="B226" i="29"/>
  <c r="C226" i="29"/>
  <c r="E226" i="29"/>
  <c r="F226" i="29"/>
  <c r="G226" i="29"/>
  <c r="H226" i="29"/>
  <c r="I226" i="29"/>
  <c r="J226" i="29"/>
  <c r="K226" i="29"/>
  <c r="L226" i="29"/>
  <c r="M226" i="29"/>
  <c r="N226" i="29"/>
  <c r="O226" i="29"/>
  <c r="E227" i="29"/>
  <c r="G227" i="29"/>
  <c r="H227" i="29"/>
  <c r="I227" i="29"/>
  <c r="J227" i="29"/>
  <c r="K227" i="29"/>
  <c r="L227" i="29"/>
  <c r="M227" i="29"/>
  <c r="N227" i="29"/>
  <c r="O227" i="29"/>
  <c r="B228" i="29"/>
  <c r="C228" i="29"/>
  <c r="E228" i="29"/>
  <c r="F228" i="29"/>
  <c r="G228" i="29"/>
  <c r="H228" i="29"/>
  <c r="I228" i="29"/>
  <c r="J228" i="29"/>
  <c r="K228" i="29"/>
  <c r="L228" i="29"/>
  <c r="M228" i="29"/>
  <c r="N228" i="29"/>
  <c r="O228" i="29"/>
  <c r="E229" i="29"/>
  <c r="F229" i="29"/>
  <c r="G229" i="29"/>
  <c r="H229" i="29"/>
  <c r="I229" i="29"/>
  <c r="J229" i="29"/>
  <c r="K229" i="29"/>
  <c r="L229" i="29"/>
  <c r="M229" i="29"/>
  <c r="N229" i="29"/>
  <c r="O229" i="29"/>
  <c r="B230" i="29"/>
  <c r="C230" i="29"/>
  <c r="E230" i="29"/>
  <c r="F230" i="29"/>
  <c r="G230" i="29"/>
  <c r="H230" i="29"/>
  <c r="I230" i="29"/>
  <c r="J230" i="29"/>
  <c r="K230" i="29"/>
  <c r="L230" i="29"/>
  <c r="M230" i="29"/>
  <c r="N230" i="29"/>
  <c r="O230" i="29"/>
  <c r="E231" i="29"/>
  <c r="F231" i="29"/>
  <c r="G231" i="29"/>
  <c r="H231" i="29"/>
  <c r="I231" i="29"/>
  <c r="J231" i="29"/>
  <c r="K231" i="29"/>
  <c r="L231" i="29"/>
  <c r="M231" i="29"/>
  <c r="N231" i="29"/>
  <c r="O231" i="29"/>
  <c r="F91" i="29"/>
  <c r="F92" i="29"/>
  <c r="B33" i="29"/>
  <c r="B34" i="29"/>
  <c r="B64" i="29"/>
  <c r="E64" i="29" s="1"/>
  <c r="C64" i="29"/>
  <c r="D72" i="29"/>
  <c r="D71" i="29"/>
  <c r="D70" i="29"/>
  <c r="D69" i="29"/>
  <c r="H168" i="29"/>
  <c r="D12" i="42"/>
  <c r="D41" i="42"/>
  <c r="D34" i="42"/>
  <c r="D35" i="42"/>
  <c r="D36" i="42"/>
  <c r="D37" i="42"/>
  <c r="D38" i="42"/>
  <c r="D39" i="42"/>
  <c r="D40" i="42"/>
  <c r="D33" i="42"/>
  <c r="D32" i="42"/>
  <c r="D31" i="42"/>
  <c r="D30" i="42"/>
  <c r="D29" i="42"/>
  <c r="D24" i="42"/>
  <c r="D23" i="42"/>
  <c r="D22" i="42"/>
  <c r="D21" i="42"/>
  <c r="D20" i="42"/>
  <c r="D19" i="42"/>
  <c r="D13" i="42"/>
  <c r="D11" i="42"/>
  <c r="B13" i="27"/>
  <c r="D10" i="27"/>
  <c r="B10" i="27"/>
  <c r="B9" i="27"/>
  <c r="B8" i="45"/>
  <c r="B23" i="45"/>
  <c r="B2" i="37"/>
  <c r="B2" i="35"/>
  <c r="B2" i="45"/>
  <c r="B3" i="27"/>
  <c r="B3" i="32" s="1"/>
  <c r="B2" i="30"/>
  <c r="B2" i="1"/>
  <c r="B2" i="39"/>
  <c r="B2" i="42"/>
  <c r="K3" i="30"/>
  <c r="M3" i="30"/>
  <c r="A32" i="29"/>
  <c r="B3" i="39"/>
  <c r="B3" i="42"/>
  <c r="C4" i="42"/>
  <c r="B4" i="1"/>
  <c r="C3" i="37"/>
  <c r="B3" i="37"/>
  <c r="B3" i="30"/>
  <c r="B6" i="27"/>
  <c r="C4" i="30"/>
  <c r="C4" i="35"/>
  <c r="C4" i="37"/>
  <c r="C4" i="39"/>
  <c r="D68" i="29"/>
  <c r="C38" i="29"/>
  <c r="B38" i="29"/>
  <c r="B9" i="45"/>
  <c r="K3" i="35"/>
  <c r="M3" i="35"/>
  <c r="I11" i="27"/>
  <c r="B12" i="27"/>
  <c r="C3" i="35"/>
  <c r="B3" i="35"/>
  <c r="B4" i="35"/>
  <c r="E4" i="35"/>
  <c r="K4" i="35"/>
  <c r="M4" i="35"/>
  <c r="D5" i="35"/>
  <c r="L5" i="35"/>
  <c r="M5" i="35"/>
  <c r="J3" i="39"/>
  <c r="L3" i="39"/>
  <c r="B4" i="39"/>
  <c r="E4" i="39"/>
  <c r="J4" i="39"/>
  <c r="L4" i="39"/>
  <c r="K5" i="39"/>
  <c r="L5" i="39"/>
  <c r="L3" i="42"/>
  <c r="M3" i="42"/>
  <c r="B4" i="42"/>
  <c r="E4" i="42"/>
  <c r="L4" i="42"/>
  <c r="M4" i="42"/>
  <c r="L5" i="42"/>
  <c r="M5" i="42"/>
  <c r="D14" i="42"/>
  <c r="O3" i="37"/>
  <c r="Q3" i="37"/>
  <c r="B4" i="37"/>
  <c r="E4" i="37"/>
  <c r="P4" i="37"/>
  <c r="D5" i="37"/>
  <c r="P5" i="37"/>
  <c r="T50" i="37"/>
  <c r="U50" i="37"/>
  <c r="T51" i="37"/>
  <c r="U51" i="37"/>
  <c r="B4" i="30"/>
  <c r="E4" i="30"/>
  <c r="K4" i="30"/>
  <c r="M4" i="30"/>
  <c r="D5" i="30"/>
  <c r="L5" i="30"/>
  <c r="M5" i="30"/>
  <c r="J27" i="30"/>
  <c r="L27" i="30"/>
  <c r="M27" i="30"/>
  <c r="J28" i="30"/>
  <c r="L28" i="30"/>
  <c r="M28" i="30"/>
  <c r="J29" i="30"/>
  <c r="L29" i="30"/>
  <c r="M29" i="30"/>
  <c r="F6" i="27"/>
  <c r="D9" i="27"/>
  <c r="G9" i="27"/>
  <c r="I9" i="27"/>
  <c r="G10" i="27"/>
  <c r="B11" i="27"/>
  <c r="D11" i="27"/>
  <c r="G11" i="27"/>
  <c r="G12" i="27"/>
  <c r="G13" i="27"/>
  <c r="H35" i="29"/>
  <c r="Q67" i="29"/>
  <c r="K35" i="29"/>
  <c r="M35" i="29"/>
  <c r="B10" i="45"/>
  <c r="B11" i="45"/>
  <c r="B19" i="45"/>
  <c r="B20" i="45"/>
  <c r="B21" i="45"/>
  <c r="B22" i="45"/>
  <c r="B25" i="45"/>
  <c r="H4" i="1"/>
  <c r="I35" i="29"/>
  <c r="G35" i="29"/>
  <c r="Q35" i="29"/>
  <c r="J35" i="29"/>
  <c r="Q34" i="29"/>
  <c r="Q66" i="29"/>
  <c r="L35" i="29"/>
  <c r="P68" i="29"/>
  <c r="AF25" i="37"/>
  <c r="AC25" i="37"/>
  <c r="AB25" i="37"/>
  <c r="AE25" i="37"/>
  <c r="AD25" i="37"/>
  <c r="AE26" i="37"/>
  <c r="AD26" i="37"/>
  <c r="AF26" i="37"/>
  <c r="AC26" i="37"/>
  <c r="AB26" i="37"/>
  <c r="B35" i="29" l="1"/>
  <c r="Q29" i="29"/>
  <c r="C35" i="29"/>
  <c r="B8" i="30"/>
  <c r="B18" i="35"/>
  <c r="J8" i="30"/>
  <c r="I28" i="35"/>
  <c r="B7" i="35"/>
  <c r="J22" i="30"/>
  <c r="I18" i="35"/>
  <c r="B22" i="30"/>
  <c r="I7" i="35"/>
  <c r="Q30" i="29" l="1"/>
  <c r="F35" i="29" l="1"/>
  <c r="Q33" i="29"/>
  <c r="Q32" i="29"/>
  <c r="E35" i="29"/>
  <c r="D35" i="29"/>
  <c r="Q3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mgleixner</author>
  </authors>
  <commentList>
    <comment ref="A118" authorId="0" shapeId="0" xr:uid="{00000000-0006-0000-0200-00000800000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<sst xmlns="http://schemas.openxmlformats.org/spreadsheetml/2006/main" count="1013" uniqueCount="703">
  <si>
    <t>V1.0</t>
  </si>
  <si>
    <t>Информация о гранте</t>
  </si>
  <si>
    <t>Страна:</t>
  </si>
  <si>
    <t>Кыргызстан</t>
  </si>
  <si>
    <t>Название гранта:</t>
  </si>
  <si>
    <t>«Эффективный контроль за ВИЧ-инфекцией и туберкулезом в Кыргызской Республике»</t>
  </si>
  <si>
    <t>Грант №</t>
  </si>
  <si>
    <t>KGZ-C-UNDP</t>
  </si>
  <si>
    <t>Компонент:</t>
  </si>
  <si>
    <t>ВИЧ/СПИД/ТБ</t>
  </si>
  <si>
    <t>Общая сумма:</t>
  </si>
  <si>
    <t xml:space="preserve">34061297
</t>
  </si>
  <si>
    <t>Основной реципиент:</t>
  </si>
  <si>
    <t>ПРООН</t>
  </si>
  <si>
    <t>Раунд:</t>
  </si>
  <si>
    <t>Фаза:</t>
  </si>
  <si>
    <t>Дата начала (дд/ммм/гг):</t>
  </si>
  <si>
    <t>Местный агент Фонда:</t>
  </si>
  <si>
    <t>UNOPS</t>
  </si>
  <si>
    <t>Последняя оценка:</t>
  </si>
  <si>
    <t>Пожалуйста выберите</t>
  </si>
  <si>
    <t>Менеджер портфолио Фонда:</t>
  </si>
  <si>
    <t>Алексей Бобрик</t>
  </si>
  <si>
    <t>Период предоставления отчетной информации</t>
  </si>
  <si>
    <t>Отчетный период</t>
  </si>
  <si>
    <t>P2</t>
  </si>
  <si>
    <t>с:</t>
  </si>
  <si>
    <t>до:</t>
  </si>
  <si>
    <t>Дата ввода информации:</t>
  </si>
  <si>
    <t>Кем подготовлено:</t>
  </si>
  <si>
    <t>Информация об индикаторах</t>
  </si>
  <si>
    <t>Введите данные в ячейки соответствующего цвета</t>
  </si>
  <si>
    <t xml:space="preserve">Информация о финансировании: </t>
  </si>
  <si>
    <t xml:space="preserve">Информация об управлении: </t>
  </si>
  <si>
    <t xml:space="preserve">Информация о программе: </t>
  </si>
  <si>
    <t xml:space="preserve">     Введите финансовые данные в каждую ячейку оранжевого цвета.</t>
  </si>
  <si>
    <t>Валюта финансирования гранта</t>
  </si>
  <si>
    <t>$</t>
  </si>
  <si>
    <t>F1: Бюджет и выплаты Глобальным фондом</t>
  </si>
  <si>
    <t>Выплаты</t>
  </si>
  <si>
    <t>P1</t>
  </si>
  <si>
    <t>P3</t>
  </si>
  <si>
    <t>P4</t>
  </si>
  <si>
    <t>P5</t>
  </si>
  <si>
    <t>P6</t>
  </si>
  <si>
    <t>P7</t>
  </si>
  <si>
    <t>P8</t>
  </si>
  <si>
    <t>P9</t>
  </si>
  <si>
    <t>P10</t>
  </si>
  <si>
    <t>P11</t>
  </si>
  <si>
    <t>P12</t>
  </si>
  <si>
    <t>% Общего объема</t>
  </si>
  <si>
    <t>Бюджет (в $)</t>
  </si>
  <si>
    <t>Общий бюджет</t>
  </si>
  <si>
    <t>Общая сумма выплат</t>
  </si>
  <si>
    <t>F2: Бюджет и фактические расходы согласно задачам гранта</t>
  </si>
  <si>
    <t>Комментарии</t>
  </si>
  <si>
    <t>Снижение рисков для программ по заболеваниям</t>
  </si>
  <si>
    <t>Н/П</t>
  </si>
  <si>
    <t>Диагностика и тестирование COVID</t>
  </si>
  <si>
    <t>Данная задача включает бюджет  в рамках С19RM средств, выделенных в 2021 г. на: закупки тестов, лабораторных реагентов, медицинского оборудования для диагностирования, и соответствующие затраты на управление поставками.
В 2022 г. были оплачены финансовые обязательства прошлого года в размере 24 160 долларов США, связанных с закупкой GENEXPERT IV и настольной рабочей станции ПЦР, а также связанных с ними расходов на PSM, которые были предусмотрены в бюджете на 2021 г., но оплачены в 2022 г. после доставки.  Также были произведены, перенесенные с бюджета 2021 г на 2022 год закупки на сумму 311 850$ на тесты, термоциклер ПЦР, сканер штрих-кода и принтер для принтера штрих-кода для вакутейнеров, систему вентиляции для электрофореза с установкой и др. Размещение заказов в 2021 году было отложено в связи с отсутствием продукции на момент оформления заказа и частично из-за отсутствия окончательного ТЗ и ценовых предложений. Кроме этого, в 2022 году был произведен закуп различных расходных материалов из бюджета 2023 года на сумму 12 687$.</t>
  </si>
  <si>
    <t>Смягчение негативных воздействий для программ по ВИЧ</t>
  </si>
  <si>
    <t>За отчетный период было израсходовано 88% выделенного бюджета.  При этом имеются неоплаченные контрактные обязательства в размере 20 554$ на 31 дкабря 2022 г. на оказание технической поддержки приложения (iOS и Android) для оказания поддержки ЛЖВ в вопросах приверженности лечению и получения консультационных услуг онлайн; и на мобильные карточки. С учетом обязательств процент освоения бюджета составит 97%. Остаток бюджета  в основном относится к неиспользованному бюджету на оказание психологической поддержки клиентам ЛЖВ, медработникам, оказывающим услуги ЛЖВ и работающим в «красных» зонах в связи со снижением уровня С19 в стране.</t>
  </si>
  <si>
    <t>Устранение препятствий к услугам, связанных с правами человека и гендерными факторами</t>
  </si>
  <si>
    <t>За отчетный период было израсходовано 37% выделенного бюджета.  Остаток бюджета в основном относится к неиспользованному бюджету в размере 38 444$, выделенноу на «Мониторинг национальных ответов гражданского общества на COVID-19. Исследования», который был отложен, так как ПРООН планирует обсудить концепцию исследования и в случае необходимости в дополнительных экспертов перераспределить средства от этой деятельности для покрытия расходов на экспертов.</t>
  </si>
  <si>
    <t>Кейс-менеджмент, клинические операции и лечение</t>
  </si>
  <si>
    <t>В рамках данной интервенции в 2022 г. были оплачены финансовые обязательства прошлого года в размере 63 317 долларов США, связанных с закупкой анализатора, термометра, переносной доппер-ультразвуковой системы и сопутствующими расходами на PSM, которые были предусмотрены в бюджете на 2021 г., но оплачены в 2022 г. после доставки. 
Также были произведены, перенесенные с бюджета 2021 г на 2022 год закупки на сумму 743 051$ стационарных R аппаратов, мобильной рентгеновской установки и т. д.и сопутствующими расходами на PSM. Размещение заказов в 2021 году было отложено в связи с отсутствием продукции на момент оформления заказа и частично из-за отсутствия окончательного ТЗ и ценовых предложений.
 Кроме этого, в 2022 году был произведен закуп стационарного рентгеновского аппарата, генератора и сопутствующие расходы на PSM из бюджета 2023 года на сумму 1 067 9857$.</t>
  </si>
  <si>
    <t>Профилактика инфекций, контроль и защита медицинских работников</t>
  </si>
  <si>
    <t>В рамках данной интервенции в 2022 г. были оплачены финансовые обязательства прошлого года в размере 92 927 долл. США, связанных с закупкой лабораторных реагентов для диагностики, средств индивидуальной защиты, дезинфицирующих средств, дезинфицирующих средств для рук, мыла, других расходных материалов и сопутствующими расходами на PSM, которые были предусмотрены в бюджете на 2021 г., но оплачены в 2022 г. после доставки. 
Также были произведены, перенесенные с бюджета 2021 г на 2022 год закупки на сумму 59 649$ лабораторных реагентов для диагностики, средств индивидуальной защиты, дезинфицирующих средств, дезинфицирующих средств для рук, мыла, других расходных материалов и сопутствующими расходами на PSM. Размещение заказов в 2021 году было отложено в связи с отсутствием продукции на момент оформления заказа и частично из-за отсутствия окончательного ТЗ и ценовых предложений.
 Кроме этого, в 2022 году был произведен закуп дезинфицирующих средств и сопутствующие расходы на PSM из бюджета 2023 года на сумму 176 829$. На 31 декабря 2022 г. существуют финансовые обязательства в размере 10 533$, которые относятся к закупке дезинфицирующих средств и будут оплачены в 2023 после доставки.</t>
  </si>
  <si>
    <t>Лабораторные системы</t>
  </si>
  <si>
    <t>В рамках данной интервенции в 2022 г. были оплачены финансовые обязательства прошлого года в размере 6 390$, связанных с закупкой центрифуги, лабораторного шкафа, лабораторных принадлежностей и сопутствующими расходами на PSM, которые были предусмотрены в бюджете на 2021 г., но оплачены в 2022 г. после доставки. 
Также были произведены, перенесенные с бюджета 2021 г на 2022 год закупки на сумму 254 478$ на медицинское оборудование и сопутствующими расходами на PSM. Размещение заказов в 2021 году было отложено в связи с отсутствием продукции на момент оформления заказа и частично из-за отсутствия окончательного ТЗ и ценовых предложений.
 Кроме этого, в 2022 году был произведен закуп анализатора и сопутствующие расходы на PSM из бюджета 2023 года на сумму 125 891$. На 31 декабря 2022 г. существуют финансовые обязательства в размере 95 791$, которые относятся к закупке различного медицинского оборудования и сопутствующими расходами на PSM и будут оплачены в 2023 после доставки.</t>
  </si>
  <si>
    <t>Смягчение негативных воздействий для программ по ТБ</t>
  </si>
  <si>
    <t xml:space="preserve">Превышение расходов в 2022 г. было вызвано общим увеличением затрат на конференц услуги и транспортные расходы, что также повлияло на увеличение понесенных расходов на мониторинговые поездки, транспортные расходы и аренду конференц-залов. Перерасход был покрыт за счет неиспользованного остатка бюджета с 2021 года. 
</t>
  </si>
  <si>
    <t>Мероприятия по изменению поведения</t>
  </si>
  <si>
    <t>В рамках данной интервенции было использовано 119% выделенного бюджета. Сумма в размере 46 718$ относится к перерасходу средств на закупку презервативов и сопутствующими расходами на PSM из-за увеличения себестоимости единицы продукции и общих высоких затрат на PSM (более 60% от общей стоимости продукции) при отправке груза по железной дороге. Также, перерасход средств частично относится к выплате заработной платы сотрудникам НПО (психологи, равные консультанты, социальные работники, аутрич, проктологи). На 31 декабря 2022 г. существуют финансовые обязательства в размере 198 198$, которые относятся к закупке презервативов для нужд 2023 г и будут оплачены в 2023 после доставки.</t>
  </si>
  <si>
    <t>Программы обмена игл и шприцев</t>
  </si>
  <si>
    <t xml:space="preserve">В рамках данной интервенции в 2022 г. было использовано 141% выделенного бюджета, т.к. были оплачены финансовые обязательства прошлого года в размере 200 986$, связанных с закупкой шприцев и антисептических салфеток и сопутствующими расходами на PSM, которые были предусмотрены в бюджете на 2021 г., но оплачены в 2022 г. после доставки. Также, перерасход из-за общих высоких затрат на PSM (более 60% от общей стоимости продукции) при отправке груза по железной дороге. </t>
  </si>
  <si>
    <t>Опиоидная заместительная терапия и другое лечение наркозависимости с медицинской помощью</t>
  </si>
  <si>
    <t xml:space="preserve">В рамках данной интервенции в 2022 г. было использовано 107% выделенного бюджета, т.к. были оплачены финансовые обязательства прошлого года в размере 145 068$, связанных с закупкой метадона, диспенсеров и др. и сопутствующими расходами на PSM, которые были предусмотрены в бюджете на 2021 г., но оплачены в 2022 г. после доставки. </t>
  </si>
  <si>
    <t>Лечение (МЛУ ТБ)</t>
  </si>
  <si>
    <t>В рамках данной интервенции в 2022 г. было использовано 35% выделенного бюджета. При этом имеются неоплаченные контрактные обязательства в размере 2 240 315$ на 31 декабря 2022 г. по закупке против-ТБ препаратов и сопутствующих раходов на PSM. С учетом обязательств процент освоения бюджета составит 96%. Оставшийся остаток является экономией по расходам на PSM.</t>
  </si>
  <si>
    <t>Выявление и диагностика случаев (МЛУ-ТБ)</t>
  </si>
  <si>
    <t>В рамках данной интервенции в 2022 г. было использовано 66% выделенного бюджета. При этом имеются неоплаченные контрактные обязательства в размере 905 775$ на 31 декабря 2022 г. по закупке расходных материалов для лечения туберкулеза и сопутствующих раходов на PSM. С учетом обязательств процент освоения бюджета составит 137%.</t>
  </si>
  <si>
    <t>Оказание помощи при МЛУ-ТБ по месту жительства</t>
  </si>
  <si>
    <t>В рамках данной интервенции в 2022 г. было использовано 46% выделенного бюджета. При этом имеются неоплаченные контрактные обязательства в размере 8 376$ на 31 декабря 2022 г. по закупке продуктовых и гигиенических пакетов. С учетом обязательств процент освоения бюджета составит 48%. Оставшаяся сумма представляет собой экономию и в основном относится к денежным выплатам больным ТБ за приверженность лечению в связи с меньшим количеством больных, чем было предусмотрено в бюджете.</t>
  </si>
  <si>
    <t>Дифференцированное предоставление услуг АРВТ и помощь при ВИЧ</t>
  </si>
  <si>
    <t>В рамках данной интервенции в 2022 г. было использовано 55% выделенного бюджета. При этом имеются неоплаченные контрактные обязательства в размере 254 412$ на 31 декабря 2022 г. по закупке ВИЧ тестов и АРВ и сопутствующих раходов на PSM. С учетом обязательств процент освоения бюджета составит 86%. Оставшаяся сумма представляет собой экономию и в основном относится к закупкам АРВ препаратов.</t>
  </si>
  <si>
    <t>Консультации и психосоциальная поддержка</t>
  </si>
  <si>
    <t>В рамках данной интервенции в 2022 г. было использовано 56% выделенного бюджета. При этом имеются неоплаченные контрактные обязательства в размере 10 440$ на 31 декабря 2022 г. на техническую поддержку в улучшении программных индикаторов по ВИЧ компоненту. С учетом обязательств процент освоения бюджета составит 60%. Также имеется неиспользованный остаток в размере 49 942$, который относится к меньшим выплатам СР персоналу в связи с низкими  идентификационными показателями при участии в АРТ и удержании на лечении. Оставшаяся сумма представляет собой экономию и в основном относится к встатьям по з/п сортудникам НПО</t>
  </si>
  <si>
    <t>Тестирование в учреждениях</t>
  </si>
  <si>
    <t xml:space="preserve">В рамках данной интервенции в 2022 г. было использовано 3% выделенного бюджета. При этом имеются неоплаченные контрактные обязательства в размере 39 776$ на 31 декабря 2022 г. по закупке ВИЧ тестов и сопутствующих раходов на PSM. С учетом обязательств процент освоения бюджета составит 119%. </t>
  </si>
  <si>
    <t>Тестирование в сообществах</t>
  </si>
  <si>
    <t xml:space="preserve">В рамках данной интервенции в 2022 г. было использовано 117% выделенного бюджета, т.к. были оплачены финансовые обязательства прошлого года в размере 138 905$, связанных с закупкой экспресс-тестов OraQuick на антитела к ВИЧ и сопутствующими расходами на PSM, которые были предусмотрены в бюджете на 2021 г., но оплачены в 2022 г. после доставки. </t>
  </si>
  <si>
    <t>Мобилизация сообщества и адвокация (ВИЧ / ТБ)</t>
  </si>
  <si>
    <t>В рамках данной интервенции в 2022 г. было использовано 131% выделенного бюджета, т.к. в 2022 г были проведены перенесенные с 2021 г мероприятия такаие как региональный форум НПО, форум для ЛЖВ, МСМ,ЛУИН,СР,которые были предусмотрены в бюджете на 2021 г., но не проводившихся в связи с напряженной эпидемиологической обстановкой в ​​2021 году</t>
  </si>
  <si>
    <t>Снижение стигмы и дискриминации (ВИЧ / ТБ)</t>
  </si>
  <si>
    <t>В рамках данной интервенции в 2022 г. было использовано 123% выделенного бюджета, т.к. были оплачены финансовые обязательства прошлого года в размере 6 000$, связанных с оплатой услуг экспертов по разработке законодательства в области здравоохранения, регулирующего деятельность Минздрава. Кроме того, увеличение расходов в 2022 г. было вызвано общим увеличением затрат на конференц услуги и транспортные расходы, что также повлияло на увеличение понесенных расходов на мониторинговые поездки, транспортные расходы и аренду конференц-залов</t>
  </si>
  <si>
    <t>Юридические услуги по ВИЧ и ВИЧ/ТБ</t>
  </si>
  <si>
    <t>В рамках данной интервенции в 2022 г. было использовано 111% выделенного бюджета. Перерасход средств по деятельности по оказанию юридических услуг уличными юристами НПО и оказанию ими технической помощи в судебных процессах в связи с возросшим количеством прецедентов и реальной потребностью клиентов в адвокатских услугах. Таким образом, было принято программное решение увеличить количество юристов и увеличить количество рабочих дней, чем было заложено в бюджете, так как была необходимость в полном присутствии юристов в течение каждого месяца, в то время как в бюджет гранта было заложено всего 12 рабочих дней в год.</t>
  </si>
  <si>
    <t>Системы менеджмента качества и аккредитация</t>
  </si>
  <si>
    <t xml:space="preserve">В рамках данной интервенции в 2022 г. было использовано 86% выделенного бюджета. При этом имеются неоплаченные контрактные обязательства в размере 35 750$ на 31 декабря 2022 г. на услуги по обслуживанию лабораторного оборудования и гонорары экспертов для диагностических лабораторий и внелабораторных испытательных полигонов. С учетом обязательств процент освоения бюджета составит 130%. </t>
  </si>
  <si>
    <t>Регулярная отчетность</t>
  </si>
  <si>
    <t xml:space="preserve">В рамках данной интервенции в 2022 г. было использовано 137% выделенного бюджета, т.к были произведены расходы, перенесенные с бюджета 2021 г на 2022 год на проведение IBBB, поскольку формирующие исследования IBBS были начаты в 2022 г., 
</t>
  </si>
  <si>
    <t>Управление грантом</t>
  </si>
  <si>
    <t xml:space="preserve">В рамках данной интервенции в 2022 г. было использовано 112% выделенного бюджета, т.к была оплачен GMS по: финансовым обязательствам с 2021 г, которые были оплачены в  2022 г.расходы, по перенесеннным мероприятим с 2021г в 2022 г, которые были заложены в бюджете прошлого года, но были проведены в 2022 г и оплачены в 2022 г. GMS начисляется в системе только по фактическим выплатам, произведенным в отчетном периоде. Также в 2022 г была проведена оплата OAI аудита ПРООН, которая была заложена в бюджете 2023 г. </t>
  </si>
  <si>
    <t>Всего:</t>
  </si>
  <si>
    <t>F3: Выплаты и расходы</t>
  </si>
  <si>
    <t>До отчетного периода</t>
  </si>
  <si>
    <t>Текущий отчетный период</t>
  </si>
  <si>
    <t>Выплачено Глобальным фондом</t>
  </si>
  <si>
    <t>Расходы и платежи ОР</t>
  </si>
  <si>
    <t>Выплачено субреципиентам</t>
  </si>
  <si>
    <t>Расходы субреципиентов</t>
  </si>
  <si>
    <t>F4: Последний отчетный и платежный цикл ОР</t>
  </si>
  <si>
    <t>Последняя выплата средств: количество календарных дней</t>
  </si>
  <si>
    <t>Расчетные (дни)</t>
  </si>
  <si>
    <t>Фактические (дни)</t>
  </si>
  <si>
    <t xml:space="preserve">Сколько дней понадобилось для подачи ИОР/ЗПС в офис МАФ </t>
  </si>
  <si>
    <t xml:space="preserve">Спустя сколько дней ОР получил платеж </t>
  </si>
  <si>
    <t>н/п</t>
  </si>
  <si>
    <t>Спустя сколько дней суб-реципиенты получили платежи</t>
  </si>
  <si>
    <t>Информация об управлении:</t>
  </si>
  <si>
    <t>Введите данные об управлении в каждую ячейку голубого цвета.</t>
  </si>
  <si>
    <t>M1: Статус Предварительных условий (ПУ) и Действий с установленным сроком исполнения (ДУС)</t>
  </si>
  <si>
    <t>Выполненные</t>
  </si>
  <si>
    <t>Невыполненные, но непросроченные</t>
  </si>
  <si>
    <t>Невыполненные и просроченные</t>
  </si>
  <si>
    <t>Всего</t>
  </si>
  <si>
    <t>Предварительные условия (ПУ) ВИЧ/СПИД</t>
  </si>
  <si>
    <t>Действия с установленным сроком исполнения (ДУС) ВИЧ/СПИД</t>
  </si>
  <si>
    <t>Предварительные условия (ПУ) ТБ</t>
  </si>
  <si>
    <t>Действия с установленным сроком исполнения (ДУС) ТБ</t>
  </si>
  <si>
    <t>M2: Статус ключевых руководящих должностей в структуре ОР</t>
  </si>
  <si>
    <t>Отдел управления проектом</t>
  </si>
  <si>
    <t>Запланировано</t>
  </si>
  <si>
    <t>Заполнено</t>
  </si>
  <si>
    <t>Вакантно</t>
  </si>
  <si>
    <t>ВИЧ/СПИД</t>
  </si>
  <si>
    <t>ТБ</t>
  </si>
  <si>
    <t>Общее (оба компонента)</t>
  </si>
  <si>
    <t xml:space="preserve">M3: Контрактные соглашения (СР) </t>
  </si>
  <si>
    <t>Определеные</t>
  </si>
  <si>
    <t>Прошедшие оценку</t>
  </si>
  <si>
    <t>Одобренные</t>
  </si>
  <si>
    <t>Подписавшие соглашение</t>
  </si>
  <si>
    <t>Получающие финансирование</t>
  </si>
  <si>
    <t>СР ВИЧ/СПИД</t>
  </si>
  <si>
    <t>СР ТБ</t>
  </si>
  <si>
    <t>M4: Количество полных отчетов, полученных к установленному сроку</t>
  </si>
  <si>
    <t>Ожидаемое кол-во</t>
  </si>
  <si>
    <t>Полученное кол-во</t>
  </si>
  <si>
    <t>Незавершенные</t>
  </si>
  <si>
    <t>Отчеты ССР для СР ВИЧ/СПИД</t>
  </si>
  <si>
    <t>Отчеты СР для ОР ВИЧ СПИД</t>
  </si>
  <si>
    <t>Отчеты ССР для СР ТБ</t>
  </si>
  <si>
    <t>Отчеты СР для ОР ТБ</t>
  </si>
  <si>
    <t>M5: Бюджет и закупки товаров медицинского назначения, медицинского оборудования,  лекарственных средств и фармацевтических препаратов</t>
  </si>
  <si>
    <t>Утвержденный бюджет*</t>
  </si>
  <si>
    <t>Финансовые обязательства</t>
  </si>
  <si>
    <t>Расходы</t>
  </si>
  <si>
    <t>Совокупный утвердженный бюджет*</t>
  </si>
  <si>
    <t>Общий объем финансовых обязательств</t>
  </si>
  <si>
    <t>Общий объем расходов</t>
  </si>
  <si>
    <t>* Включает только категории 4 и 5 ПФО (товары медицинского назначения и медицинское оборудование, лекарственные средства и фармацевтические препараты)</t>
  </si>
  <si>
    <t>M6: Разница между текущим и резервным запасами</t>
  </si>
  <si>
    <t>Компонент</t>
  </si>
  <si>
    <t>Продукция</t>
  </si>
  <si>
    <t>(1)
Кол-во таблеток на 1 пациента в день
(см. Национальный протокол по лечению)</t>
  </si>
  <si>
    <t>(2 = 1 x 30)
Месячный курс лечения 
(кол-во таблеток на 1 пациента на 30 дней)</t>
  </si>
  <si>
    <t>(3)
Общее кол-во пациентов, получающих лечение</t>
  </si>
  <si>
    <t>(4 = 2 x 3)
Общее кол-во таблеток, необходимое для всех пациентов на 1месяц</t>
  </si>
  <si>
    <t>(5)
Текущие запасы на центральном складе (с действительным сроком годности на ближайшие 3 месяца)</t>
  </si>
  <si>
    <t>(6 = 5 / 4)
Уровень запасов, выраженный в кол-ве месяцев лечения для всех имеющихся пациентов</t>
  </si>
  <si>
    <t xml:space="preserve">(7)
Уровень резервного запаса
(выраженный в месяцах по странам) </t>
  </si>
  <si>
    <t>(8 = 6 - 7)
Разница между текущим и резерным запасами</t>
  </si>
  <si>
    <t>РЦ СПИД\НЦФ</t>
  </si>
  <si>
    <t>FDC (AZT+3TC) 300/150 mg</t>
  </si>
  <si>
    <t>EFV 200</t>
  </si>
  <si>
    <t>LPV/r 200/50 mg</t>
  </si>
  <si>
    <t>NVP 200</t>
  </si>
  <si>
    <t>FDC (TDF/FTC) 300/200 mg</t>
  </si>
  <si>
    <t>FDC  (TDF/FTC/EFV) 300/200/600 mg</t>
  </si>
  <si>
    <t>FDC (ABC/3TC) 600/300 mg</t>
  </si>
  <si>
    <t>FDC (ABC/3TC) 120/60 mg</t>
  </si>
  <si>
    <t>FDC (ABC/DTG/3TC) 600/50/300 mg</t>
  </si>
  <si>
    <t>LPV/r 40/10 mg</t>
  </si>
  <si>
    <t>DTG 50 mg</t>
  </si>
  <si>
    <t>FDC (TDF/FTC/DTG) 300/200/50 mg</t>
  </si>
  <si>
    <t>ATV/r 300mg</t>
  </si>
  <si>
    <t>Ral 100mg (жеват табл)</t>
  </si>
  <si>
    <t>DTG 10 mg</t>
  </si>
  <si>
    <t>Capreomycin  1000mg  Порошок для инъекций</t>
  </si>
  <si>
    <t>Kanamycin  1000mg  Порошок для инъекций</t>
  </si>
  <si>
    <t>Amikacin 500 mg/2 ml инъекции</t>
  </si>
  <si>
    <t>Amoxicillin + Potassium clavulanate  875mg+125mg  Таблетки в оболочке</t>
  </si>
  <si>
    <t>Cycloserine  250mg  Капсулы</t>
  </si>
  <si>
    <t>Ethambutol  400mg  Таблетки в оболочке</t>
  </si>
  <si>
    <t>Isoniazid  300mg  Таблетки без оболочки</t>
  </si>
  <si>
    <t>Levofloxacin  250mg  Таблетки в оболочке</t>
  </si>
  <si>
    <t>Moxifloxacin  400mg  Таблетки в оболочке</t>
  </si>
  <si>
    <t>P-aminosalicylate sodium salt  4000mg  Powder/Sachet</t>
  </si>
  <si>
    <t>Protionamide   250mg  Таблетки в оболочке</t>
  </si>
  <si>
    <t>Pretomanid 200 mg Таблетки</t>
  </si>
  <si>
    <t>Pyrazinamide  400mg  Таблетки без оболочки</t>
  </si>
  <si>
    <t>Клофаземин 100 мг</t>
  </si>
  <si>
    <t>Имипенем500/Циластатин 500</t>
  </si>
  <si>
    <t>Линезолид 600 мг</t>
  </si>
  <si>
    <t>Бедаквилин 100 мг</t>
  </si>
  <si>
    <t>Деламанид 50 мг</t>
  </si>
  <si>
    <t>Информация о программе: ВИЧ/СПИД</t>
  </si>
  <si>
    <t xml:space="preserve">     Введите данные о реализации программы в каждую ячейку желтого цвета.</t>
  </si>
  <si>
    <t>Программные показатели (Система оценки результатов реализации)</t>
  </si>
  <si>
    <t>Код</t>
  </si>
  <si>
    <t>Связаны напрямую?</t>
  </si>
  <si>
    <t>KP-1d⁽ᴹ⁾ Процент ЛУИН, охваченных программами по профилактике ВИЧ - минимальный пакет услуг</t>
  </si>
  <si>
    <t>Топ 10</t>
  </si>
  <si>
    <t>с текущим грантом</t>
  </si>
  <si>
    <t>Целевой показатель</t>
  </si>
  <si>
    <t>Достигнуто </t>
  </si>
  <si>
    <t>HTS-5 Процент людей с впервые выявленным ВИЧ, начавших АРТ</t>
  </si>
  <si>
    <t>TCS-1.1⁽ᴹ⁾ Процент людей, получающих АРТ, среди всех людей, живущих с ВИЧ, на конец отчетного периода</t>
  </si>
  <si>
    <t>KP-5 Процент ЛУИН, получающих ОЗТ, которые находятся на лечении не менее 6 месяцев после начала лечения</t>
  </si>
  <si>
    <t>HTS-3f⁽ᴹ⁾ Количество людей в тюрьмах или других закрытых учреждениях, которые прошли тест на ВИЧ в течение отчетного периода и знают свои результаты</t>
  </si>
  <si>
    <t>KP-1c⁽ᴹ⁾ Процент СР, охваченных программами по профилактике ВИЧ - минимальный пакет услуг</t>
  </si>
  <si>
    <t>KP-1a⁽ᴹ⁾ Процент МСМ, охваченных программами по профилактике ВИЧ - минимальный пакет услуг</t>
  </si>
  <si>
    <t xml:space="preserve"> Топ 10</t>
  </si>
  <si>
    <t>74,44%</t>
  </si>
  <si>
    <t>HTS-3d⁽ᴹ⁾ Процент ЛУИН, протестированных на ВИЧ за отчетный период и знающих свой результат</t>
  </si>
  <si>
    <t>55,04%</t>
  </si>
  <si>
    <t>56,28%</t>
  </si>
  <si>
    <t>HTS-3c⁽ᴹ⁾ Процент СР, протестированных на ВИЧ за отчетный период и знающих свой результат</t>
  </si>
  <si>
    <t>60,00%</t>
  </si>
  <si>
    <t>45,40%</t>
  </si>
  <si>
    <t>HTS-3a⁽ᴹ⁾ Процент МСМ, протестированных на ВИЧ за отчетный период и знающих свой результат</t>
  </si>
  <si>
    <t>53,25%</t>
  </si>
  <si>
    <t>KP-6a Процент МСМ, подходящих по критериям для начала доконтактной профилактики (ДКП), которые начали антиретровирусную ДКП в течение отчетного периода</t>
  </si>
  <si>
    <t xml:space="preserve"> с текущим грантом</t>
  </si>
  <si>
    <t>22,00%</t>
  </si>
  <si>
    <t>TB/HIV-6⁽ᴹ⁾ Процент ВИЧ-позитивных пациентов с новым и/или рецидивным туберкулезом, получающих АРТ во время лечения туберкулеза</t>
  </si>
  <si>
    <t>94,00%</t>
  </si>
  <si>
    <t>95,21%</t>
  </si>
  <si>
    <t>Таблица обновляется автоматически. Данные в эти ячейки не вводятся</t>
  </si>
  <si>
    <t>Информация о программе: ТБ</t>
  </si>
  <si>
    <t>Р1</t>
  </si>
  <si>
    <t>Р2</t>
  </si>
  <si>
    <t>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t>
  </si>
  <si>
    <t>да</t>
  </si>
  <si>
    <t>Достигнуто</t>
  </si>
  <si>
    <t xml:space="preserve">MDR TB-2: Количество бактериологически подтвержденных зарегистрированных ЛУ-ТБ случаев (РУ-ТБ и/или МЛУ-ТБ)		</t>
  </si>
  <si>
    <t>MDR TB-3: Количество случаев с РУ/МЛУ ТБ, начавших лечение препаратами второго ряда</t>
  </si>
  <si>
    <t>MDR TB-7: Процент подтвержденных МЛУ-ТБ случаев, протестированных на чувствительность к фторхинолонам и инъекционным препаратам второго ряда</t>
  </si>
  <si>
    <t xml:space="preserve">WPTM_1: Реализация плана по расширению лечения на амбулаторном уровне: К концу 2023 года 23% больных с туберкулезом получают лечение исключительно на амбулаторном уровне		</t>
  </si>
  <si>
    <t>WPTM</t>
  </si>
  <si>
    <t>WPTM_2: Улучшение доступа к быстрой и высококачественной диагностике ТБ в южном регионе через строительство новой модульной лаборатории третьего уровня биологической безопасности расположенной на территории ООЦБТ.  Цель на 2021 год: Отобрана и законтрактирована строительная фирма для строительства модульной лаборатории</t>
  </si>
  <si>
    <t>Завершено</t>
  </si>
  <si>
    <t xml:space="preserve">Достигнуто </t>
  </si>
  <si>
    <t>Начато</t>
  </si>
  <si>
    <t xml:space="preserve">Начато </t>
  </si>
  <si>
    <t xml:space="preserve">  </t>
  </si>
  <si>
    <t>Финансирование</t>
  </si>
  <si>
    <t>Наименование:</t>
  </si>
  <si>
    <t>Определение</t>
  </si>
  <si>
    <t>Измерение</t>
  </si>
  <si>
    <t>Источник данных</t>
  </si>
  <si>
    <r>
      <t>Совокупный бюджет: Сумма</t>
    </r>
    <r>
      <rPr>
        <sz val="11"/>
        <color indexed="8"/>
        <rFont val="Arial"/>
        <family val="2"/>
      </rPr>
      <t xml:space="preserve"> бюджета гранта, начиная с периода одного (квартала, триместра, полугодия) текущей фазы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 </t>
    </r>
    <r>
      <rPr>
        <b/>
        <i/>
        <sz val="11"/>
        <color indexed="8"/>
        <rFont val="Arial"/>
        <family val="2"/>
      </rPr>
      <t>включая</t>
    </r>
    <r>
      <rPr>
        <sz val="11"/>
        <color indexed="8"/>
        <rFont val="Arial"/>
        <family val="2"/>
      </rPr>
      <t xml:space="preserve"> этот период. </t>
    </r>
    <r>
      <rPr>
        <b/>
        <sz val="11"/>
        <color indexed="8"/>
        <rFont val="Arial"/>
        <family val="2"/>
      </rPr>
      <t xml:space="preserve">
Совокупные выплаты Глобальным Фондом:</t>
    </r>
    <r>
      <rPr>
        <sz val="11"/>
        <color indexed="8"/>
        <rFont val="Arial"/>
        <family val="2"/>
      </rPr>
      <t xml:space="preserve"> Сумма всех средств, переведенных Глобальным фондом (ГФ) основному реципиенту (ОР) или выплаченных непосредственно поставщикам (например, лекарственных средств, оборудования, москитных сеток)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t>
    </r>
    <r>
      <rPr>
        <b/>
        <i/>
        <sz val="11"/>
        <color indexed="8"/>
        <rFont val="Arial"/>
        <family val="2"/>
      </rPr>
      <t xml:space="preserve"> включая </t>
    </r>
    <r>
      <rPr>
        <sz val="11"/>
        <color indexed="8"/>
        <rFont val="Arial"/>
        <family val="2"/>
      </rPr>
      <t xml:space="preserve">данный период.  </t>
    </r>
  </si>
  <si>
    <t>Валюта финансирования гранта (долл. США или евро) Общая сумма – Цифры отражают бюджет и выплаты за все периоды данной фазы до начала отчетного периода, показанного на панели показателей, включая данный период.</t>
  </si>
  <si>
    <t>Банковская или бухгалтерская информация ОР; уведомления ГФ о выплате средств; ОПР/ЗПС; веб-сайт ГФ.</t>
  </si>
  <si>
    <r>
      <t xml:space="preserve">Совокупный бюджет по задачам: </t>
    </r>
    <r>
      <rPr>
        <sz val="11"/>
        <color indexed="8"/>
        <rFont val="Arial"/>
        <family val="2"/>
      </rPr>
      <t xml:space="preserve">Сумма бюджета гранта </t>
    </r>
    <r>
      <rPr>
        <b/>
        <sz val="11"/>
        <color indexed="8"/>
        <rFont val="Arial"/>
        <family val="2"/>
      </rPr>
      <t>по задачам</t>
    </r>
    <r>
      <rPr>
        <sz val="11"/>
        <color indexed="8"/>
        <rFont val="Arial"/>
        <family val="2"/>
      </rPr>
      <t xml:space="preserve">, начиная с первого периода текущей фазы </t>
    </r>
    <r>
      <rPr>
        <b/>
        <i/>
        <sz val="11"/>
        <color indexed="8"/>
        <rFont val="Arial"/>
        <family val="2"/>
      </rPr>
      <t>и до</t>
    </r>
    <r>
      <rPr>
        <b/>
        <sz val="11"/>
        <color indexed="8"/>
        <rFont val="Arial"/>
        <family val="2"/>
      </rPr>
      <t xml:space="preserve"> </t>
    </r>
    <r>
      <rPr>
        <sz val="11"/>
        <color indexed="8"/>
        <rFont val="Arial"/>
        <family val="2"/>
      </rPr>
      <t>завершения</t>
    </r>
    <r>
      <rPr>
        <b/>
        <sz val="11"/>
        <color indexed="8"/>
        <rFont val="Arial"/>
        <family val="2"/>
      </rPr>
      <t xml:space="preserve"> </t>
    </r>
    <r>
      <rPr>
        <sz val="11"/>
        <color indexed="8"/>
        <rFont val="Arial"/>
        <family val="2"/>
      </rPr>
      <t xml:space="preserve">отчетного периода, отраженного на панели показателей, </t>
    </r>
    <r>
      <rPr>
        <b/>
        <i/>
        <sz val="11"/>
        <color indexed="8"/>
        <rFont val="Arial"/>
        <family val="2"/>
      </rPr>
      <t>включая</t>
    </r>
    <r>
      <rPr>
        <sz val="11"/>
        <color indexed="8"/>
        <rFont val="Arial"/>
        <family val="2"/>
      </rPr>
      <t xml:space="preserve"> данный период.  </t>
    </r>
    <r>
      <rPr>
        <b/>
        <sz val="11"/>
        <color indexed="8"/>
        <rFont val="Arial"/>
        <family val="2"/>
      </rPr>
      <t xml:space="preserve">
Совокупные расходы по задачам:</t>
    </r>
    <r>
      <rPr>
        <sz val="11"/>
        <color indexed="8"/>
        <rFont val="Arial"/>
        <family val="2"/>
      </rPr>
      <t xml:space="preserve"> Сумма средств </t>
    </r>
    <r>
      <rPr>
        <b/>
        <i/>
        <sz val="11"/>
        <color indexed="8"/>
        <rFont val="Arial"/>
        <family val="2"/>
      </rPr>
      <t>по задачам,</t>
    </r>
    <r>
      <rPr>
        <sz val="11"/>
        <color indexed="8"/>
        <rFont val="Arial"/>
        <family val="2"/>
      </rPr>
      <t xml:space="preserve"> израсходованных непосредственно ОР, а также средства, переведенные ОР всем субреципиентам (СР) с начала данной фазы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 </t>
    </r>
    <r>
      <rPr>
        <b/>
        <i/>
        <sz val="11"/>
        <color indexed="8"/>
        <rFont val="Arial"/>
        <family val="2"/>
      </rPr>
      <t>включая</t>
    </r>
    <r>
      <rPr>
        <sz val="11"/>
        <color indexed="8"/>
        <rFont val="Arial"/>
        <family val="2"/>
      </rPr>
      <t xml:space="preserve"> данный  период, по задачам. </t>
    </r>
  </si>
  <si>
    <r>
      <t xml:space="preserve">• </t>
    </r>
    <r>
      <rPr>
        <b/>
        <sz val="11"/>
        <color indexed="8"/>
        <rFont val="Arial"/>
        <family val="2"/>
      </rPr>
      <t>Совокупный</t>
    </r>
    <r>
      <rPr>
        <sz val="11"/>
        <color indexed="8"/>
        <rFont val="Arial"/>
        <family val="2"/>
      </rPr>
      <t xml:space="preserve"> – Цифры отражают бюджет, выплаты или расходы за все периоды данной фазы до начала отчетного периода, показанного на панели показателей, включая данный период.</t>
    </r>
  </si>
  <si>
    <r>
      <t>Выплаты ГФ: До начала данного отчетного периода:</t>
    </r>
    <r>
      <rPr>
        <sz val="11"/>
        <color indexed="8"/>
        <rFont val="Arial"/>
        <family val="2"/>
      </rPr>
      <t xml:space="preserve"> Сумма средств, переведенных Глобальныи Фондом на расчетный счет ОР или выплаченных непосредственно поставщикам (например, лекарственных средств, оборудования, москитных сеток) до начала отчетного периода, отраженного на панели показателей, </t>
    </r>
    <r>
      <rPr>
        <b/>
        <i/>
        <sz val="11"/>
        <color indexed="8"/>
        <rFont val="Arial"/>
        <family val="2"/>
      </rPr>
      <t xml:space="preserve">но не включая </t>
    </r>
    <r>
      <rPr>
        <sz val="11"/>
        <color indexed="8"/>
        <rFont val="Arial"/>
        <family val="2"/>
      </rPr>
      <t xml:space="preserve">этот период.  </t>
    </r>
    <r>
      <rPr>
        <b/>
        <sz val="11"/>
        <color indexed="8"/>
        <rFont val="Arial"/>
        <family val="2"/>
      </rPr>
      <t>Выплаты ГФ:</t>
    </r>
    <r>
      <rPr>
        <sz val="11"/>
        <color indexed="8"/>
        <rFont val="Arial"/>
        <family val="2"/>
      </rPr>
      <t xml:space="preserve"> </t>
    </r>
    <r>
      <rPr>
        <b/>
        <sz val="11"/>
        <color indexed="8"/>
        <rFont val="Arial"/>
        <family val="2"/>
      </rPr>
      <t>Отчетный период:</t>
    </r>
    <r>
      <rPr>
        <sz val="11"/>
        <color indexed="8"/>
        <rFont val="Arial"/>
        <family val="2"/>
      </rPr>
      <t xml:space="preserve"> Сумма средств, переведенных Глобальныи Фондом на расчетный счет ОР или выплаченных непосредственно поставщикам (например, лекарственных средств, оборудования, москитных сеток) в течение отчетного периода, отраженного на панели показателей. 
</t>
    </r>
    <r>
      <rPr>
        <b/>
        <sz val="11"/>
        <color indexed="8"/>
        <rFont val="Arial"/>
        <family val="2"/>
      </rPr>
      <t>Выплаты ОР и расходы :</t>
    </r>
    <r>
      <rPr>
        <sz val="11"/>
        <color indexed="8"/>
        <rFont val="Arial"/>
        <family val="2"/>
      </rPr>
      <t xml:space="preserve"> </t>
    </r>
    <r>
      <rPr>
        <b/>
        <sz val="11"/>
        <color indexed="8"/>
        <rFont val="Arial"/>
        <family val="2"/>
      </rPr>
      <t>До начала данного отчетного периода:</t>
    </r>
    <r>
      <rPr>
        <sz val="11"/>
        <color indexed="8"/>
        <rFont val="Arial"/>
        <family val="2"/>
      </rPr>
      <t xml:space="preserve"> Общая сумма средств, указанных в отчетах как израсходованные ОР и/или выплаченные субреципиентам до начала отчетного периода, отраженного на панели показателей, </t>
    </r>
    <r>
      <rPr>
        <b/>
        <i/>
        <sz val="11"/>
        <color indexed="8"/>
        <rFont val="Arial"/>
        <family val="2"/>
      </rPr>
      <t>но не включая</t>
    </r>
    <r>
      <rPr>
        <sz val="11"/>
        <color indexed="8"/>
        <rFont val="Arial"/>
        <family val="2"/>
      </rPr>
      <t xml:space="preserve"> данный период.  </t>
    </r>
    <r>
      <rPr>
        <b/>
        <sz val="11"/>
        <color indexed="8"/>
        <rFont val="Arial"/>
        <family val="2"/>
      </rPr>
      <t>Выплаты ОР и расходы: Отчетный период:</t>
    </r>
    <r>
      <rPr>
        <sz val="11"/>
        <color indexed="8"/>
        <rFont val="Arial"/>
        <family val="2"/>
      </rPr>
      <t xml:space="preserve"> Общая сумма средств, указанных в отчетах как израсходованные ОР и/или выплаченные субреципиентам в течение отчетного периода, отраженного на панели показателей.</t>
    </r>
    <r>
      <rPr>
        <b/>
        <sz val="11"/>
        <color indexed="8"/>
        <rFont val="Arial"/>
        <family val="2"/>
      </rPr>
      <t xml:space="preserve">
Выплаты субреципиентам: До начала данного отчетного периода: </t>
    </r>
    <r>
      <rPr>
        <sz val="11"/>
        <color indexed="8"/>
        <rFont val="Arial"/>
        <family val="2"/>
      </rPr>
      <t xml:space="preserve">Общая сумма средств, переведенных ОР субреципиентам до начала отчетного периода, отраженного на панели показателей, но не включая данный период.  </t>
    </r>
    <r>
      <rPr>
        <b/>
        <sz val="11"/>
        <color indexed="8"/>
        <rFont val="Arial"/>
        <family val="2"/>
      </rPr>
      <t xml:space="preserve">Выплаты субреципиентам: Отчетный период: </t>
    </r>
    <r>
      <rPr>
        <sz val="11"/>
        <color indexed="8"/>
        <rFont val="Arial"/>
        <family val="2"/>
      </rPr>
      <t xml:space="preserve">Общая сумма средств, переведенных ОР субреципиентам в течение отчетного периода, отраженного на панели показателей. </t>
    </r>
    <r>
      <rPr>
        <b/>
        <sz val="11"/>
        <color indexed="8"/>
        <rFont val="Arial"/>
        <family val="2"/>
      </rPr>
      <t xml:space="preserve">
Расходы субреципиентов: До начала данного отчетного периода: </t>
    </r>
    <r>
      <rPr>
        <sz val="11"/>
        <color indexed="8"/>
        <rFont val="Arial"/>
        <family val="2"/>
      </rPr>
      <t xml:space="preserve">Общая сумма расходов, указанных в отчетах СР, до начала отчетного периода, отраженного на панели показателей, </t>
    </r>
    <r>
      <rPr>
        <b/>
        <i/>
        <sz val="11"/>
        <color indexed="8"/>
        <rFont val="Arial"/>
        <family val="2"/>
      </rPr>
      <t>но не включая</t>
    </r>
    <r>
      <rPr>
        <sz val="11"/>
        <color indexed="8"/>
        <rFont val="Arial"/>
        <family val="2"/>
      </rPr>
      <t xml:space="preserve"> данный период.  </t>
    </r>
    <r>
      <rPr>
        <b/>
        <sz val="11"/>
        <color indexed="8"/>
        <rFont val="Arial"/>
        <family val="2"/>
      </rPr>
      <t>Расходы субреципиентов: Отчетный период:</t>
    </r>
    <r>
      <rPr>
        <sz val="11"/>
        <color indexed="8"/>
        <rFont val="Arial"/>
        <family val="2"/>
      </rPr>
      <t xml:space="preserve"> Общая сумма расходов, указанных в отчетах СР, в течение отчетного периода, отраженного на панели показателей.</t>
    </r>
  </si>
  <si>
    <r>
      <t xml:space="preserve">Валюта финансирования гранта (долл. США или евро)                                                • </t>
    </r>
    <r>
      <rPr>
        <b/>
        <sz val="11"/>
        <color indexed="8"/>
        <rFont val="Arial"/>
        <family val="2"/>
      </rPr>
      <t>Отчетный период</t>
    </r>
    <r>
      <rPr>
        <sz val="11"/>
        <color indexed="8"/>
        <rFont val="Arial"/>
        <family val="2"/>
      </rPr>
      <t xml:space="preserve">  – Цифры отражают бюджет, выплаты или расходы за отчетный период, показанный на панели показателей.
• </t>
    </r>
    <r>
      <rPr>
        <b/>
        <sz val="11"/>
        <color indexed="8"/>
        <rFont val="Arial"/>
        <family val="2"/>
      </rPr>
      <t>До начала отчетного периода</t>
    </r>
    <r>
      <rPr>
        <sz val="11"/>
        <color indexed="8"/>
        <rFont val="Arial"/>
        <family val="2"/>
      </rPr>
      <t xml:space="preserve"> - Цифры отражают общий бюджет, выплаты или расходы за все периоды до начала текущего периода, </t>
    </r>
    <r>
      <rPr>
        <b/>
        <i/>
        <sz val="11"/>
        <color indexed="8"/>
        <rFont val="Arial"/>
        <family val="2"/>
      </rPr>
      <t xml:space="preserve">не включая </t>
    </r>
    <r>
      <rPr>
        <sz val="11"/>
        <color indexed="8"/>
        <rFont val="Arial"/>
        <family val="2"/>
      </rPr>
      <t>его.</t>
    </r>
  </si>
  <si>
    <r>
      <rPr>
        <sz val="11"/>
        <rFont val="Arial"/>
        <family val="2"/>
      </rPr>
      <t>ОПР/ЗПС</t>
    </r>
    <r>
      <rPr>
        <sz val="11"/>
        <color indexed="8"/>
        <rFont val="Arial"/>
        <family val="2"/>
      </rPr>
      <t>; данные ОР; отчеты СР  основному реципиенту.</t>
    </r>
  </si>
  <si>
    <r>
      <t xml:space="preserve">Сколько дней понадобилось для подачи ИОР/ЗПС в офис МАФ </t>
    </r>
    <r>
      <rPr>
        <b/>
        <sz val="11"/>
        <color indexed="53"/>
        <rFont val="Arial"/>
        <family val="2"/>
      </rPr>
      <t xml:space="preserve"> </t>
    </r>
    <r>
      <rPr>
        <sz val="11"/>
        <color indexed="8"/>
        <rFont val="Arial"/>
        <family val="2"/>
      </rPr>
      <t xml:space="preserve">– этот показатель измеряет количество календарных дней, потребовавшихся ОР для направления местному агенту Фонда (МАФ) окончательных вариантов Итоговой оценки результатов и Запроса на перевод средств (ИОР/ЗПС) после завершения периода. "Окончательными" считаются ИОР/ЗПС, по которым МАФ не запрашивает каких-либо дополнительных уточняющих данных от ОР. Предполагаемый срок составляет 45 дней после завершения периода, указанного в грантовом соглашении.                                                                                                                                                Фактическй срок равен количеству дней, истекших с даты завершения периода и до даты предоставления основным реципиентом окончательных ИОР/ЗПС в офис МАФ.  </t>
    </r>
    <r>
      <rPr>
        <b/>
        <sz val="11"/>
        <color indexed="8"/>
        <rFont val="Arial"/>
        <family val="2"/>
      </rPr>
      <t xml:space="preserve">
Спустя сколько дней ОР получил платеж</t>
    </r>
    <r>
      <rPr>
        <sz val="11"/>
        <color indexed="8"/>
        <rFont val="Arial"/>
        <family val="2"/>
      </rPr>
      <t xml:space="preserve"> – этот показатель измеряет количество календарных дней,  потребовавшихся Глобальному фонду для последней выплаты на счет ОР после того, как МАФ получил  отвечающий требованиям ИОР/ЗПС. 
Предполагаемый срок составляет 45 дней. 
Фактический срок равен числу дней, истекших с даты направления основным реципиентом отвечающего требованиям ИОР/ЗПС в офис МАФ и до поступления платежа на банковской счет ОР.   </t>
    </r>
    <r>
      <rPr>
        <b/>
        <sz val="11"/>
        <color indexed="8"/>
        <rFont val="Arial"/>
        <family val="2"/>
      </rPr>
      <t xml:space="preserve">
Спустя сколько дней суб-реципиенты получили платежи</t>
    </r>
    <r>
      <rPr>
        <sz val="11"/>
        <color indexed="8"/>
        <rFont val="Arial"/>
        <family val="2"/>
      </rPr>
      <t xml:space="preserve"> – этот показатель измеряет среднее количество дней, потребовавшихся для осуществления платежей всем СР.
Предполагаемый срок определяется на местах основным реципиентом и субреципиентами, желательно в Руководстве по грантовым операциям. 
Фактический срок равен среднему количеству дней, истекших с даты получения платежа ГФ основным реципиентом и до даты получения средств каждым СР. Различные СР могут получать средства в различные даты, и этот показатель является средней величиной в отношении последней выплаты всем СР.</t>
    </r>
  </si>
  <si>
    <r>
      <t xml:space="preserve">Количество  календарных дней; этот показатель </t>
    </r>
    <r>
      <rPr>
        <b/>
        <sz val="11"/>
        <color indexed="8"/>
        <rFont val="Arial"/>
        <family val="2"/>
      </rPr>
      <t>не является совокупным</t>
    </r>
    <r>
      <rPr>
        <sz val="11"/>
        <color indexed="8"/>
        <rFont val="Arial"/>
        <family val="2"/>
      </rPr>
      <t xml:space="preserve"> и относится только к тому отчетному периоду, на который был получен последний платеж.</t>
    </r>
  </si>
  <si>
    <t>Электронная почта и документация ОР, МАФ и ГФ; банковские уведомления или расписки ОР в получении средств ГФ; отчеты СР основному реципиенту, составленные на основе банковских документов.</t>
  </si>
  <si>
    <t>Управление</t>
  </si>
  <si>
    <t>Источники Данных</t>
  </si>
  <si>
    <r>
      <t xml:space="preserve">Количество выполненных или невыполненных Предварительных условий (ПУ) и Действий с установленным сроком исполнения (ДУС). 
</t>
    </r>
    <r>
      <rPr>
        <sz val="11"/>
        <color indexed="8"/>
        <rFont val="Arial"/>
        <family val="2"/>
      </rPr>
      <t>В категории показателей  "Невыполненные требования" мы различаем ПУ и ДУС с истекшим и неистекшим сроком исполнения.</t>
    </r>
  </si>
  <si>
    <t>Совокупное количество до начала отчетного периода, отраженного на панели показателей. Количество выполненных и невыполненных ПУ и/или ДУС должно быть равно общему количеству, установленному для гранта Глобальным фондом.</t>
  </si>
  <si>
    <t>Документы ОР; отчеты о результатах реализации гранта.</t>
  </si>
  <si>
    <r>
      <t>Количество запланированных руководящих должностей в структуре ОР гранта, заполненных или вакантных в настоящее время.</t>
    </r>
    <r>
      <rPr>
        <sz val="11"/>
        <color indexed="8"/>
        <rFont val="Arial"/>
        <family val="2"/>
      </rPr>
      <t xml:space="preserve"> Эквивалентное значение продолжительности полного рабочего времени для </t>
    </r>
    <r>
      <rPr>
        <b/>
        <sz val="11"/>
        <color indexed="8"/>
        <rFont val="Arial"/>
        <family val="2"/>
      </rPr>
      <t>руководящих</t>
    </r>
    <r>
      <rPr>
        <sz val="11"/>
        <color indexed="8"/>
        <rFont val="Arial"/>
        <family val="2"/>
      </rPr>
      <t xml:space="preserve"> должностей, предусмотренных в структуре организации (или запланированных иным образом) и непосредственно ответственных за реализацию гранта в структуре ОР и ведущих СР (при необходимости). Сюда относятся недавно принятые на работу и имеющиеся сотрудники, которым поручено управление грантом, а также любой персонал, задействоованный из других подразделений или партнерских организаций.</t>
    </r>
  </si>
  <si>
    <t>Количество в текущем отчетном периоде.</t>
  </si>
  <si>
    <t xml:space="preserve">Документация ОР. </t>
  </si>
  <si>
    <r>
      <rPr>
        <b/>
        <sz val="11"/>
        <color indexed="8"/>
        <rFont val="Arial"/>
        <family val="2"/>
      </rPr>
      <t>Определеные:</t>
    </r>
    <r>
      <rPr>
        <sz val="11"/>
        <color indexed="8"/>
        <rFont val="Arial"/>
        <family val="2"/>
      </rPr>
      <t xml:space="preserve"> Общее количество потенциальных СР, определенных ОР для данной фазы. </t>
    </r>
    <r>
      <rPr>
        <b/>
        <sz val="11"/>
        <color indexed="8"/>
        <rFont val="Arial"/>
        <family val="2"/>
      </rPr>
      <t>Прошли оценку:</t>
    </r>
    <r>
      <rPr>
        <sz val="11"/>
        <color indexed="8"/>
        <rFont val="Arial"/>
        <family val="2"/>
      </rPr>
      <t xml:space="preserve"> Общее количество потенциальных СР, уровень квалификации которых для выполнения функций СР для данного гранта получил положительную оценку ОР. </t>
    </r>
    <r>
      <rPr>
        <b/>
        <sz val="11"/>
        <color indexed="8"/>
        <rFont val="Arial"/>
        <family val="2"/>
      </rPr>
      <t>Одобренные:</t>
    </r>
    <r>
      <rPr>
        <sz val="11"/>
        <color indexed="8"/>
        <rFont val="Arial"/>
        <family val="2"/>
      </rPr>
      <t xml:space="preserve"> Общее количество одобренных СР. </t>
    </r>
    <r>
      <rPr>
        <b/>
        <sz val="11"/>
        <color indexed="8"/>
        <rFont val="Arial"/>
        <family val="2"/>
      </rPr>
      <t>Подписавшие соглашение:</t>
    </r>
    <r>
      <rPr>
        <sz val="11"/>
        <color indexed="8"/>
        <rFont val="Arial"/>
        <family val="2"/>
      </rPr>
      <t xml:space="preserve"> Общее количество  СР, подписавших соглашения/ контракты с ОР в рамках данного гранта. </t>
    </r>
    <r>
      <rPr>
        <b/>
        <sz val="11"/>
        <color indexed="8"/>
        <rFont val="Arial"/>
        <family val="2"/>
      </rPr>
      <t>П</t>
    </r>
    <r>
      <rPr>
        <b/>
        <sz val="11"/>
        <color indexed="8"/>
        <rFont val="Arial"/>
        <family val="2"/>
        <charset val="204"/>
      </rPr>
      <t>олучающие ф</t>
    </r>
    <r>
      <rPr>
        <b/>
        <sz val="11"/>
        <color indexed="8"/>
        <rFont val="Arial"/>
        <family val="2"/>
      </rPr>
      <t>инансирование:</t>
    </r>
    <r>
      <rPr>
        <sz val="11"/>
        <color indexed="8"/>
        <rFont val="Arial"/>
        <family val="2"/>
      </rPr>
      <t xml:space="preserve"> Общее количество  СР, получающих финансирование и/или поставки от ОР.
Количество определенных, квалифицированных, одобренных, подписавших соглашение и получающих финансирование СР, за исключением случаев:  
Когда продолжает действовать одобрение, полученное для Фазы I, если для назначения СР в Фазе II одобрение не требуется. 
Когда такой СР больше не входит в категорию потенциальных, квалифицированных и одобренных, если соглашение с СР было подписано в предыдущей Фазе, но  </t>
    </r>
    <r>
      <rPr>
        <b/>
        <sz val="11"/>
        <color indexed="8"/>
        <rFont val="Arial"/>
        <family val="2"/>
      </rPr>
      <t>не</t>
    </r>
    <r>
      <rPr>
        <sz val="11"/>
        <color indexed="8"/>
        <rFont val="Arial"/>
        <family val="2"/>
      </rPr>
      <t xml:space="preserve"> осуществляется в нынешней Фазе .</t>
    </r>
  </si>
  <si>
    <r>
      <t xml:space="preserve">Совокупное количество к данному отчетному периоду. СР </t>
    </r>
    <r>
      <rPr>
        <sz val="11"/>
        <color indexed="8"/>
        <rFont val="Symbol"/>
        <family val="1"/>
        <charset val="2"/>
      </rPr>
      <t>-</t>
    </r>
    <r>
      <rPr>
        <sz val="11"/>
        <color indexed="8"/>
        <rFont val="Arial"/>
        <family val="2"/>
      </rPr>
      <t xml:space="preserve"> это учреждение или программа со своим планом работы, бюджетом и целевыми показателями.</t>
    </r>
  </si>
  <si>
    <t>Документация ОР; соглашения с субреципиентами/ меморандум о взаимопонимании (МоВ); документация СКК.</t>
  </si>
  <si>
    <t xml:space="preserve">Общее количество периодических отчетов СР для ОР и отчетов суб-СР (ССР) для СР, содержащих обновленную информацию о финансировании, управлении и осуществлении программ, и полученных к установленному сроку. "Полным" считается отчет, содержащий все данные, которые требует ОР для составления ИОР/ЗПС.
Контрольный срок устанавливается ОР и указывается в соглашениях с суб-реципиентами.  </t>
  </si>
  <si>
    <t>Количество  полученных отчетов. Эта цифра отражает только отчетный период; она не является совокупной.</t>
  </si>
  <si>
    <t>Документация ОР и СР.</t>
  </si>
  <si>
    <r>
      <t xml:space="preserve">Этот показатель измеряет бюджет, утвержденный для закупки товаров медицинского назначения, медицинского оборудования, фармацевтических препаратов и лекарственных средств (категории 4 и 5, указанные в новом Подробном финансовом отчете </t>
    </r>
    <r>
      <rPr>
        <sz val="11"/>
        <color indexed="8"/>
        <rFont val="Symbol"/>
        <family val="1"/>
        <charset val="2"/>
      </rPr>
      <t>-</t>
    </r>
    <r>
      <rPr>
        <sz val="11"/>
        <color indexed="8"/>
        <rFont val="Arial"/>
        <family val="2"/>
      </rPr>
      <t xml:space="preserve"> ПФО) в текущей фазе гранта, а также общий объем финансовых обязательств и расходов до начала отчетного периода, отраженного в панели показателей.  
</t>
    </r>
    <r>
      <rPr>
        <b/>
        <sz val="11"/>
        <color indexed="8"/>
        <rFont val="Arial"/>
        <family val="2"/>
      </rPr>
      <t xml:space="preserve">Утвержденный </t>
    </r>
    <r>
      <rPr>
        <sz val="11"/>
        <color indexed="8"/>
        <rFont val="Arial"/>
        <family val="2"/>
      </rPr>
      <t>бюджет:</t>
    </r>
    <r>
      <rPr>
        <b/>
        <sz val="11"/>
        <color indexed="8"/>
        <rFont val="Arial"/>
        <family val="2"/>
      </rPr>
      <t xml:space="preserve"> </t>
    </r>
    <r>
      <rPr>
        <sz val="11"/>
        <color indexed="8"/>
        <rFont val="Arial"/>
        <family val="2"/>
      </rPr>
      <t xml:space="preserve">Общий утвержденный бюджет для осуществления закупок (по категориям 4 и 5) </t>
    </r>
    <r>
      <rPr>
        <b/>
        <i/>
        <sz val="11"/>
        <color indexed="8"/>
        <rFont val="Arial"/>
        <family val="2"/>
      </rPr>
      <t>для всей фазы</t>
    </r>
    <r>
      <rPr>
        <sz val="11"/>
        <color indexed="8"/>
        <rFont val="Arial"/>
        <family val="2"/>
      </rPr>
      <t xml:space="preserve"> гранта. Он не включает сборы, затраты на управление и операционные расходы и т.д.
</t>
    </r>
    <r>
      <rPr>
        <b/>
        <sz val="11"/>
        <color indexed="8"/>
        <rFont val="Arial"/>
        <family val="2"/>
      </rPr>
      <t>Совокупные обязательства:</t>
    </r>
    <r>
      <rPr>
        <sz val="11"/>
        <color indexed="8"/>
        <rFont val="Arial"/>
        <family val="2"/>
      </rPr>
      <t xml:space="preserve"> Общая сумма всех размещенных заказо</t>
    </r>
    <r>
      <rPr>
        <sz val="11"/>
        <rFont val="Arial"/>
        <family val="2"/>
      </rPr>
      <t>в и денежных средств, выделенны</t>
    </r>
    <r>
      <rPr>
        <sz val="11"/>
        <color indexed="8"/>
        <rFont val="Arial"/>
        <family val="2"/>
      </rPr>
      <t xml:space="preserve">х ОР на эти закупки </t>
    </r>
    <r>
      <rPr>
        <b/>
        <i/>
        <sz val="11"/>
        <color indexed="8"/>
        <rFont val="Arial"/>
        <family val="2"/>
      </rPr>
      <t>до</t>
    </r>
    <r>
      <rPr>
        <sz val="11"/>
        <color indexed="8"/>
        <rFont val="Arial"/>
        <family val="2"/>
      </rPr>
      <t xml:space="preserve"> начала отчетного периода, отраженного в панели показателей, </t>
    </r>
    <r>
      <rPr>
        <b/>
        <i/>
        <sz val="11"/>
        <color indexed="8"/>
        <rFont val="Arial"/>
        <family val="2"/>
      </rPr>
      <t>и включая</t>
    </r>
    <r>
      <rPr>
        <sz val="11"/>
        <color indexed="8"/>
        <rFont val="Arial"/>
        <family val="2"/>
      </rPr>
      <t xml:space="preserve"> этот период. В идеале к концу фазы величина бюджета должна соответствовать объему обязательств.
</t>
    </r>
    <r>
      <rPr>
        <b/>
        <sz val="11"/>
        <color indexed="8"/>
        <rFont val="Arial"/>
        <family val="2"/>
      </rPr>
      <t>Совокупные расходы:</t>
    </r>
    <r>
      <rPr>
        <sz val="11"/>
        <color indexed="8"/>
        <rFont val="Arial"/>
        <family val="2"/>
      </rPr>
      <t xml:space="preserve"> Общая сумма фактических расходов по категориям 4 и 5 </t>
    </r>
    <r>
      <rPr>
        <b/>
        <i/>
        <sz val="11"/>
        <color indexed="8"/>
        <rFont val="Arial"/>
        <family val="2"/>
      </rPr>
      <t xml:space="preserve">до </t>
    </r>
    <r>
      <rPr>
        <sz val="11"/>
        <color indexed="8"/>
        <rFont val="Arial"/>
        <family val="2"/>
      </rPr>
      <t>начала отчетного периода, отраженного в панели показателей,</t>
    </r>
    <r>
      <rPr>
        <b/>
        <i/>
        <sz val="11"/>
        <color indexed="8"/>
        <rFont val="Arial"/>
        <family val="2"/>
      </rPr>
      <t xml:space="preserve"> и включая </t>
    </r>
    <r>
      <rPr>
        <sz val="11"/>
        <color indexed="8"/>
        <rFont val="Arial"/>
        <family val="2"/>
      </rPr>
      <t>этот период (оплаченных ОР или разрешенных для оплаты другими учреждениями, такими как ГФ или другими).</t>
    </r>
  </si>
  <si>
    <t>Валюта финансирования гранта (долл. США или евро).</t>
  </si>
  <si>
    <r>
      <t>Утвержденный бюджет, определенный в грантовом соглашении (в отношении категорий 4 и 5 согласно Расширенному финансовому отчету в текущей фазе); финансовые данные ОР (в отношении расходов); данные отде</t>
    </r>
    <r>
      <rPr>
        <sz val="11"/>
        <rFont val="Arial"/>
        <family val="2"/>
      </rPr>
      <t>ла УСЗ (в отнош</t>
    </r>
    <r>
      <rPr>
        <sz val="11"/>
        <color indexed="8"/>
        <rFont val="Arial"/>
        <family val="2"/>
      </rPr>
      <t>ении размещенных заказов и проплаченных средств или финансовых обязательств).</t>
    </r>
  </si>
  <si>
    <r>
      <t xml:space="preserve">Примечание: </t>
    </r>
    <r>
      <rPr>
        <sz val="11"/>
        <color indexed="8"/>
        <rFont val="Arial"/>
        <family val="2"/>
      </rPr>
      <t xml:space="preserve">Категория 6 в ПФО не считается частью бюджета, предназначенной для закупки фармацевтических препаратов. Категория 6 включает несколько видов расходов, которые трудно разделить на составные части или измерить количественно, например, затраты на складское хранение, затраты на распределение продукции (в частности, когда распределение производится министерствами здравоохранения) и прочие затраты, относящиеся к текущим расходам в рамках системы управления закупками (СУЗ).  </t>
    </r>
  </si>
  <si>
    <t xml:space="preserve">Этот показатель демонстрирует разницу между уровнем текущих (или за последний месяц) запасов конкретной продукции (лекарственного препарата в единой комбинации с фиксированными дозами, москитных сеток, диагностических наборов и т.д.) в конкретном объеме, выраженном в месячной потребности (количество месяцев, в течение которых лечение может быть обеспечено имеющимися запасами) всех пациентов, охваченных программой, и резервным или буферным уровнем запасов (также выраженном  в месяцах), рассчитанным на основании программы по заболеванию, данных складской системы или списка основных лекарственных средств в отношении конкретного препарата и конкретной дозировки.  
Разница в месяцах показана в таблице различным цветом:
• КРАСНЫЙ: когда разница имеет отрицательное значение или равна нулю (0); это указывает на то, что имеющийся объем запасов в месяцах ниже установленного резервного уровня или равен ему.
• ЖЕЛТЫЙ: когда объем запасов выше резервного уровня (&gt;0), но ниже 3-х месячного уровня (+3).
• ЗЕЛЕНЫЙ: когда разница находится в пределах между 3 и 18 месяцами.
• ФИОЛЕТОВЫЙ: когда разница равна или больше 18 месяцев, что указывает на возможный избыток запасов.
Для ознакомления с полным описанием методики расчета этого показателя см. Руководство для пользователя.
</t>
  </si>
  <si>
    <t>Количество месяцев.</t>
  </si>
  <si>
    <t>Документация ОР: складские данные</t>
  </si>
  <si>
    <t>Показатель по ВИЧ /СПИД</t>
  </si>
  <si>
    <t>Определение (на основании Плана мониторинга и оценки)</t>
  </si>
  <si>
    <t>Индикатор  отражает процент ЛУИН из оценочного числа, которые хотя бы один раз в течении отчетного периода получили минимальный пакет услуг (шприцы, иглы, салфетки), презервативы и информационный материал (в виде информационных брошюр или информационных сессий).</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</si>
  <si>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ЛУИН за отчетный период, включая заключенных ЛУИН; знаменатель: оценочное количество ЛУИН за 2013 г. </t>
  </si>
  <si>
    <t>Отчетная документация организаций - СР (ежеквартально), БД МИС.</t>
  </si>
  <si>
    <t>Индикатор отражает процент  лиц с известным статусом на конец отчетного периода получающие АРТ в соответствии с утвержденным национальным протоколом лечения из оценочного числа ЛЖВ. </t>
  </si>
  <si>
    <t>Индикатор не кумулятивный, состоит из двух частей. Числитель: Число людей, находящихся на АРТ на конец отчетного периода, знаменатель: оценочное число ЛЖВ по Спектруму. </t>
  </si>
  <si>
    <t>Данные РЦ СПИД, ЭС.</t>
  </si>
  <si>
    <t xml:space="preserve">Индикатор отражает процент  лиц, получающих АРТ на конец отчетного периода из оценочного количества ЛЖВ. </t>
  </si>
  <si>
    <t>Числитель: Число ЛЖВ, получающих АРТ на конец отчетного периода.
Знаменатель: Оценочное число ЛЖВ.
Данные необходимо направлять в разбивке по полу, возрасту, указывать продолжительность лечения и принадлежность к ключевой группе.</t>
  </si>
  <si>
    <t>Индикатор отражает приверженность/удержание на опиоидной заместительной терапии и охватывает гражданский и пенитенциарный системы (по стране). </t>
  </si>
  <si>
    <t xml:space="preserve">Не куммулятивный. Числитель: количество  ЛУИН (новых), начавших лечение в период, предшествующий отчетному, включая тех, которые умерли после начала лечения, которые прекратили лечение, и тех, за кем был утрачен контроль через 6 месяцев, а также по числу ЛУИН продолжающих непрерывный курс ПТМ лечения спустя 6 месяцев после его начала, по стране включая ГСИН, знаменатель: количество ЛУИН, которые  были вовлечены в программу ОЗТ за период, предшествующий отчетному.		</t>
  </si>
  <si>
    <t>Данные РЦН, ЭРЗПТ</t>
  </si>
  <si>
    <t>Процент заключенных, прошедших тестирование на ВИЧ и получивших после-тестовое консультирование.</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</si>
  <si>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ЛУИН, прошедших тестирование и знающих свои результаты за отчетный период, включая заключенных ЛУИН и клиентов ОЗТ; знаменатель: оценочное количество ЛУИН за 2013 г. </t>
  </si>
  <si>
    <t>Процент СР, которые получили хотя бы один раз минимальный пакет услуг в течение отчетного периода из оценочного числа СР. Под «минимальным пакетом» понимаются перечисленные ниже услуги: предоставление презервативов, тематических информационных материалов виде брошюр и/или бесед и/или консультирование .</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</si>
  <si>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СР за отчетный период; знаменатель: оценочное количество СР за 2013 г. 		</t>
  </si>
  <si>
    <t>Процент МСМ, которые получили хотя бы один раз минимальный пакет услуг в течение отчетного периода из оценочного числа МСМ. Под «минимальным пакетом» понимаются перечисленные ниже услуги: предоставление презервативов, тематических информационных материалов виде брошюр и/или бесед и/или консультирование.</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</si>
  <si>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МСМ за отчетный период; знаменатель: оценочное количество МСМ за 2016 г. 		</t>
  </si>
  <si>
    <t>Отчетная документация организаций - СР (ежеквартально), БД МИС</t>
  </si>
  <si>
    <t>Процент ЛУИН, прошедших тестирование на ВИЧ и получивших после-тестовое консультирование.</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</si>
  <si>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ЛУИН, прошедших тестирование и знающих свои результаты за отчетный период; знаменатель: оценочное количество ЛУИН за 2013 г. </t>
  </si>
  <si>
    <t>Процент СР, прошедших тестирование на ВИЧ и получивших после-тестовое консультирование.</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</si>
  <si>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СР, прошедших тестирование и знающих свои результаты за отчетный период; знаменатель: оценочное количество СР за 2013 г. </t>
  </si>
  <si>
    <t>Процент МСМ, прошедших тестирование на ВИЧ и получивших после-тестовое консультирование.</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</si>
  <si>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МСМ, прошедших тестирование и знающих свои результаты за отчетный период; знаменатель: оценочное количество МСМ за 2016 г. </t>
  </si>
  <si>
    <t>Процент МСМ, начавших ДКП в течении отчетного периода из числа запланированных (150 МСМ будут получать ДКП ежегодно).</t>
  </si>
  <si>
    <t xml:space="preserve">Не куммулятивный: Числитель: Количество отвечающих критериям МСМ, которые начали ДКП* в течение отчетного периода. 
*К людям, которые начали ДКП, относятся те, кто начал ДКП впервые, и те, кто, возможно, прекратил ДКП и возобновил ДКП в отчетный период. 
Критериями для начала ДКП будет: ВИЧ-отрицательный статус, отсутствие признаков и симптомов острой ВИЧ-инфекции, а также наличие у МСМ высокого риска заразиться ВИЧ и возможная польза от ДКП. Все дополнительные критерии будут зависеть от контекста и будут основываться на критериях, описанных в национальном клиническом протоколе. </t>
  </si>
  <si>
    <t xml:space="preserve">TB/HIV-6⁽ᴹ⁾ Процент ВИЧ-позитивных пациентов с новым и/или рецидивным туберкулезом, получающих АРТ во время лечения туберкулеза </t>
  </si>
  <si>
    <t xml:space="preserve">Процент ВИЧ-положительных новых и рецидивирующих больных туберкулезом, которые начали лечение ТБ в течение отчетного периода, которые уже получают АРТ или начавшие АРТ во время лечения ТБ. </t>
  </si>
  <si>
    <t>Не куммулятивный: Числитель: количество ЛЖВ с впервые выявленным ТБ или с рецидивом ТБ , которые начали противотуберкулезное лечение при этом уже получают АРТ, или среди тех кто начал АРТ во время лечения туберкулеза, в течение отчетного периода.</t>
  </si>
  <si>
    <t>Данные РЦ СПИД, программа ЭС.</t>
  </si>
  <si>
    <t>Показатель по ТБ</t>
  </si>
  <si>
    <t>Знаменатель: Фактическое число ЛЖВ с впервые или повторно выявленным ТБ, зарегистрированных за отчетный период.</t>
  </si>
  <si>
    <t xml:space="preserve">Числитель: Кол-во ТБ пациентов, зарегистрированных в отчетный период, имеющих ТЛЧ результат. Охват методами ТЛЧ включает как быстрые молекулярные тесты (Xpert  MBT Rif), так и стандартные культуральные тесты. Знаменатель: Общее количество зарегистрированных ТБ случаев в этом же году; знаменатель включает все бактериологически подтвержденные новые и ранее леченые ТБ случаи. </t>
  </si>
  <si>
    <t>Данные в разбивке по возрасту и полу указать в примечаниях</t>
  </si>
  <si>
    <t>Отчетный инструмент  относится к форме ТБ 06, табл. 1. </t>
  </si>
  <si>
    <t>MDR TB-2: Количество бактериологически подтвержденных зарегистрированных ЛУ-ТБ случаев (РУ-ТБ и/или МЛУ-ТБ)</t>
  </si>
  <si>
    <t xml:space="preserve">Кыргызстан сфокусирован на достижении целей ООН; исходя из ресурсов и возможностей национальной противотуберкулезной программы ожидается, что охват составит 80% от целей ООН.  Абсолютное количество бактериологически подтвержденных случаев ЛУ РУ ТБ и/или МЛУ/ШЛУ (включая ШЛУ), зарегистрированных за отчетный период.                                      
</t>
  </si>
  <si>
    <t>Измеряется в абсолютных числах  на основании ежеквартальных статистических данных РЦИиЭ НЦФ.</t>
  </si>
  <si>
    <t>Отчетный инструмент  относится к форме ТБ 06 У, табл. 1. </t>
  </si>
  <si>
    <t>MDR TB-3: Количество случаев с РУ/МЛУ ТБ, начавших лечение препаратами второго ряда</t>
  </si>
  <si>
    <t xml:space="preserve">Кыргызстан сфокусирован на достижении целей ООН; исходя из ресурсов и возможностей национальной противотуберкулезной программы ожидается, что охват составит 80% от целей ООН. Индикатор включает абсолютное число всех лабораторно-подтвержденных и предполагаемых (клинических) случаев РУ/МЛУ/ШЛУ ТБ, взятых на лечение препаратами второго ряда в отчетный период. Основываясь на историческом разрыве между числом выявленных ТБ случаев и числом случаев, взятых на лечение, ожидается, что в первый год будет охвачено 95% от всех зарегистрированных случаев ТБ. </t>
  </si>
  <si>
    <t>База данных МЛУ-ТБ НЦФ РЦИиЭ</t>
  </si>
  <si>
    <t>Измеряется количество подтвержденных РУ/МЛУ ТБ случаев, протестированных на устойчивость к  препаратам второго ряда в отчетный период любым методом (Хайн-тест 2го ряда или фенотипический ТЛЧ). </t>
  </si>
  <si>
    <t>Числитель: Количество подтвержденных РУ/МЛУ ТБ случаев протестированных на устойчивость к препаратам второго ряда в отчетный период. Знаменатель: Общее количество подтвержденных случаев РУ/МЛУ, зарегистрированных в отчетный период. </t>
  </si>
  <si>
    <t>Отчетный инструмент  относится к форме ТБ 06, табл. 3а и 3б. </t>
  </si>
  <si>
    <t>WPTM_1: Реализация плана по расширению лечения на амбулаторном уровне: К концу 2023 года 23% больных с туберкулезом получают лечение исключительно на амбулаторном уровне</t>
  </si>
  <si>
    <t xml:space="preserve">"Начато"- План по расширению лечения на амбулаторном уровне в КР на период 2021-2023 года одобрен МЗ КР; "В процессе" - Создана рабочая группа по реализацию Плана; "Завершено" - 23% больных с туберкулезом получают лечение исключительно на амбулаторном уровне. </t>
  </si>
  <si>
    <t xml:space="preserve">Числитель: количество всех ТБ случаев (бактериологически подтвержденных и клинически диагностированных), новых и ранее леченых, получавших лечение на амбулаторном уровне (период их госпитализации составил менее 30 дней) в отчетный период  Знаменатель: Общее количество всех ТБ случаев (бактериологически подтвержденных и клинически диагностированных), новых и ранее леченых, зарегистрированных и начавших лечение в течение отчетного периода. </t>
  </si>
  <si>
    <t>Программные документы, Отчетный инструмент  относится к форме ТБ 06, табл. 1. </t>
  </si>
  <si>
    <t xml:space="preserve">"Не начато" - Окончательное решение по юной лаборатории еще не принято; "Начато" - Тендер на строительную компанию запущен; "в процессе" - строительная компания отобрана, "Завершено" - подписан контракт со строительной компанией.  </t>
  </si>
  <si>
    <t>Проектные документы</t>
  </si>
  <si>
    <t>Номер показателя: название (№ в Системе оценки результатов реализации)</t>
  </si>
  <si>
    <t>Показатели должны быть выбраны ОР и членами СКК или Техническим комитетом СКК, см. Систему оценки результатов реализации</t>
  </si>
  <si>
    <t>Система оценки результатов реализации</t>
  </si>
  <si>
    <t>Грант №:</t>
  </si>
  <si>
    <t>Дата начала:</t>
  </si>
  <si>
    <t>Общ. финансирование:</t>
  </si>
  <si>
    <t>Отчетный период:</t>
  </si>
  <si>
    <t>дo:</t>
  </si>
  <si>
    <t>Последняя оценка</t>
  </si>
  <si>
    <t>Портфолио Менеджер  Фонда:</t>
  </si>
  <si>
    <t>Кем подготовлен:</t>
  </si>
  <si>
    <t>Дата подготовки отчета:</t>
  </si>
  <si>
    <t>Финансовые показатели</t>
  </si>
  <si>
    <t>Комментарии:</t>
  </si>
  <si>
    <t>ГФ в отчетном периоде произвел выплату на общую сумму 3 196 889$, так как ГФ произвел выплату на период январь-июнь 2022 г в размере бюджета 8 029 062$ в 2021 г. Итого, ГФ выплатил 104% от общего бюджета за 2021-2022 гг.</t>
  </si>
  <si>
    <t xml:space="preserve">В отчетном периоде ГФ произвел выплату согласно утвержденного годового графика выплат.
Расходы ОП составили 8 335 821$. При этом имеются финансовые обязательства, в основном, по закупкам товаров медицинского назначения и медицинского оборудования, лекарственных средств и фармацевтических препаратов, GMS  на 31 декабря 2021 в 5 236 8672$. Итого за текущий период с учетом обязательств освоено 107% выделенных средств на ОП. В текущем периоде ПРООН произвел выплаты 25 СП на общую сумму в 2 184 701$ по запросу от СП в рамках 41 подписанных Соглашений и бюджетов. </t>
  </si>
  <si>
    <t xml:space="preserve">Расходы  связаны с обеспечением всех направлений деятельности программы по задачам. За отчетный период было израсходовано  99.83% выделенного бюджета согласно фактическим потребностям. При этом на конец отчетного периода имеются финансовые обязательства на 5 236 867$, с учетом которых освоение будет 150%. </t>
  </si>
  <si>
    <t>В отчетном периоде ОП предоставил отчет в ГФ в установленные сроки, 28 февраля 2023 г.</t>
  </si>
  <si>
    <t>Совокупный бюджет</t>
  </si>
  <si>
    <t>Совокупные расходы</t>
  </si>
  <si>
    <t>Raiting</t>
  </si>
  <si>
    <t>Valor</t>
  </si>
  <si>
    <t>Программные показатели по ВИЧ/СПИД</t>
  </si>
  <si>
    <t>Комментрии:</t>
  </si>
  <si>
    <t xml:space="preserve">В  отчетном периоде 17 329 (ЛУИН), в том числе 2539 женщин, 1251 заключенных. 7 НПО и Республиканский наркологический центр осуществляют  мероприятия по всей стране и в пенитенциарной системе. Планировалось охватить минимальным пакетом услуг 72% от оценочного числа ЛУИН (25 000, последняя оценка 2013 года), достигнуто 69,52%, так процент достижения индикатора составил 97%, в 2021 году было 98%. 					</t>
  </si>
  <si>
    <t>За отчетный период 894 из 971 впервые выявленных с ВИЧ инфекцией начали АРТ, что составило 92%, из них 122 принадлежат к ключевым группам населения, 361 женщин (40,38%) и 533 мужчины (59,62%). АРВ-терапия начата в течение 30 дней после постановки диагноза, процент достижения составил 102% в 2022 году, тогда как в 2021 году было 98%.</t>
  </si>
  <si>
    <t xml:space="preserve">На 31 декабря 2022 года получали АРВ-препараты 5771 ЛЖВ – 5199 взрослых (женщин – 2394, мужчин – 2805) и 572 детей (женщин – 233, мужчин – 339). Последние доступные данные о знаменателе  составляют 10041 по данным ЮНЭЙДС/SPECTRUM.Целевой показатель составлял 81,33%, выполнено 57,47%, так процент достижения составил 71%, что на 5% меньше, чем в 2021 году.                                                                                                                                                                                         				</t>
  </si>
  <si>
    <t>Показатели</t>
  </si>
  <si>
    <t>0% - 59%</t>
  </si>
  <si>
    <t>60% - 89%</t>
  </si>
  <si>
    <t>&gt; 90%</t>
  </si>
  <si>
    <t>Замечания</t>
  </si>
  <si>
    <t>min</t>
  </si>
  <si>
    <t>69,52%</t>
  </si>
  <si>
    <t>Число клиентов-ЛУИН, получивших минимальный пакет хотя бы один раз в течение 12 месяцев, включая клиентов в тюрьмах (1251), составило 17379, в том числе 2539 женщин, процент достижения на 2022 год составляет 97%, примерно как и в предыдущий отчетный период (98%). Программа охватывает в основном ЛУИН старше 25 лет (97,88%). Согласно отчетам суб-получателям, роздано 2 437 114 шприцев и 624 759 презервативов. В среднем каждый ЛУИН за отчетный период получил 140 шприцев и 35 презервативов.</t>
  </si>
  <si>
    <t>max</t>
  </si>
  <si>
    <t>90,00%</t>
  </si>
  <si>
    <t>За 2022 год 894 из 971 впервые выявленных с ВИЧ инфекцией начали АРТ, что составило 92%, из них 122 принадлежат к ключевым группам населения, 361 женщин (40,38%) и 533 мужчины (59,62%). АРВ-терапия начата в течение 30 дней после постановки диагноза, процент достижения составил 102% в 2022 году, тогда как в 2021 году было 98%.</t>
  </si>
  <si>
    <t>Rating</t>
  </si>
  <si>
    <t>81,33%</t>
  </si>
  <si>
    <t>57,47%</t>
  </si>
  <si>
    <t>На 31 декабря 2022 года получали АРВ-препараты 5771 ЛЖВ – 5199 взрослых (женщин – 2394, мужчин – 2805) и 572 детей (женщин – 233, мужчин – 339).  Совместно с РЦВГиВИЧ, областными центрами СПИД и НПО меры по увеличению числа ЛЖВ на АРВ-терапии включали: (1) корректировку методов лечения для обеспечения безопасного и непрерывного приема АРВ-препаратов - распределение АРВ-препаратов на более длительный срок (3-6 -12 месяцев), доставка АРВ-препаратов на дом при поддержке мультидисциплинарных команд (в рамках деятельности СПИД-центра) и мобильных бригад (в рамках деятельности НПО); (2) оказание социальной поддержки ВИЧ-позитивным детям; (3) перевод большинства пациентов на новую схему лечения на основе DTG (включая детей); (4) поддержка 2-х центров ЛЖВ для обеспечения адаптации ЛЖВ к АРТ (5) поддержка услуг профессионального психолога для консультирования и психосоциальной поддержки врачей, оказывающих услуги ЛЖВ и самих ЛЖВ, а также проведние тренингов для медицинских работников по профилактике синдрома эмоционального выгорания; (6) привлечение двух дополнительных специалистов по экспресс-тестированию (северный и южный регионы) для проведения мониторинга и обеспечения наставничества по проведению экспресс-тестирования на ВИЧ в организациях здравоохранения, куда поступают пациенты с клиническими симптомами ВИЧ. (7) укрепление лабораторной системы на ВИЧ по результатам оценки ВОК через курс менеджмента качества, направленный на повышение качества тестирования на ВИЧ в ЛПУ, проведено 2 цикла тренингов для сотрудников лабораторий; нанят инженер по ремонту и паспортизации лабораторного и нелабораторного оборудования. (8) проведен летний лагерь для ВИЧ-положительных детей и подростков с целью социализации и адаптации к жизни с ВИЧ.
Несмотря на все вышеперечисленные предпринятые меры, процент достижения составил  71% (в прошлом году было 76%).
В 2023 году ОР продолжит реализацию мероприятий (в том числе из Плана по улучшению достижения программных показателей), направленных на привлечение ЛЖВ к началу АРТ и усиление приверженности.</t>
  </si>
  <si>
    <t>75,00%</t>
  </si>
  <si>
    <t>54,2%</t>
  </si>
  <si>
    <t xml:space="preserve">Программа ОЗТ продолжала реализовываться РЦПН как в гражданском секторе, так и в пенитенциарной системе. На терапии по состоянию на 31 декабря 2022 г. (включая СИН) находились 787 ЛУИН, 668 на терапии более 6 мес., 131 вошли в программу ОЗТ, и 71 из них находились на терапии в течение 6 месяцев после даты включения, и коэффициент удржания составляет 54,2%, в то время как в 2021 году он составлял 53,25%.                                                                                                                                                                                                                               За отчетный период ОР предпринял следующие действия: (1) дальнейшая адвокация отмены официальной наркологической регистрации клиентов ОЗТ;  (2) изменение стратегии мотивации персонала ОЗТ для 6-месячного соблюдения режима ОЗТ и введение мотивационной выплаты для сотрудников НПО за направление новых клиентов в программу ОЗТ; (3) участие в пересмотре действующих руководств по ОЗТ с целью включения дополнительных вариантов лечения (например, бупренорфин, одобренный Минздравом в декабре 2022 г.); (4)  обеспечение 5-дневной выдачи метадона и включения ранжированной шкалы для 2-5-дневной выдачи метадона (текущее требование 6-месячное участие в программе ОЗТ для получения права на 5-дневную выдачу метадона). Этот процесс будет продолжен в 2023 г. В 2023 году PR продолжит работу над улучшением коэффициента удержания и повышением мотивации медицинского персонала для повышения привлекательности программы для клиентов и т.д.
</t>
  </si>
  <si>
    <t>70,63%</t>
  </si>
  <si>
    <t>74,68%</t>
  </si>
  <si>
    <t>За отчетный период 4422 заключенных (М-4234/Ж-188) прошли тестирование на ВИЧ и знали свои результаты. Среди протестированных 33 (&lt;1%) оказались ВИЧ+. По состоянию на 31 декабря 2022 года общее количество заключенных по данным ГСИН составило 6 193 человека. Процент выполнения на 2022 год составляет 106% по сравнению со 100% в 2021 году.</t>
  </si>
  <si>
    <t>77,43%</t>
  </si>
  <si>
    <t>65,11%</t>
  </si>
  <si>
    <t xml:space="preserve">В отчетном периоде 4 625 секс-работников были охвачены минимальным пакетом услуг, из них 18 СР идентифицировали себя как трансгендерные люди. Таким образом, это составило 65,11% от оценочного количества СР при целевом показателе 77,43%.
В дополнение к существующим профилактическим услугам с октября 2021 года внедрены услуги по ИППП для СР, в том числе доступны услуги врача-дерматовенеролога, частной лаборатории для бесплатного тестирования СР на сифилис, гонорею, трихомониаз; препараты для лечения этих заболеваний были закуплены PR. В течение 2022 года 1043 СР прошли лабораторное обследование на ИППП и 387 СР прошли лечение от ИППП.
Согласно отчетам СР было роздано 964 823 презервативов. В среднем каждая СР за отчетный период получила по 209 презервативов.
</t>
  </si>
  <si>
    <t>76,92%</t>
  </si>
  <si>
    <t>85,59%</t>
  </si>
  <si>
    <t xml:space="preserve">Процент обеспечения МСМ минимальным пакетом услуг составил 111%, что на 10% выше достижения за предыдущий год. Так охват МСМ минимальным пакетом услуг составил 14 464 (70 идентифицировали себя как ТГ, 26,82% составляют МСМ в возрасте до 25 лет). Помимо минимального пакета услуг клиенты НПО получили  услуги тестирования, помощь в получении социальных услуг, юридических услуг и документирования случаев нарушения прав человека в рамках проекта «Уличные юристы» и т.д.). и взаимопомощь, мини-сеансы по потребности клиентов и т. д.) непосредственно в организации и по направлению к другим поставщикам (направление в центры СПИД, на тестирование на ТБ/вирусные гепатиты В и С, доступ к услугам на дому и т. д.), если нужный. Около 80% клиентов успешно получили услуги по перенаправлению. В дополнение к существующим услугам профилактики с октября 2021 г. внедрены услуги по диагностике, лучению ИППП. В течение 2022 года 245 МСМ прошли лабораторное тестирование на ИППП и 152 МСМ прошли курс лечения от ИППП.
Согласно отчетам СР, всего среди МСМ было роздано 265 371 презервативов, таким образом, каждый МСМ в среднем за отчетный период получил 18 презервативов.
</t>
  </si>
  <si>
    <t>63,04%</t>
  </si>
  <si>
    <t>64,41%</t>
  </si>
  <si>
    <t>Количество ЛУИН, прошедших тестирование на ВИЧ и знающих свой результат, составляет 16102 ЛУИН, целевой показатель достигнут на 102%.  Все протестированнные ЛУИН (100%) прошли тестирование методом экспресс-тестирования. 
Количество положительных результатов теста на ВИЧ составило в отчетном периоде –9 человек (1 из ОФ «РАНС Плюс» и 8 из СИН (1 клиент программы ПТМ и 7 клиенты ПОШ).</t>
  </si>
  <si>
    <t>63,35%</t>
  </si>
  <si>
    <t>54,10%</t>
  </si>
  <si>
    <t xml:space="preserve">В отчетном периоде 3 843, включая 10  ТГ/СР прошли тестирование на ВИЧ, что составило 54,10% от оценочного числа СР при целевом показателе 63,35%. Процент достижения составил 85%.  
Все протестированные СР прошли тестирование методом экспресс-тестирования. 
11 СР были выявлены с предварительно-положительным результатом на ВИЧ по экспресс тестированию по слюне и в рамках БПИ, результаты были подтверждены в центре СПИД.   
</t>
  </si>
  <si>
    <t>60,99%</t>
  </si>
  <si>
    <t xml:space="preserve">В отчетном периоде 10 308 МСМ прошли тестирование на ВИЧ (71% от клиентов, охваченных МПУ). Так показатель составил 61%, при целевом показателе 60%, процент достижения составил 102%. Все протестированные МСМ прошли тестирование методом экспресс-тестирования, выявлено 17 случаев ВИЧ-инфекции среди МСМ с предварительным положительным результатом экспресс-тестирования на ВИЧ, затем результаты были подтверждены в центрах СПИД. </t>
  </si>
  <si>
    <t>В отчетном периоде 147 МСМ, подходящие по критерям включения, начали доконтактную профилактику (ДКП), при цели 150 МСМ в год, соотвественно процент достижения составил 98%.  Среди тех, кто начал ДКП, 57 (39%) принимали ДКП на постоянной основе, и 90 (61%) принимали ситуативное ДКП, тогда как по сравнению с 2021 годом только 33 МСМ получали ДКП (22%) .
Для продвижения ДКП среди МСМ/ТГ группа PR продолжила сотрудничество с ЭКОМ и провела ряд тренингов по ДКП и химсексу для медперсонала Центров СПИД и сотрудников НПО в Бишкеке и Оше, организовала ознакомительную поездку в Алматы (Казахстан) для двух врачей из Бишкекский и Ошский центры СПИД и 8 сотрудников 3х НПО. В ходе ознакомительного тура участники получили дополнительные знания и узнали о лучших практиках предоставления ДКП в Алматинском Центре СПИД и в НПО. PR также ввел предоставление ДКП для МСМ/ТГ в общественных организациях. С ноября 2022 года врачи Центра СПИД работают один день в неделю в НПО по консультированию, тестированию на ВИЧ и обеспечению препаратами ДКП для МСМ/ТГ. Все перечисленные мероприятия способствовали достижению показателя.</t>
  </si>
  <si>
    <t>95,00%</t>
  </si>
  <si>
    <t>96,5%</t>
  </si>
  <si>
    <t>139 из 144 новых и с рецидивирующим туберкулезом ВИЧ-положительных больных туберкулезом получали АРТ во время лечения туберкулеза. Процент ВИЧ-позитивных пациентов с новым и рецидивным туберкулезом, получающих АРТ во время лечения туберкулеза составил 102%., тогда как в 2021 году был 101%.</t>
  </si>
  <si>
    <t>Программные показатели по ТБ</t>
  </si>
  <si>
    <t xml:space="preserve">MDR TB-3: Количество случаев с РУ/МЛУ ТБ, начавших лечение препаратами второго ряда	</t>
  </si>
  <si>
    <t xml:space="preserve">MDR TB-7: Процент подтвержденных МЛУ-ТБ случаев, протестированных на чувствительность к фторхинолонам и инъекционным препаратам второго ряда	</t>
  </si>
  <si>
    <t xml:space="preserve"> Основными причинами, по которым индикатор не достигнут, являются неаккуратность переноса данных в регистрационные формы и % ошибок при проведении GenExpert выше нормального показателя. </t>
  </si>
  <si>
    <t xml:space="preserve">Снижение в выявлении РУ/МЛУ случаев, в первую очередь, связано с общей тенденцией в снижении выявления случаев ТБ: по сравнению с доковидным периодом, кол-во зарегистрированных РУ/МЛУ ТБ случаев снизилось на 30%. Основной причиной по-прежнему остается влияние пандемии как на работу системы здравоохранения, так и на установки и практики людей в отношении профилактики и обращения за медицинской помощью. </t>
  </si>
  <si>
    <t xml:space="preserve"> Ключевыми факторами, внесшими вклад в достижение этого индикатора, являются улучшение системы передачи  лабораторных данных и функционирование системы транпортировки мокроты. </t>
  </si>
  <si>
    <t>Замечания и комментарии</t>
  </si>
  <si>
    <t xml:space="preserve">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		</t>
  </si>
  <si>
    <t xml:space="preserve">3129 случаев бактериологически подтвержденного туберкулеза было зарегистрировано в течение отчетного периода, 2975 из них имеют результат ТЛЧ к препаратам второго ряда, включая ГенЭксперт (95%). В предыдущий отчетный период этот показатель составил 94%. В течение отчетного периода Проект ГФ ПРООН продолжал продвигать активности, направленные на поддержку диагностического алгоритма:   систему транспортировки, мониторинг состояния и рабочей нагрузки ГенЭкспертов, поддержку областных координаторов по системе транспортировки. </t>
  </si>
  <si>
    <t xml:space="preserve">В течение отчетного периода 961 РУ/МЛУ ТБ случаев было зарегистрировано, включая 858 лабораторно подтвержденных РУ/МЛУ ТБ случаев. Цель была достигнута лишь на 47%. 15 РУ/МЛУ случаев было зарегистрировано в пенитенциарной системе, и 843 – в гражданском секторе. Количество РУ/МЛУ/ШЛУ случаев снизилось на 30% в 2020 году по сравнению с пре-пандемийным периодом и продолжает снижаться: 914 в 2021, 1108 в 2020 и 1440 в 2019.  
Снижение выявления случаев РУ-ТБ отражает в целом тенденцию в уменьшении выявления случаев ТБ, что связано с ослаблением системы здравоохранения, особенно ПМСП, все большее снижение настороженности со стороны системы здравоохранения в отношении ТБ (в т.ч. отсутствие системы активного выявления случаев, недостаточное обследование контактов). Для улучшения достижения этого показателя, НЦФ, по рекомендации ГФ и при поддержки ПРООН, разработали план по улучшению достижения индикаторов ГФ и страновых индикаторов, который включает 26 мероприятий, в т.ч. расширение активного выявления случаев, обследование контактных, улучшение доступа и качества к консультированию по ТБ на уроне первичного звена, и другие активности.  План внедряется с октября 2022 года.   </t>
  </si>
  <si>
    <t xml:space="preserve">Выполнение этого индикатора полностью зависит от числа зарегистрированных РУ/МЛУ случаев (предыдущий индикатор): 961 РУ/МЛУ случай был зарегистрирован, 904 из них взяты на лечение (94%). Из 904 случаев, взятых на лечение, 804 – бактериологически подверженные случаи, и 100 – клинически диагностированные: люди из контактов, дети и ранее леченые случаи.  Доля клинических случаев выросла в данном отчетном периоде по сравнению с предыдущими годами: 3% в 2019 году, 4.5% в 2020, 7.4% - в 2021, хотя охват ТЛЧ к препаратам второго ряда постоянно улучшается (см.индикатор MDR TB-7.1).; причины этой ситуации будут изучены в 2023 году. 
По сравнению с предыдущим отчетным периодом, число взятых на лечение РУ/МЛУ ТБ случаев снизилось: 934 в 2021; 986 в 2020, and 1376 в 2019. </t>
  </si>
  <si>
    <t xml:space="preserve">В отчетном периоде 744 из 858 лабораторно подтвержденных случаев РЦ/МЛУ ТБ были протестированы на чувствительность к препаратам второго ряда (87%). 15% (114 случаев), протестированных на ТЛЧ к ПВР, имели устойчивость к фторхинолонам (пре-ШЛУ ТБ), и 4% (31) имеют устойчивость к новым и перепрофилированным препаратам (ШЛУ). Факторы, которые вносят вклад в достижение этого индикатора: (1) функционирующая по всей стране система транспортировки патологического материала, (2) лабораторная информационная система связана с электронной картой ТБ01, что позволяет получать результаты ТЛЧ  в режиме реального времени, (3) Областные ЛУ-Координаторы и координаторы по системе транспортировки  мониторят внедрение диагностического алгоритма. </t>
  </si>
  <si>
    <t xml:space="preserve">Согласно национальным процедурам МиО, этот индикатор включает все ТБ случаи, которые начали лечение и провели в стационаре менее 30 дней в течение интенсивной фазы. Индикатор оценивается после трех месяцев лечения. В отчетном периоде 5148 ТБ случаев было зарегистрировано в гражданском секторе, 5116 из них начали лечение, 886 из них находились на исключительно амбулаторном лечении согласно определению (17.3%). Процесс продвижения лечения на амбулаторном уровне был заморожен в 2020 году, и снова активизирован в 2021.  В конце 2021 -начале 2022 года 5 ТБ стационаров в Ошской, Джалал-Абадской и Талаской областях были перепрофилированы для общей системы здравоохранения, что привело к сокращению 450 коек; общее количество ТБ стационаров соответствует числу, определенному в Дорожной Карте. Но снижение ТБ коек не привело к сокращению интенсивности и длительности госпитализаций ТБ пациентов. Для преодоления барьеров, препятствующих переходу к модели амбулаторного лечения, НЦФ по рекомендации ГФ и при поддержке ПРООН, разработал национальный план расширения исключительно амбулаторного лечения; план реализуется с октября 2022 года.   </t>
  </si>
  <si>
    <t>завершено</t>
  </si>
  <si>
    <t>начато</t>
  </si>
  <si>
    <t xml:space="preserve">Изменение системы управления МЗ КР и смена директора НЦФ привели к задержкам в решении вопроса южной лаборатории.  Потребовалось время на дополнительное разъяснение. В июле 2022 года ОР снова поднял вопрос о необходимости формального одобрения строительства Ошской лаборатории и получил комментарии представителя МЗ о том, что официального одобрения не требуется. СКК снова проголосовал за это мероприятие.  
В октябре 2022 года GIZ подписал контракт с лабораторией Гаутинга (Gouting Laboratory, Germany) для продвижения технической поддержки в оценки потребностей Ошской лаборатории и разработке технических спецификаций. В ноябре 2022 года была проведена экспертная миссия (состоящая из экспертов Гаутинга, инженера и персонала основного реципиента) в Ошскую лабораторию.   В декабре 2022 года была разработана проектная спецификация дополнительных модульных лабораторных помещений, а также потребности в переоборудовании существующей лаборатории и оборудования. Детали предлагаемых решений были дополнительно обсуждены и согласованы между Гаутингом, НТП, Ошским областным противотуберкулезным центром, PR и GIZ. В начале февраля Гаутинг предоставил окончательные спецификации для лабораторных модулей и оборудования, и они были переданы в Отдел глобальных закупок ПРООН. Спецификации были немедленно переданы держателям LTA, и представление предложений ожидается 23 марта. Тем временем ОР работает над привлечением инженера-строителя, который должен подготовить тендерную спецификацию для строительной компании, которая выполнит ремонт существующих лабораторных помещений. Проводятся регулярные еженедельные встречи по прогрессу с участием Гаутинг, Основного реципиента, ПРООН и GIZ. </t>
  </si>
  <si>
    <t>Показатели по управлению</t>
  </si>
  <si>
    <t xml:space="preserve">По обоим компонентам предварительных условий (ПУ) нет </t>
  </si>
  <si>
    <t>По ВИЧ\ТБ  гранту всего 24  штатные позиции, из них 5 - по компоненту ВИЧ,  2 - по компоненту ТБ.,  оставшиеся  17   относятся к обоим компонентам,  все штатные позиции были заполнены</t>
  </si>
  <si>
    <t xml:space="preserve">По компоненту ВИЧ -  реализацию программы осуществлял всего 22 Суб-получателя в рамках 35 СП-Соглашений, по всем Соглашениям СП получали финансирование. 
По компоненту ТБ -   реализацию программы осуществляло всего 5 Суб-получателей в рамках 7 СП-Соглашений, по всем Соглашениям СП получали финансирование. </t>
  </si>
  <si>
    <t>Комментарии по ВИЧ:</t>
  </si>
  <si>
    <t>По компоненту ВИЧ -  35 из 35 ожидаемых программных отчетов СП были получены своевременно,  они  были проверены, доработаны СП и приняты в установленные сроки.
По компоненту   ТБ - 7 из 7 ожидаемых программных отчетов СП были получены своевременно,  они  были проверены, доработаны СП и приняты в установленные сроки.</t>
  </si>
  <si>
    <t>Медикаменты и ИМН закуплены согласно потребности на 2020 год. В расчетах потребности учтены текущий запас, ожидаемые поставки и наличие бюджета</t>
  </si>
  <si>
    <t>Комментарии по ТБ:</t>
  </si>
  <si>
    <t>Запас  имеющихся  ПТП для лечения ЛУ-ТБ в основном составляют от 5 до 21 месяцев, за исключением претоманида, запас, которого - 2 месяца и двух препаратов (Н300, Е400), используемых  в малых количествах, при необходимой потребности в единичных случаях, будут использоваться с запасов ПТП, закупленных для лечения ЛЧ-ТБ за счет гос. средств. Инъекционные ПТП (Cm, Km, Am)  и препараты группы "С" - Pto, PAS  выбыли из схем лечения. Ситуация по претоманиду сложилась в связи с резким перерасходом препарата из-за того, что НТП на основании быстрых коммуникаций ВОЗ (май 2022) о программном внедрении BPal и BPalM режима расширил набор на данные режимы вне планируемого количества, которое отслеживается ежемесячно, в этой связи ПРООН/ГФ официально обратился в НЦФ на принятие срочных мер, как (I) определение  количества пациентов на BPal режим к ежемесячному набору и серьезный контроль за набором согласно плану/прогнозируемое количество ожидаемых случаев. (II) в случае решения НЦФ о   программном внедрении BPal режима, критически важно в первую очередь (1) обновление Национального клинического протокола; (2) осуществить закупку и доставку претоманида в страну. (III) разработка плана перехода на краткосрочные режимы лечения (согласно срочной коммуникации ВОЗ, май 2022) с учетом имеющихся запасов ПТП и осуществления нового заказа и контроль его выполнения. Своевременное уменьшение набора пациентов на BPal режим не привело к перерывам лечения у пациентов, находящихся на лечении. Осуществлен срочный заказ. В больших запасах имеются линезолид (21 мес), моксифлоксацин (19 мес), левофлоксацин (20 мес)  однако, остаточные сроки годности (ОСГ) приемлемы, т.е запас не превышает ОСГ, риска истечения нет. Остаток GX картриджей составляет 9 месяцев, сроки годности приемлемы, рисков по истечению срока годности нет. Уничтожены протионамид, ПАСК в соответствии законодательства КР.Количество утилизированных ПТП:Протоинамид 250 мг – 3 407 уп и россыпью 166 таб; ПАСК 4г – 66 уп и 36 пак. На общую сумму: 30 140,89 долларов США</t>
  </si>
  <si>
    <t>Запасы антиретровирусных препаратов (АРВП) и тестов отслеживаются, у товаров с критически низкими уровнями запасов поставки либо уже осуществлены, либо планируются в ближайшее время. Принимая во внимание изменение клинического протокола на основании последних рекомендации ВОЗ, преобладают схемы на основе Долутегравира (DTG) (в основном на TLD), использование схем с монопрепаратами (отдельными) постепенно их пропорция будет снижается. У препаратов с запасом свыше 10 месяцев срок годности приемлемый и они будут использован до истечения срока годности. АРВ препараты закупаются и за счет бюджетных средств (FDC (TLD), FDC (TDF/FTC) 300/200 mg, DTG 50 mg, FDC (TDF/FTC/EFV). Согласно рекомендациям ВОЗ, страна постепенно использует имеющиеся запасы LPV/r (как для взрослых, так и для детей) и далее превалирующими схемами у детей становятся схемы на основе DTG в детской дозировке и RAL. Необходимо принять во внимание что АРТ выдаётся стабильным пациентам на период от 3-12 мес. (то есть АРТ на руках у пациентов имеются и это нужно принять во внимание при оценке запасов АРВП). ЭТ поставлены в марте 2023 г., и проходят оценку диагностической эффективности для диагностики ВИЧ по околодесневой жидкости «OraQuick» HlV ½.</t>
  </si>
  <si>
    <t>Лекарственные средства и продукты медицинского назначения</t>
  </si>
  <si>
    <t>Уровень запасов, выраженный в месяцах лечения для всех имеющихся пациентов</t>
  </si>
  <si>
    <t xml:space="preserve">Уровень резервных запасов в месяцах </t>
  </si>
  <si>
    <t>Разница между имеющимся и безопасным уровнем запасов</t>
  </si>
  <si>
    <t>ВИЧ</t>
  </si>
  <si>
    <t>FDC (ABC/DTG/3TC (600/50/300)</t>
  </si>
  <si>
    <t>ATV 300mg</t>
  </si>
  <si>
    <t>Метадон</t>
  </si>
  <si>
    <t>Картриджи (Вирусная нагрузка)</t>
  </si>
  <si>
    <t>Экспресс тестирование (по околодесновой жидкости)</t>
  </si>
  <si>
    <t>Genexpert картриджи</t>
  </si>
  <si>
    <t>Решения и действия</t>
  </si>
  <si>
    <t>Какой общий статус реализации этого гранта?</t>
  </si>
  <si>
    <t>Основные рекомендации Комитета по надзору</t>
  </si>
  <si>
    <t>Решение СКК</t>
  </si>
  <si>
    <t>Срок</t>
  </si>
  <si>
    <t>Ответственное лицо</t>
  </si>
  <si>
    <t>Запланированные действия/Предыдущий период</t>
  </si>
  <si>
    <t>Каково общее состояние действий, осуществленных за предыдущий период?</t>
  </si>
  <si>
    <t>Предпринятые действия</t>
  </si>
  <si>
    <t>Дата</t>
  </si>
  <si>
    <t>Предыдущий отчетный период</t>
  </si>
  <si>
    <t>Рекомендации</t>
  </si>
  <si>
    <t>Осваиваются ли все средства и расходуются ли они согласно бюджету?</t>
  </si>
  <si>
    <t>Заключительные комментарии</t>
  </si>
  <si>
    <t>F1</t>
  </si>
  <si>
    <t>F2</t>
  </si>
  <si>
    <t>F3</t>
  </si>
  <si>
    <t>F4</t>
  </si>
  <si>
    <t>Осуществляются ли закупки и набор персонала согласно графику?</t>
  </si>
  <si>
    <t>M1</t>
  </si>
  <si>
    <t>M2</t>
  </si>
  <si>
    <t>M3</t>
  </si>
  <si>
    <t>M4</t>
  </si>
  <si>
    <t>M5</t>
  </si>
  <si>
    <t>M6</t>
  </si>
  <si>
    <t>Достигаются ли технические целевые показатели?</t>
  </si>
  <si>
    <t>Программа</t>
  </si>
  <si>
    <t>P1 - тенденция</t>
  </si>
  <si>
    <t>P2 - тенденция</t>
  </si>
  <si>
    <t>P3 - тенденция</t>
  </si>
  <si>
    <t>Set-up = List of validation for Grant Detail page</t>
  </si>
  <si>
    <t>Component</t>
  </si>
  <si>
    <t>Currency</t>
  </si>
  <si>
    <t>Round</t>
  </si>
  <si>
    <t>Phase</t>
  </si>
  <si>
    <t>Period</t>
  </si>
  <si>
    <t>LFA</t>
  </si>
  <si>
    <t>Medicaments</t>
  </si>
  <si>
    <t>Countries</t>
  </si>
  <si>
    <t>ВИЧ / СПИД</t>
  </si>
  <si>
    <t>Раунд 1</t>
  </si>
  <si>
    <t>Фаза 1</t>
  </si>
  <si>
    <t>A1</t>
  </si>
  <si>
    <t>CA (Crown Agents)</t>
  </si>
  <si>
    <t>Изониазид</t>
  </si>
  <si>
    <t>Афганистан</t>
  </si>
  <si>
    <t>МАЛЯРИЯ</t>
  </si>
  <si>
    <t>€</t>
  </si>
  <si>
    <t>Раунд 2</t>
  </si>
  <si>
    <t>Фаза 2</t>
  </si>
  <si>
    <t>A2</t>
  </si>
  <si>
    <t>DEL (Deloitte)</t>
  </si>
  <si>
    <t>Этамбутол</t>
  </si>
  <si>
    <t>Албания</t>
  </si>
  <si>
    <t>Раунд 3</t>
  </si>
  <si>
    <t>RCC</t>
  </si>
  <si>
    <t>B1</t>
  </si>
  <si>
    <t>DTT (DTT Emerging Markets)</t>
  </si>
  <si>
    <t>Рифампицин</t>
  </si>
  <si>
    <t>Алжир</t>
  </si>
  <si>
    <t>Раунд 4</t>
  </si>
  <si>
    <t>B2</t>
  </si>
  <si>
    <t>FIN (Finconsult)</t>
  </si>
  <si>
    <t>Пиразинамид</t>
  </si>
  <si>
    <t>Ангола</t>
  </si>
  <si>
    <t>УСЗ</t>
  </si>
  <si>
    <t>Раунд 5</t>
  </si>
  <si>
    <t>C</t>
  </si>
  <si>
    <t>GT (Grant Thornton)</t>
  </si>
  <si>
    <t>RDT</t>
  </si>
  <si>
    <t>Аргентина</t>
  </si>
  <si>
    <t>Раунд 6</t>
  </si>
  <si>
    <t>H-C (Hodar-Conseil)</t>
  </si>
  <si>
    <t>NVP</t>
  </si>
  <si>
    <t>Армения</t>
  </si>
  <si>
    <t>Раунд 7</t>
  </si>
  <si>
    <t>KPMG (KPMG)</t>
  </si>
  <si>
    <t>3TC</t>
  </si>
  <si>
    <t>Азербайджан</t>
  </si>
  <si>
    <t>Раунд 8</t>
  </si>
  <si>
    <t>MSCI (MSCI)</t>
  </si>
  <si>
    <t>D4T</t>
  </si>
  <si>
    <t>Бангладеш</t>
  </si>
  <si>
    <t>Раунд 9</t>
  </si>
  <si>
    <t>PwC (PricewaterhouseCoopers)</t>
  </si>
  <si>
    <t>AZT</t>
  </si>
  <si>
    <t>Беларусь</t>
  </si>
  <si>
    <t>Раунд 10</t>
  </si>
  <si>
    <t xml:space="preserve">STI (Swiss Tropical Institute), </t>
  </si>
  <si>
    <t>DDI</t>
  </si>
  <si>
    <t>Белиз</t>
  </si>
  <si>
    <t>EFV</t>
  </si>
  <si>
    <t>Бенин</t>
  </si>
  <si>
    <t>AS/LF</t>
  </si>
  <si>
    <t>Бутан</t>
  </si>
  <si>
    <t>AS/AQ</t>
  </si>
  <si>
    <t>Боливия</t>
  </si>
  <si>
    <t>AS/MQ</t>
  </si>
  <si>
    <t>Босния и Герцеговина</t>
  </si>
  <si>
    <t>Al/Lum</t>
  </si>
  <si>
    <t>Ботсвана</t>
  </si>
  <si>
    <t>Бразилия</t>
  </si>
  <si>
    <t>Пищевые добавки для ТБ</t>
  </si>
  <si>
    <t>Болгария</t>
  </si>
  <si>
    <t>E-PAP</t>
  </si>
  <si>
    <t>Буркина Фасо</t>
  </si>
  <si>
    <t>ZDV/3TC/NVP</t>
  </si>
  <si>
    <t>Бурунди</t>
  </si>
  <si>
    <t>ZDV/3TC</t>
  </si>
  <si>
    <t>Камбоджа</t>
  </si>
  <si>
    <t>Камерун</t>
  </si>
  <si>
    <t>Кабо-Верде</t>
  </si>
  <si>
    <t>Центрально-Африканская Республика</t>
  </si>
  <si>
    <t>Чад</t>
  </si>
  <si>
    <t>Чили</t>
  </si>
  <si>
    <t>Китай</t>
  </si>
  <si>
    <t>Колумбия</t>
  </si>
  <si>
    <t>Коморы</t>
  </si>
  <si>
    <t>Конго (Демократическая Республика)</t>
  </si>
  <si>
    <t>Конго (Республика)</t>
  </si>
  <si>
    <t>Коста Рика</t>
  </si>
  <si>
    <t>Кот-д'Ивуар</t>
  </si>
  <si>
    <t>Хорватия</t>
  </si>
  <si>
    <t>Куба</t>
  </si>
  <si>
    <t>Джибути</t>
  </si>
  <si>
    <t>Доминиканская Республика</t>
  </si>
  <si>
    <t>Эквадор</t>
  </si>
  <si>
    <t>Египет</t>
  </si>
  <si>
    <t>Сальвадор</t>
  </si>
  <si>
    <t>Экваториальная Гвинея</t>
  </si>
  <si>
    <t>Эритрея</t>
  </si>
  <si>
    <t>Эстония</t>
  </si>
  <si>
    <t>Эфиопия</t>
  </si>
  <si>
    <t>Фиджи</t>
  </si>
  <si>
    <t>Габон</t>
  </si>
  <si>
    <t>Гамбия</t>
  </si>
  <si>
    <t>Грузия</t>
  </si>
  <si>
    <t>Гана</t>
  </si>
  <si>
    <t>Глобальный (LWF)</t>
  </si>
  <si>
    <t>Гватемала</t>
  </si>
  <si>
    <t>Гвинея</t>
  </si>
  <si>
    <t>Гвинея-Бисау</t>
  </si>
  <si>
    <t>Гайана</t>
  </si>
  <si>
    <t>Гаити</t>
  </si>
  <si>
    <t>Гондурас</t>
  </si>
  <si>
    <t>Индия</t>
  </si>
  <si>
    <t>Индонезия</t>
  </si>
  <si>
    <t>Иран (Исламская Республика)</t>
  </si>
  <si>
    <t>Ирак</t>
  </si>
  <si>
    <t>Ямайка</t>
  </si>
  <si>
    <t>Иордания</t>
  </si>
  <si>
    <t>Казахстан</t>
  </si>
  <si>
    <t>Кения</t>
  </si>
  <si>
    <t>Корея (Народно-Демократическая Республика)</t>
  </si>
  <si>
    <t>Косово (Сербия)</t>
  </si>
  <si>
    <t>Лаос</t>
  </si>
  <si>
    <t>Лесото</t>
  </si>
  <si>
    <t>Либерия</t>
  </si>
  <si>
    <t>Македония, БЮР</t>
  </si>
  <si>
    <t>Мадагаскар</t>
  </si>
  <si>
    <t>Малави</t>
  </si>
  <si>
    <t>Мальдивы</t>
  </si>
  <si>
    <t>Мали</t>
  </si>
  <si>
    <t>Мавритания</t>
  </si>
  <si>
    <t>Маврикий</t>
  </si>
  <si>
    <t>Молдова</t>
  </si>
  <si>
    <t>Монголия</t>
  </si>
  <si>
    <t>Черногория</t>
  </si>
  <si>
    <t>Марокко</t>
  </si>
  <si>
    <t>Мозамбик</t>
  </si>
  <si>
    <t>Несколько стран Африки (Программа Западно-Африканский Корридор)</t>
  </si>
  <si>
    <t>Несколько стран Африки (RMCC)</t>
  </si>
  <si>
    <t>Несколько стран Америки (Анды)</t>
  </si>
  <si>
    <t>Несколько стран Америки (CARICOM)</t>
  </si>
  <si>
    <t>Несколько стран Америки (CRN+)</t>
  </si>
  <si>
    <t>Несколько стран Америки (Meso)</t>
  </si>
  <si>
    <t>Несколько стран Америки (OECS)</t>
  </si>
  <si>
    <t>Несколько стран Америки (REDCA+)</t>
  </si>
  <si>
    <t>Несколько стран Западно-Тихоокеанского региона</t>
  </si>
  <si>
    <t>Мьянма</t>
  </si>
  <si>
    <t>Намибия</t>
  </si>
  <si>
    <t>Непал</t>
  </si>
  <si>
    <t>Никарагуа</t>
  </si>
  <si>
    <t>Нигер</t>
  </si>
  <si>
    <t>Нигерия</t>
  </si>
  <si>
    <t>Пакистан</t>
  </si>
  <si>
    <t>Панама</t>
  </si>
  <si>
    <t>Папуа Новая Гвинея</t>
  </si>
  <si>
    <t>Парагвай</t>
  </si>
  <si>
    <t>Перу</t>
  </si>
  <si>
    <t>Филиппины</t>
  </si>
  <si>
    <t>Румыния</t>
  </si>
  <si>
    <t>Российская Федерация</t>
  </si>
  <si>
    <t>Руанда</t>
  </si>
  <si>
    <t>Сан-Томе и Принсипи</t>
  </si>
  <si>
    <t>Сенегал</t>
  </si>
  <si>
    <t>Сербия</t>
  </si>
  <si>
    <t>Сьерра-Леоне</t>
  </si>
  <si>
    <t>Соломоновы Острова</t>
  </si>
  <si>
    <t>Сомали</t>
  </si>
  <si>
    <t>Южная Африка</t>
  </si>
  <si>
    <t>Шри-Ланка</t>
  </si>
  <si>
    <t>Судан</t>
  </si>
  <si>
    <t>Суринам</t>
  </si>
  <si>
    <t>Свазиленд</t>
  </si>
  <si>
    <t>Сирийская Арабская Республика</t>
  </si>
  <si>
    <t>Таджикистан</t>
  </si>
  <si>
    <t>Танзания</t>
  </si>
  <si>
    <t>Таиланд</t>
  </si>
  <si>
    <t>Восточный Тимор</t>
  </si>
  <si>
    <t>Того</t>
  </si>
  <si>
    <t>Тунис</t>
  </si>
  <si>
    <t>Турция</t>
  </si>
  <si>
    <t>Уганда</t>
  </si>
  <si>
    <t>Украина</t>
  </si>
  <si>
    <t>Тематическая Группа ООН по ВИЧ (Западный Берег и Газа)</t>
  </si>
  <si>
    <t>Узбекистан</t>
  </si>
  <si>
    <t>Вьетнам</t>
  </si>
  <si>
    <t>Йемен</t>
  </si>
  <si>
    <t>Замбия</t>
  </si>
  <si>
    <t>Занзибар (Танзания)</t>
  </si>
  <si>
    <t>Зимбабве</t>
  </si>
  <si>
    <t>АРВ</t>
  </si>
  <si>
    <t>Анти-ретровирусные препараты</t>
  </si>
  <si>
    <t>Вирус Иммунодефицита Человека</t>
  </si>
  <si>
    <t>ГФ</t>
  </si>
  <si>
    <t>Глобальный Фонд для Борьбы со СПИДом, Туберкулезом и Малярией</t>
  </si>
  <si>
    <t>ДУС</t>
  </si>
  <si>
    <t>Действие с установленным сроком</t>
  </si>
  <si>
    <t>М и О</t>
  </si>
  <si>
    <t>Мониторинг и Оценка</t>
  </si>
  <si>
    <t>МАФ</t>
  </si>
  <si>
    <t>Местный Агент Фонда</t>
  </si>
  <si>
    <t>МВ</t>
  </si>
  <si>
    <t>Меморандум о взаимопонимании</t>
  </si>
  <si>
    <t>ПДПР/ПТ</t>
  </si>
  <si>
    <t>Последние Данные о Проделанной Работе/Платежное Требование</t>
  </si>
  <si>
    <t>ПР</t>
  </si>
  <si>
    <t>Принципиальный Реципиент</t>
  </si>
  <si>
    <t>ПУ</t>
  </si>
  <si>
    <t>Предварительное условие</t>
  </si>
  <si>
    <t>СКМ</t>
  </si>
  <si>
    <t>Страновой Координационный Механизм</t>
  </si>
  <si>
    <t>СР</t>
  </si>
  <si>
    <t>Суб-реципиент</t>
  </si>
  <si>
    <t>ССР</t>
  </si>
  <si>
    <t>Суб-суб-реципиент</t>
  </si>
  <si>
    <t>УЗС</t>
  </si>
  <si>
    <t>Управление Закупками и Снабжением</t>
  </si>
  <si>
    <t>УФО</t>
  </si>
  <si>
    <t>Улучшенный Финансовый Отчет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</si>
</sst>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00_-;\-* #,##0.00_-;_-* &quot;-&quot;??_-;_-@_-"/>
    <numFmt numFmtId="165" formatCode="_-* #,##0.00\ _₽_-;\-* #,##0.00\ _₽_-;_-* &quot;-&quot;??\ _₽_-;_-@_-"/>
    <numFmt numFmtId="166" formatCode="_-* #,##0.00_р_._-;\-* #,##0.00_р_._-;_-* &quot;-&quot;??_р_._-;_-@_-"/>
    <numFmt numFmtId="167" formatCode="&quot;Q&quot;#,##0_);[Red]\(&quot;Q&quot;#,##0\)"/>
    <numFmt numFmtId="168" formatCode="_(* #,##0_);_(* \(#,##0\);_(* &quot;-&quot;??_);_(@_)"/>
    <numFmt numFmtId="169" formatCode=";;;"/>
    <numFmt numFmtId="170" formatCode="0.0"/>
    <numFmt numFmtId="171" formatCode=";;;&quot;Financial Variance in %&quot;"/>
    <numFmt numFmtId="172" formatCode="_([$€]* #,##0.00_);_([$€]* \(#,##0.00\);_([$€]* &quot;-&quot;??_);_(@_)"/>
    <numFmt numFmtId="173" formatCode="[$$-409]#,##0"/>
    <numFmt numFmtId="174" formatCode="[$-409]d/mmm/yyyy;@"/>
    <numFmt numFmtId="175" formatCode="[$$-409]#,##0_);\([$$-409]#,##0\)"/>
    <numFmt numFmtId="176" formatCode="0.0%"/>
    <numFmt numFmtId="177" formatCode="#,##0.0"/>
    <numFmt numFmtId="178" formatCode="_-&quot;$&quot;* #,##0_-;\-&quot;$&quot;* #,##0_-;_-&quot;$&quot;* &quot;-&quot;_-;_-@_-"/>
    <numFmt numFmtId="179" formatCode="_ [$€-413]\ * #,##0.00_ ;_ [$€-413]\ * \-#,##0.00_ ;_ [$€-413]\ * &quot;-&quot;_ ;_ @_ "/>
    <numFmt numFmtId="180" formatCode="_-* #,##0.00\ &quot;€&quot;_-;\-* #,##0.00\ &quot;€&quot;_-;_-* &quot;-&quot;??\ &quot;€&quot;_-;_-@_-"/>
    <numFmt numFmtId="181" formatCode="_-[$€-2]\ * #,##0.00_-;\-[$€-2]\ * #,##0.00_-;_-[$€-2]\ * &quot;-&quot;??_-;_-@_-"/>
  </numFmts>
  <fonts count="188">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4"/>
      <color indexed="52"/>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i/>
      <sz val="11"/>
      <color indexed="8"/>
      <name val="Calibri"/>
      <family val="2"/>
    </font>
    <font>
      <b/>
      <sz val="11"/>
      <color indexed="60"/>
      <name val="Calibri"/>
      <family val="2"/>
    </font>
    <font>
      <sz val="10"/>
      <color indexed="60"/>
      <name val="Calibri"/>
      <family val="2"/>
    </font>
    <font>
      <i/>
      <sz val="11"/>
      <name val="Calibri"/>
      <family val="2"/>
    </font>
    <font>
      <sz val="10"/>
      <name val="Calibri"/>
      <family val="2"/>
    </font>
    <font>
      <sz val="9"/>
      <color indexed="16"/>
      <name val="Calibri"/>
      <family val="2"/>
    </font>
    <font>
      <b/>
      <i/>
      <sz val="14"/>
      <color indexed="12"/>
      <name val="Calibri"/>
      <family val="2"/>
    </font>
    <font>
      <sz val="16"/>
      <color indexed="9"/>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sz val="11"/>
      <name val="Arial"/>
      <family val="2"/>
    </font>
    <font>
      <b/>
      <sz val="8"/>
      <name val="Arial"/>
      <family val="2"/>
    </font>
    <font>
      <sz val="8"/>
      <color indexed="81"/>
      <name val="Tahoma"/>
      <family val="2"/>
    </font>
    <font>
      <b/>
      <sz val="20"/>
      <color indexed="8"/>
      <name val="Calibri"/>
      <family val="2"/>
    </font>
    <font>
      <sz val="20"/>
      <color indexed="8"/>
      <name val="Calibri"/>
      <family val="2"/>
    </font>
    <font>
      <b/>
      <sz val="11"/>
      <color indexed="53"/>
      <name val="Arial"/>
      <family val="2"/>
    </font>
    <font>
      <sz val="9"/>
      <color indexed="8"/>
      <name val="Calibri"/>
      <family val="2"/>
    </font>
    <font>
      <sz val="11"/>
      <color indexed="8"/>
      <name val="Symbol"/>
      <family val="1"/>
      <charset val="2"/>
    </font>
    <font>
      <b/>
      <sz val="11"/>
      <color indexed="8"/>
      <name val="Arial"/>
      <family val="2"/>
      <charset val="204"/>
    </font>
    <font>
      <b/>
      <sz val="22"/>
      <color indexed="9"/>
      <name val="Calibri"/>
      <family val="2"/>
    </font>
    <font>
      <sz val="11"/>
      <color theme="1"/>
      <name val="Calibri"/>
      <family val="2"/>
      <scheme val="minor"/>
    </font>
    <font>
      <b/>
      <sz val="11"/>
      <name val="Arial"/>
      <family val="2"/>
    </font>
    <font>
      <sz val="9"/>
      <color indexed="9"/>
      <name val="Calibri"/>
      <family val="2"/>
      <charset val="204"/>
    </font>
    <font>
      <sz val="9"/>
      <color indexed="8"/>
      <name val="Calibri"/>
      <family val="2"/>
      <charset val="204"/>
    </font>
    <font>
      <sz val="9"/>
      <name val="Calibri"/>
      <family val="2"/>
      <charset val="204"/>
    </font>
    <font>
      <b/>
      <sz val="10"/>
      <color indexed="8"/>
      <name val="Calibri"/>
      <family val="2"/>
      <charset val="204"/>
    </font>
    <font>
      <b/>
      <sz val="10"/>
      <name val="Calibri"/>
      <family val="2"/>
      <charset val="204"/>
    </font>
    <font>
      <sz val="11"/>
      <color theme="1"/>
      <name val="Calibri"/>
      <family val="2"/>
    </font>
    <font>
      <sz val="11"/>
      <color indexed="8"/>
      <name val="Calibri"/>
      <family val="2"/>
      <charset val="204"/>
    </font>
    <font>
      <sz val="11"/>
      <name val="Arial Unicode MS"/>
      <family val="2"/>
      <charset val="204"/>
    </font>
    <font>
      <sz val="10"/>
      <color theme="1"/>
      <name val="Calibri"/>
      <family val="2"/>
    </font>
    <font>
      <b/>
      <sz val="11"/>
      <name val="Calibri"/>
      <family val="2"/>
      <charset val="204"/>
    </font>
    <font>
      <sz val="11"/>
      <name val="Calibri"/>
      <family val="2"/>
      <charset val="204"/>
    </font>
    <font>
      <sz val="10"/>
      <name val="Arial"/>
      <family val="2"/>
      <charset val="204"/>
    </font>
    <font>
      <b/>
      <sz val="9"/>
      <color indexed="9"/>
      <name val="Calibri"/>
      <family val="2"/>
    </font>
    <font>
      <b/>
      <sz val="9"/>
      <name val="Calibri"/>
      <family val="2"/>
    </font>
    <font>
      <b/>
      <sz val="14"/>
      <color rgb="FFFF0000"/>
      <name val="Calibri"/>
      <family val="2"/>
    </font>
    <font>
      <b/>
      <sz val="11"/>
      <color indexed="8"/>
      <name val="Calibri"/>
      <family val="2"/>
      <charset val="204"/>
    </font>
    <font>
      <sz val="10"/>
      <name val="Arial Cyr"/>
      <charset val="204"/>
    </font>
    <font>
      <sz val="10"/>
      <name val="Arial"/>
      <family val="2"/>
      <charset val="238"/>
    </font>
    <font>
      <sz val="8"/>
      <name val="Arial"/>
      <family val="2"/>
      <charset val="238"/>
    </font>
    <font>
      <sz val="8"/>
      <color indexed="12"/>
      <name val="Arial"/>
      <family val="2"/>
      <charset val="238"/>
    </font>
    <font>
      <b/>
      <i/>
      <sz val="8"/>
      <name val="Arial"/>
      <family val="2"/>
      <charset val="238"/>
    </font>
    <font>
      <u/>
      <sz val="10"/>
      <color indexed="12"/>
      <name val="Arial"/>
      <family val="2"/>
    </font>
    <font>
      <sz val="8"/>
      <name val="Verdana"/>
      <family val="2"/>
      <charset val="238"/>
    </font>
    <font>
      <sz val="11"/>
      <color theme="1"/>
      <name val="Calibri"/>
      <family val="2"/>
      <charset val="238"/>
      <scheme val="minor"/>
    </font>
    <font>
      <b/>
      <sz val="10"/>
      <name val="Arial"/>
      <family val="2"/>
      <charset val="204"/>
    </font>
    <font>
      <u/>
      <sz val="10"/>
      <color indexed="12"/>
      <name val="Arial Cyr"/>
      <charset val="204"/>
    </font>
    <font>
      <sz val="12"/>
      <name val="Times New Roman"/>
      <family val="1"/>
    </font>
    <font>
      <b/>
      <sz val="12"/>
      <name val="Arial"/>
      <family val="2"/>
      <charset val="204"/>
    </font>
    <font>
      <sz val="8"/>
      <color indexed="8"/>
      <name val="Arial"/>
      <family val="2"/>
    </font>
    <font>
      <u/>
      <sz val="7.5"/>
      <color indexed="12"/>
      <name val="Arial Cyr"/>
    </font>
    <font>
      <u/>
      <sz val="7.5"/>
      <color indexed="36"/>
      <name val="Arial Cyr"/>
    </font>
    <font>
      <sz val="11"/>
      <color indexed="9"/>
      <name val="Calibri"/>
      <family val="2"/>
      <charset val="204"/>
    </font>
    <font>
      <i/>
      <sz val="8"/>
      <color indexed="55"/>
      <name val="Arial"/>
      <family val="2"/>
    </font>
    <font>
      <u/>
      <sz val="10"/>
      <color indexed="36"/>
      <name val="Arial Cyr"/>
    </font>
    <font>
      <sz val="11"/>
      <color theme="1"/>
      <name val="Arial"/>
      <family val="2"/>
    </font>
    <font>
      <sz val="11"/>
      <color indexed="62"/>
      <name val="Calibri"/>
      <family val="2"/>
      <charset val="204"/>
    </font>
    <font>
      <b/>
      <sz val="11"/>
      <color indexed="63"/>
      <name val="Calibri"/>
      <family val="2"/>
      <charset val="204"/>
    </font>
    <font>
      <b/>
      <sz val="11"/>
      <color indexed="52"/>
      <name val="Calibri"/>
      <family val="2"/>
      <charset val="204"/>
    </font>
    <font>
      <u/>
      <sz val="11"/>
      <color indexed="1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3"/>
      <color theme="1" tint="0.24994659260841701"/>
      <name val="Cambria"/>
      <family val="2"/>
      <scheme val="major"/>
    </font>
    <font>
      <sz val="12"/>
      <name val="Georgia"/>
      <family val="1"/>
    </font>
    <font>
      <sz val="8"/>
      <color rgb="FF000000"/>
      <name val="Calibri"/>
      <family val="2"/>
    </font>
    <font>
      <sz val="10"/>
      <color rgb="FF0D0D0D"/>
      <name val="Calibri"/>
      <family val="2"/>
    </font>
    <font>
      <sz val="8"/>
      <color rgb="FF000000"/>
      <name val="Calibri"/>
      <family val="2"/>
      <charset val="204"/>
    </font>
    <font>
      <sz val="8"/>
      <name val="Calibri"/>
      <family val="2"/>
      <charset val="204"/>
    </font>
    <font>
      <sz val="11"/>
      <color indexed="8"/>
      <name val="Arial"/>
      <family val="2"/>
      <charset val="204"/>
    </font>
    <font>
      <b/>
      <sz val="11"/>
      <name val="Arial"/>
      <family val="2"/>
      <charset val="204"/>
    </font>
    <font>
      <sz val="11"/>
      <color rgb="FF000000"/>
      <name val="Arial"/>
      <family val="2"/>
    </font>
    <font>
      <b/>
      <sz val="11"/>
      <color rgb="FF000000"/>
      <name val="Arial"/>
      <family val="2"/>
    </font>
    <font>
      <sz val="11"/>
      <color rgb="FF000000"/>
      <name val="Calibri"/>
      <family val="2"/>
      <charset val="204"/>
    </font>
    <font>
      <sz val="10"/>
      <color rgb="FF000000"/>
      <name val="Calibri"/>
      <family val="2"/>
    </font>
    <font>
      <sz val="11"/>
      <color rgb="FF000000"/>
      <name val="Calibri"/>
      <family val="2"/>
    </font>
    <font>
      <sz val="11"/>
      <color rgb="FF800000"/>
      <name val="Calibri"/>
      <family val="2"/>
    </font>
    <font>
      <sz val="10"/>
      <color rgb="FFFF0000"/>
      <name val="Calibri"/>
      <family val="2"/>
    </font>
    <font>
      <b/>
      <sz val="11"/>
      <color rgb="FF000000"/>
      <name val="Calibri"/>
      <family val="2"/>
    </font>
    <font>
      <sz val="8"/>
      <color rgb="FF000000"/>
      <name val="Calibri"/>
      <family val="2"/>
      <charset val="1"/>
    </font>
    <font>
      <sz val="10"/>
      <name val="Calibri"/>
      <family val="2"/>
      <charset val="204"/>
    </font>
    <font>
      <sz val="11"/>
      <name val="Calibri"/>
    </font>
    <font>
      <sz val="10"/>
      <name val="Calibri"/>
    </font>
  </fonts>
  <fills count="6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1"/>
        <bgColor indexed="43"/>
      </patternFill>
    </fill>
    <fill>
      <patternFill patternType="solid">
        <fgColor indexed="43"/>
        <bgColor indexed="52"/>
      </patternFill>
    </fill>
    <fill>
      <patternFill patternType="solid">
        <fgColor indexed="62"/>
        <bgColor indexed="64"/>
      </patternFill>
    </fill>
    <fill>
      <patternFill patternType="solid">
        <fgColor indexed="14"/>
        <bgColor indexed="64"/>
      </patternFill>
    </fill>
    <fill>
      <patternFill patternType="solid">
        <fgColor indexed="57"/>
        <bgColor indexed="64"/>
      </patternFill>
    </fill>
    <fill>
      <patternFill patternType="solid">
        <fgColor indexed="18"/>
        <bgColor indexed="64"/>
      </patternFill>
    </fill>
    <fill>
      <patternFill patternType="solid">
        <fgColor indexed="13"/>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gray0625">
        <fgColor indexed="51"/>
        <bgColor rgb="FFFFFFCC"/>
      </patternFill>
    </fill>
    <fill>
      <patternFill patternType="solid">
        <fgColor rgb="FFFFFFCC"/>
        <bgColor indexed="51"/>
      </patternFill>
    </fill>
    <fill>
      <patternFill patternType="solid">
        <fgColor theme="9" tint="-0.249977111117893"/>
        <bgColor indexed="64"/>
      </patternFill>
    </fill>
    <fill>
      <patternFill patternType="solid">
        <fgColor indexed="31"/>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24"/>
      </patternFill>
    </fill>
    <fill>
      <patternFill patternType="solid">
        <fgColor indexed="62"/>
      </patternFill>
    </fill>
    <fill>
      <patternFill patternType="solid">
        <fgColor theme="4" tint="0.79998168889431442"/>
        <bgColor indexed="64"/>
      </patternFill>
    </fill>
    <fill>
      <patternFill patternType="solid">
        <fgColor rgb="FFFFF2CC"/>
        <bgColor indexed="64"/>
      </patternFill>
    </fill>
    <fill>
      <patternFill patternType="solid">
        <fgColor rgb="FFD9D9D9"/>
        <bgColor indexed="64"/>
      </patternFill>
    </fill>
    <fill>
      <patternFill patternType="solid">
        <fgColor rgb="FFFFCC99"/>
        <bgColor rgb="FF000000"/>
      </patternFill>
    </fill>
    <fill>
      <patternFill patternType="solid">
        <fgColor rgb="FF99CCFF"/>
        <bgColor rgb="FF000000"/>
      </patternFill>
    </fill>
    <fill>
      <patternFill patternType="solid">
        <fgColor rgb="FFFABF8F"/>
        <bgColor rgb="FF000000"/>
      </patternFill>
    </fill>
    <fill>
      <patternFill patternType="solid">
        <fgColor rgb="FF8DB4E2"/>
        <bgColor indexed="64"/>
      </patternFill>
    </fill>
    <fill>
      <patternFill patternType="solid">
        <fgColor rgb="FFFFFFFF"/>
        <bgColor indexed="64"/>
      </patternFill>
    </fill>
  </fills>
  <borders count="2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style="thin">
        <color indexed="64"/>
      </left>
      <right style="medium">
        <color indexed="48"/>
      </right>
      <top style="medium">
        <color indexed="48"/>
      </top>
      <bottom style="thin">
        <color indexed="64"/>
      </bottom>
      <diagonal/>
    </border>
    <border>
      <left/>
      <right/>
      <top/>
      <bottom style="medium">
        <color indexed="51"/>
      </bottom>
      <diagonal/>
    </border>
    <border>
      <left style="thin">
        <color indexed="64"/>
      </left>
      <right style="medium">
        <color indexed="51"/>
      </right>
      <top style="thin">
        <color indexed="64"/>
      </top>
      <bottom style="thin">
        <color indexed="64"/>
      </bottom>
      <diagonal/>
    </border>
    <border>
      <left style="dotted">
        <color indexed="64"/>
      </left>
      <right style="dotted">
        <color indexed="64"/>
      </right>
      <top style="medium">
        <color indexed="5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medium">
        <color indexed="52"/>
      </bottom>
      <diagonal/>
    </border>
    <border>
      <left style="dotted">
        <color indexed="62"/>
      </left>
      <right style="dotted">
        <color indexed="64"/>
      </right>
      <top style="medium">
        <color indexed="62"/>
      </top>
      <bottom style="hair">
        <color indexed="64"/>
      </bottom>
      <diagonal/>
    </border>
    <border>
      <left style="dotted">
        <color indexed="62"/>
      </left>
      <right style="dotted">
        <color indexed="64"/>
      </right>
      <top style="hair">
        <color indexed="64"/>
      </top>
      <bottom style="hair">
        <color indexed="64"/>
      </bottom>
      <diagonal/>
    </border>
    <border>
      <left style="dotted">
        <color indexed="62"/>
      </left>
      <right style="dotted">
        <color indexed="64"/>
      </right>
      <top style="hair">
        <color indexed="64"/>
      </top>
      <bottom style="medium">
        <color indexed="62"/>
      </bottom>
      <diagonal/>
    </border>
    <border>
      <left style="hair">
        <color indexed="64"/>
      </left>
      <right style="hair">
        <color indexed="64"/>
      </right>
      <top style="medium">
        <color indexed="51"/>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5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30"/>
      </top>
      <bottom style="thin">
        <color indexed="30"/>
      </bottom>
      <diagonal/>
    </border>
    <border>
      <left/>
      <right style="thick">
        <color indexed="9"/>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51"/>
      </bottom>
      <diagonal/>
    </border>
    <border>
      <left style="medium">
        <color indexed="51"/>
      </left>
      <right style="medium">
        <color indexed="51"/>
      </right>
      <top style="medium">
        <color indexed="51"/>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indexed="64"/>
      </top>
      <bottom style="thin">
        <color indexed="64"/>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16"/>
      </left>
      <right style="thin">
        <color indexed="16"/>
      </right>
      <top style="medium">
        <color indexed="51"/>
      </top>
      <bottom style="thin">
        <color indexed="64"/>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thin">
        <color indexed="60"/>
      </left>
      <right style="medium">
        <color indexed="60"/>
      </right>
      <top style="thin">
        <color indexed="60"/>
      </top>
      <bottom style="medium">
        <color indexed="60"/>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0"/>
      </left>
      <right style="dotted">
        <color indexed="64"/>
      </right>
      <top style="medium">
        <color indexed="60"/>
      </top>
      <bottom style="hair">
        <color indexed="64"/>
      </bottom>
      <diagonal/>
    </border>
    <border>
      <left style="medium">
        <color indexed="60"/>
      </left>
      <right style="dotted">
        <color indexed="64"/>
      </right>
      <top style="hair">
        <color indexed="64"/>
      </top>
      <bottom style="hair">
        <color indexed="64"/>
      </bottom>
      <diagonal/>
    </border>
    <border>
      <left style="medium">
        <color indexed="60"/>
      </left>
      <right style="dotted">
        <color indexed="64"/>
      </right>
      <top style="hair">
        <color indexed="64"/>
      </top>
      <bottom style="medium">
        <color indexed="60"/>
      </bottom>
      <diagonal/>
    </border>
    <border>
      <left style="medium">
        <color indexed="62"/>
      </left>
      <right/>
      <top style="medium">
        <color indexed="62"/>
      </top>
      <bottom style="hair">
        <color indexed="64"/>
      </bottom>
      <diagonal/>
    </border>
    <border>
      <left style="medium">
        <color indexed="62"/>
      </left>
      <right/>
      <top style="hair">
        <color indexed="64"/>
      </top>
      <bottom style="hair">
        <color indexed="64"/>
      </bottom>
      <diagonal/>
    </border>
    <border>
      <left style="medium">
        <color indexed="62"/>
      </left>
      <right/>
      <top style="hair">
        <color indexed="64"/>
      </top>
      <bottom style="medium">
        <color indexed="62"/>
      </bottom>
      <diagonal/>
    </border>
    <border>
      <left style="medium">
        <color indexed="51"/>
      </left>
      <right style="hair">
        <color indexed="64"/>
      </right>
      <top style="medium">
        <color indexed="51"/>
      </top>
      <bottom style="hair">
        <color indexed="64"/>
      </bottom>
      <diagonal/>
    </border>
    <border>
      <left style="medium">
        <color indexed="51"/>
      </left>
      <right style="hair">
        <color indexed="64"/>
      </right>
      <top style="hair">
        <color indexed="64"/>
      </top>
      <bottom style="hair">
        <color indexed="64"/>
      </bottom>
      <diagonal/>
    </border>
    <border>
      <left style="medium">
        <color indexed="51"/>
      </left>
      <right/>
      <top/>
      <bottom style="hair">
        <color indexed="64"/>
      </bottom>
      <diagonal/>
    </border>
    <border>
      <left/>
      <right style="thin">
        <color indexed="64"/>
      </right>
      <top style="medium">
        <color indexed="51"/>
      </top>
      <bottom style="thin">
        <color indexed="64"/>
      </bottom>
      <diagonal/>
    </border>
    <border>
      <left style="medium">
        <color indexed="60"/>
      </left>
      <right style="thin">
        <color indexed="60"/>
      </right>
      <top style="medium">
        <color indexed="60"/>
      </top>
      <bottom/>
      <diagonal/>
    </border>
    <border>
      <left style="thin">
        <color indexed="60"/>
      </left>
      <right style="thin">
        <color indexed="60"/>
      </right>
      <top style="medium">
        <color indexed="60"/>
      </top>
      <bottom/>
      <diagonal/>
    </border>
    <border>
      <left style="thin">
        <color indexed="60"/>
      </left>
      <right style="medium">
        <color indexed="60"/>
      </right>
      <top style="medium">
        <color indexed="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0"/>
      </left>
      <right style="medium">
        <color indexed="60"/>
      </right>
      <top style="medium">
        <color indexed="60"/>
      </top>
      <bottom style="medium">
        <color indexed="60"/>
      </bottom>
      <diagonal/>
    </border>
    <border>
      <left style="thin">
        <color indexed="64"/>
      </left>
      <right style="thin">
        <color indexed="64"/>
      </right>
      <top style="thin">
        <color indexed="64"/>
      </top>
      <bottom/>
      <diagonal/>
    </border>
    <border>
      <left style="medium">
        <color indexed="12"/>
      </left>
      <right style="medium">
        <color indexed="12"/>
      </right>
      <top style="medium">
        <color indexed="12"/>
      </top>
      <bottom style="medium">
        <color indexed="12"/>
      </bottom>
      <diagonal/>
    </border>
    <border>
      <left style="medium">
        <color indexed="51"/>
      </left>
      <right style="medium">
        <color indexed="51"/>
      </right>
      <top style="medium">
        <color indexed="51"/>
      </top>
      <bottom style="medium">
        <color indexed="51"/>
      </bottom>
      <diagonal/>
    </border>
    <border>
      <left style="medium">
        <color indexed="51"/>
      </left>
      <right style="hair">
        <color indexed="64"/>
      </right>
      <top style="hair">
        <color indexed="64"/>
      </top>
      <bottom style="medium">
        <color indexed="5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medium">
        <color indexed="5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51"/>
      </left>
      <right/>
      <top style="thin">
        <color indexed="64"/>
      </top>
      <bottom style="thin">
        <color indexed="64"/>
      </bottom>
      <diagonal/>
    </border>
    <border>
      <left style="medium">
        <color indexed="51"/>
      </left>
      <right style="medium">
        <color indexed="51"/>
      </right>
      <top style="thin">
        <color indexed="64"/>
      </top>
      <bottom style="medium">
        <color indexed="51"/>
      </bottom>
      <diagonal/>
    </border>
    <border>
      <left/>
      <right style="thin">
        <color indexed="64"/>
      </right>
      <top style="thin">
        <color indexed="64"/>
      </top>
      <bottom style="medium">
        <color indexed="51"/>
      </bottom>
      <diagonal/>
    </border>
    <border>
      <left/>
      <right/>
      <top style="medium">
        <color indexed="60"/>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top style="medium">
        <color indexed="51"/>
      </top>
      <bottom style="thin">
        <color indexed="64"/>
      </bottom>
      <diagonal/>
    </border>
    <border>
      <left style="medium">
        <color indexed="51"/>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0"/>
      </right>
      <top style="dotted">
        <color indexed="64"/>
      </top>
      <bottom style="dotted">
        <color indexed="64"/>
      </bottom>
      <diagonal/>
    </border>
    <border>
      <left style="medium">
        <color indexed="60"/>
      </left>
      <right/>
      <top style="hair">
        <color indexed="64"/>
      </top>
      <bottom style="hair">
        <color indexed="64"/>
      </bottom>
      <diagonal/>
    </border>
    <border>
      <left/>
      <right/>
      <top style="hair">
        <color indexed="64"/>
      </top>
      <bottom style="hair">
        <color indexed="64"/>
      </bottom>
      <diagonal/>
    </border>
    <border>
      <left/>
      <right style="medium">
        <color indexed="60"/>
      </right>
      <top style="hair">
        <color indexed="64"/>
      </top>
      <bottom style="hair">
        <color indexed="64"/>
      </bottom>
      <diagonal/>
    </border>
    <border>
      <left/>
      <right style="medium">
        <color indexed="60"/>
      </right>
      <top/>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right style="medium">
        <color indexed="60"/>
      </right>
      <top/>
      <bottom style="medium">
        <color indexed="60"/>
      </bottom>
      <diagonal/>
    </border>
    <border>
      <left style="dotted">
        <color indexed="64"/>
      </left>
      <right/>
      <top style="medium">
        <color indexed="60"/>
      </top>
      <bottom style="dotted">
        <color indexed="64"/>
      </bottom>
      <diagonal/>
    </border>
    <border>
      <left/>
      <right/>
      <top style="medium">
        <color indexed="60"/>
      </top>
      <bottom style="dotted">
        <color indexed="64"/>
      </bottom>
      <diagonal/>
    </border>
    <border>
      <left/>
      <right style="medium">
        <color indexed="60"/>
      </right>
      <top style="medium">
        <color indexed="60"/>
      </top>
      <bottom style="dotted">
        <color indexed="64"/>
      </bottom>
      <diagonal/>
    </border>
    <border>
      <left style="medium">
        <color indexed="60"/>
      </left>
      <right/>
      <top/>
      <bottom style="medium">
        <color indexed="60"/>
      </bottom>
      <diagonal/>
    </border>
    <border>
      <left/>
      <right/>
      <top/>
      <bottom style="medium">
        <color indexed="52"/>
      </bottom>
      <diagonal/>
    </border>
    <border>
      <left style="medium">
        <color indexed="60"/>
      </left>
      <right/>
      <top/>
      <bottom style="hair">
        <color indexed="64"/>
      </bottom>
      <diagonal/>
    </border>
    <border>
      <left/>
      <right/>
      <top/>
      <bottom style="hair">
        <color indexed="64"/>
      </bottom>
      <diagonal/>
    </border>
    <border>
      <left/>
      <right style="medium">
        <color indexed="60"/>
      </right>
      <top/>
      <bottom style="hair">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top style="medium">
        <color indexed="18"/>
      </top>
      <bottom style="medium">
        <color indexed="62"/>
      </bottom>
      <diagonal/>
    </border>
    <border>
      <left/>
      <right/>
      <top style="medium">
        <color indexed="18"/>
      </top>
      <bottom style="medium">
        <color indexed="62"/>
      </bottom>
      <diagonal/>
    </border>
    <border>
      <left/>
      <right style="medium">
        <color indexed="18"/>
      </right>
      <top style="medium">
        <color indexed="18"/>
      </top>
      <bottom style="medium">
        <color indexed="62"/>
      </bottom>
      <diagonal/>
    </border>
    <border>
      <left style="hair">
        <color indexed="64"/>
      </left>
      <right/>
      <top style="hair">
        <color indexed="64"/>
      </top>
      <bottom style="hair">
        <color indexed="64"/>
      </bottom>
      <diagonal/>
    </border>
    <border>
      <left/>
      <right style="medium">
        <color indexed="51"/>
      </right>
      <top style="hair">
        <color indexed="64"/>
      </top>
      <bottom style="hair">
        <color indexed="64"/>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dotted">
        <color indexed="64"/>
      </left>
      <right/>
      <top style="medium">
        <color indexed="62"/>
      </top>
      <bottom/>
      <diagonal/>
    </border>
    <border>
      <left/>
      <right/>
      <top style="medium">
        <color indexed="62"/>
      </top>
      <bottom/>
      <diagonal/>
    </border>
    <border>
      <left/>
      <right style="medium">
        <color indexed="18"/>
      </right>
      <top style="medium">
        <color indexed="62"/>
      </top>
      <bottom/>
      <diagonal/>
    </border>
    <border>
      <left/>
      <right style="medium">
        <color indexed="18"/>
      </right>
      <top style="dotted">
        <color indexed="64"/>
      </top>
      <bottom style="dotted">
        <color indexed="64"/>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style="medium">
        <color indexed="52"/>
      </right>
      <top/>
      <bottom style="medium">
        <color indexed="52"/>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style="dotted">
        <color indexed="64"/>
      </left>
      <right/>
      <top style="dotted">
        <color indexed="64"/>
      </top>
      <bottom style="medium">
        <color indexed="18"/>
      </bottom>
      <diagonal/>
    </border>
    <border>
      <left/>
      <right/>
      <top style="dotted">
        <color indexed="64"/>
      </top>
      <bottom style="medium">
        <color indexed="18"/>
      </bottom>
      <diagonal/>
    </border>
    <border>
      <left/>
      <right style="medium">
        <color indexed="18"/>
      </right>
      <top style="dotted">
        <color indexed="64"/>
      </top>
      <bottom style="medium">
        <color indexed="18"/>
      </bottom>
      <diagonal/>
    </border>
    <border>
      <left style="hair">
        <color indexed="64"/>
      </left>
      <right/>
      <top style="hair">
        <color indexed="64"/>
      </top>
      <bottom style="medium">
        <color indexed="51"/>
      </bottom>
      <diagonal/>
    </border>
    <border>
      <left/>
      <right/>
      <top style="hair">
        <color indexed="64"/>
      </top>
      <bottom style="medium">
        <color indexed="51"/>
      </bottom>
      <diagonal/>
    </border>
    <border>
      <left/>
      <right style="medium">
        <color indexed="51"/>
      </right>
      <top style="hair">
        <color indexed="64"/>
      </top>
      <bottom style="medium">
        <color indexed="5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indexed="64"/>
      </left>
      <right/>
      <top style="medium">
        <color indexed="51"/>
      </top>
      <bottom style="hair">
        <color indexed="64"/>
      </bottom>
      <diagonal/>
    </border>
    <border>
      <left/>
      <right/>
      <top style="medium">
        <color indexed="51"/>
      </top>
      <bottom style="hair">
        <color indexed="64"/>
      </bottom>
      <diagonal/>
    </border>
    <border>
      <left/>
      <right style="medium">
        <color indexed="51"/>
      </right>
      <top style="medium">
        <color indexed="51"/>
      </top>
      <bottom style="hair">
        <color indexed="64"/>
      </bottom>
      <diagonal/>
    </border>
    <border>
      <left style="hair">
        <color indexed="57"/>
      </left>
      <right style="medium">
        <color indexed="57"/>
      </right>
      <top style="medium">
        <color indexed="57"/>
      </top>
      <bottom style="medium">
        <color indexed="57"/>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57"/>
      </top>
      <bottom/>
      <diagonal/>
    </border>
    <border>
      <left/>
      <right/>
      <top style="medium">
        <color indexed="57"/>
      </top>
      <bottom/>
      <diagonal/>
    </border>
    <border>
      <left/>
      <right style="hair">
        <color indexed="64"/>
      </right>
      <top style="medium">
        <color indexed="57"/>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57"/>
      </left>
      <right style="hair">
        <color indexed="57"/>
      </right>
      <top style="medium">
        <color indexed="57"/>
      </top>
      <bottom style="medium">
        <color indexed="57"/>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medium">
        <color indexed="57"/>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hair">
        <color indexed="57"/>
      </right>
      <top style="medium">
        <color indexed="57"/>
      </top>
      <bottom style="medium">
        <color indexed="57"/>
      </bottom>
      <diagonal/>
    </border>
    <border>
      <left style="medium">
        <color indexed="64"/>
      </left>
      <right style="hair">
        <color indexed="64"/>
      </right>
      <top style="hair">
        <color indexed="64"/>
      </top>
      <bottom style="hair">
        <color indexed="64"/>
      </bottom>
      <diagonal/>
    </border>
    <border>
      <left/>
      <right style="medium">
        <color indexed="57"/>
      </right>
      <top style="medium">
        <color indexed="57"/>
      </top>
      <bottom style="medium">
        <color indexed="57"/>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57"/>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hair">
        <color indexed="64"/>
      </left>
      <right/>
      <top style="medium">
        <color indexed="57"/>
      </top>
      <bottom/>
      <diagonal/>
    </border>
    <border>
      <left style="hair">
        <color indexed="57"/>
      </left>
      <right/>
      <top style="medium">
        <color indexed="57"/>
      </top>
      <bottom style="medium">
        <color indexed="57"/>
      </bottom>
      <diagonal/>
    </border>
    <border>
      <left style="hair">
        <color indexed="64"/>
      </left>
      <right/>
      <top/>
      <bottom style="medium">
        <color indexed="64"/>
      </bottom>
      <diagonal/>
    </border>
    <border>
      <left style="thin">
        <color indexed="60"/>
      </left>
      <right style="thin">
        <color indexed="60"/>
      </right>
      <top style="medium">
        <color indexed="64"/>
      </top>
      <bottom style="thin">
        <color indexed="64"/>
      </bottom>
      <diagonal/>
    </border>
    <border>
      <left/>
      <right style="medium">
        <color indexed="64"/>
      </right>
      <top style="medium">
        <color indexed="64"/>
      </top>
      <bottom/>
      <diagonal/>
    </border>
    <border>
      <left style="medium">
        <color indexed="51"/>
      </left>
      <right/>
      <top style="thin">
        <color indexed="64"/>
      </top>
      <bottom/>
      <diagonal/>
    </border>
    <border>
      <left style="medium">
        <color indexed="51"/>
      </left>
      <right/>
      <top/>
      <bottom style="thin">
        <color indexed="64"/>
      </bottom>
      <diagonal/>
    </border>
    <border>
      <left style="medium">
        <color indexed="51"/>
      </left>
      <right style="medium">
        <color indexed="51"/>
      </right>
      <top style="thin">
        <color indexed="64"/>
      </top>
      <bottom/>
      <diagonal/>
    </border>
    <border>
      <left style="medium">
        <color indexed="51"/>
      </left>
      <right style="medium">
        <color indexed="51"/>
      </right>
      <top/>
      <bottom style="thin">
        <color indexed="64"/>
      </bottom>
      <diagonal/>
    </border>
    <border>
      <left style="medium">
        <color indexed="51"/>
      </left>
      <right style="thin">
        <color indexed="64"/>
      </right>
      <top style="thin">
        <color indexed="64"/>
      </top>
      <bottom/>
      <diagonal/>
    </border>
    <border>
      <left style="thin">
        <color indexed="64"/>
      </left>
      <right style="medium">
        <color indexed="16"/>
      </right>
      <top style="thin">
        <color indexed="64"/>
      </top>
      <bottom style="thin">
        <color indexed="64"/>
      </bottom>
      <diagonal/>
    </border>
    <border>
      <left style="medium">
        <color indexed="48"/>
      </left>
      <right/>
      <top style="thin">
        <color indexed="64"/>
      </top>
      <bottom style="medium">
        <color indexed="48"/>
      </bottom>
      <diagonal/>
    </border>
    <border>
      <left/>
      <right style="thin">
        <color indexed="64"/>
      </right>
      <top style="thin">
        <color indexed="64"/>
      </top>
      <bottom style="medium">
        <color indexed="48"/>
      </bottom>
      <diagonal/>
    </border>
    <border>
      <left style="medium">
        <color indexed="48"/>
      </left>
      <right/>
      <top style="thin">
        <color indexed="64"/>
      </top>
      <bottom style="thin">
        <color indexed="64"/>
      </bottom>
      <diagonal/>
    </border>
    <border>
      <left style="medium">
        <color indexed="48"/>
      </left>
      <right/>
      <top style="medium">
        <color indexed="48"/>
      </top>
      <bottom style="thin">
        <color indexed="64"/>
      </bottom>
      <diagonal/>
    </border>
    <border>
      <left/>
      <right style="thin">
        <color indexed="64"/>
      </right>
      <top style="medium">
        <color indexed="48"/>
      </top>
      <bottom style="thin">
        <color indexed="64"/>
      </bottom>
      <diagonal/>
    </border>
    <border>
      <left style="medium">
        <color indexed="51"/>
      </left>
      <right style="thin">
        <color indexed="64"/>
      </right>
      <top/>
      <bottom style="medium">
        <color indexed="51"/>
      </bottom>
      <diagonal/>
    </border>
    <border>
      <left style="thin">
        <color indexed="16"/>
      </left>
      <right style="medium">
        <color indexed="64"/>
      </right>
      <top style="medium">
        <color indexed="64"/>
      </top>
      <bottom style="thin">
        <color indexed="64"/>
      </bottom>
      <diagonal/>
    </border>
    <border>
      <left/>
      <right/>
      <top style="thin">
        <color auto="1"/>
      </top>
      <bottom/>
      <diagonal/>
    </border>
    <border>
      <left/>
      <right/>
      <top/>
      <bottom style="thick">
        <color indexed="62"/>
      </bottom>
      <diagonal/>
    </border>
    <border>
      <left/>
      <right/>
      <top style="thin">
        <color indexed="62"/>
      </top>
      <bottom style="double">
        <color indexed="62"/>
      </bottom>
      <diagonal/>
    </border>
    <border>
      <left style="hair">
        <color theme="8"/>
      </left>
      <right style="hair">
        <color theme="8"/>
      </right>
      <top style="hair">
        <color theme="8"/>
      </top>
      <bottom style="hair">
        <color theme="8"/>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51"/>
      </right>
      <top style="medium">
        <color indexed="51"/>
      </top>
      <bottom style="thin">
        <color indexed="64"/>
      </bottom>
      <diagonal/>
    </border>
    <border>
      <left/>
      <right style="medium">
        <color indexed="51"/>
      </right>
      <top style="thin">
        <color indexed="64"/>
      </top>
      <bottom/>
      <diagonal/>
    </border>
    <border>
      <left/>
      <right style="medium">
        <color indexed="51"/>
      </right>
      <top/>
      <bottom style="thin">
        <color indexed="64"/>
      </bottom>
      <diagonal/>
    </border>
    <border>
      <left/>
      <right style="medium">
        <color indexed="51"/>
      </right>
      <top/>
      <bottom style="medium">
        <color indexed="51"/>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51"/>
      </left>
      <right style="medium">
        <color indexed="51"/>
      </right>
      <top/>
      <bottom style="medium">
        <color indexed="51"/>
      </bottom>
      <diagonal/>
    </border>
    <border>
      <left style="medium">
        <color indexed="51"/>
      </left>
      <right style="medium">
        <color indexed="51"/>
      </right>
      <top style="medium">
        <color indexed="5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800000"/>
      </left>
      <right style="thin">
        <color rgb="FF800000"/>
      </right>
      <top style="thin">
        <color rgb="FF800000"/>
      </top>
      <bottom/>
      <diagonal/>
    </border>
    <border>
      <left style="thin">
        <color rgb="FF993300"/>
      </left>
      <right style="thin">
        <color rgb="FF993300"/>
      </right>
      <top style="thin">
        <color rgb="FF993300"/>
      </top>
      <bottom style="thin">
        <color rgb="FF993300"/>
      </bottom>
      <diagonal/>
    </border>
    <border>
      <left/>
      <right style="medium">
        <color indexed="64"/>
      </right>
      <top style="thin">
        <color rgb="FF993300"/>
      </top>
      <bottom style="thin">
        <color rgb="FF993300"/>
      </bottom>
      <diagonal/>
    </border>
    <border>
      <left style="thin">
        <color rgb="FF993300"/>
      </left>
      <right style="thin">
        <color rgb="FF993300"/>
      </right>
      <top/>
      <bottom style="thin">
        <color rgb="FF993300"/>
      </bottom>
      <diagonal/>
    </border>
    <border>
      <left/>
      <right style="medium">
        <color indexed="64"/>
      </right>
      <top/>
      <bottom style="thin">
        <color rgb="FF993300"/>
      </bottom>
      <diagonal/>
    </border>
    <border>
      <left style="medium">
        <color indexed="64"/>
      </left>
      <right style="thin">
        <color rgb="FF993300"/>
      </right>
      <top style="thin">
        <color rgb="FF993300"/>
      </top>
      <bottom style="thin">
        <color rgb="FF993300"/>
      </bottom>
      <diagonal/>
    </border>
    <border>
      <left style="medium">
        <color indexed="64"/>
      </left>
      <right style="thin">
        <color rgb="FF993300"/>
      </right>
      <top/>
      <bottom style="thin">
        <color rgb="FF993300"/>
      </bottom>
      <diagonal/>
    </border>
  </borders>
  <cellStyleXfs count="17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172"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2" fillId="0" borderId="4" applyNumberFormat="0" applyFill="0" applyAlignment="0" applyProtection="0"/>
    <xf numFmtId="0" fontId="73"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16" fillId="0" borderId="0"/>
    <xf numFmtId="43" fontId="116" fillId="0" borderId="0"/>
    <xf numFmtId="43" fontId="116" fillId="0" borderId="0"/>
    <xf numFmtId="43" fontId="116" fillId="0" borderId="0"/>
    <xf numFmtId="0" fontId="66" fillId="0" borderId="0"/>
    <xf numFmtId="0" fontId="2" fillId="4" borderId="7" applyNumberFormat="0" applyFont="0" applyAlignment="0" applyProtection="0"/>
    <xf numFmtId="0" fontId="8" fillId="2" borderId="8" applyNumberFormat="0" applyAlignment="0" applyProtection="0"/>
    <xf numFmtId="0" fontId="41" fillId="0" borderId="0" applyNumberFormat="0" applyFill="0" applyBorder="0" applyAlignment="0" applyProtection="0"/>
    <xf numFmtId="43" fontId="116"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16" fillId="0" borderId="9" applyNumberFormat="0" applyFill="0" applyAlignment="0" applyProtection="0"/>
    <xf numFmtId="0" fontId="74"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16" fillId="0" borderId="0"/>
    <xf numFmtId="0" fontId="134" fillId="0" borderId="0"/>
    <xf numFmtId="0" fontId="135" fillId="0" borderId="0"/>
    <xf numFmtId="9" fontId="2" fillId="0" borderId="0" applyFont="0" applyFill="0" applyBorder="0" applyAlignment="0" applyProtection="0"/>
    <xf numFmtId="9" fontId="135" fillId="0" borderId="0" applyFont="0" applyFill="0" applyBorder="0" applyAlignment="0" applyProtection="0"/>
    <xf numFmtId="164" fontId="135" fillId="0" borderId="0" applyFont="0" applyFill="0" applyBorder="0" applyAlignment="0" applyProtection="0"/>
    <xf numFmtId="3" fontId="136" fillId="42" borderId="0">
      <alignment horizontal="center"/>
    </xf>
    <xf numFmtId="9" fontId="136" fillId="42" borderId="0">
      <alignment horizontal="center"/>
    </xf>
    <xf numFmtId="3" fontId="137" fillId="0" borderId="0">
      <alignment horizontal="center" vertical="center"/>
      <protection locked="0"/>
    </xf>
    <xf numFmtId="176" fontId="137" fillId="0" borderId="0">
      <alignment horizontal="center" vertical="center"/>
      <protection locked="0"/>
    </xf>
    <xf numFmtId="49" fontId="138" fillId="0" borderId="0">
      <alignment horizontal="left"/>
    </xf>
    <xf numFmtId="0" fontId="139" fillId="0" borderId="0" applyNumberFormat="0" applyFill="0" applyBorder="0" applyAlignment="0" applyProtection="0"/>
    <xf numFmtId="0" fontId="2" fillId="0" borderId="0"/>
    <xf numFmtId="0" fontId="140" fillId="0" borderId="0"/>
    <xf numFmtId="0" fontId="135" fillId="0" borderId="0"/>
    <xf numFmtId="0" fontId="135" fillId="0" borderId="0"/>
    <xf numFmtId="0" fontId="135" fillId="0" borderId="0"/>
    <xf numFmtId="0" fontId="129" fillId="0" borderId="0"/>
    <xf numFmtId="0" fontId="129" fillId="0" borderId="0"/>
    <xf numFmtId="166" fontId="141" fillId="0" borderId="0" applyFont="0" applyFill="0" applyBorder="0" applyAlignment="0" applyProtection="0"/>
    <xf numFmtId="9" fontId="141" fillId="0" borderId="0" applyFont="0" applyFill="0" applyBorder="0" applyAlignment="0" applyProtection="0"/>
    <xf numFmtId="0" fontId="144" fillId="0" borderId="0"/>
    <xf numFmtId="165" fontId="144" fillId="0" borderId="0" applyFont="0" applyFill="0" applyBorder="0" applyAlignment="0" applyProtection="0"/>
    <xf numFmtId="164" fontId="141" fillId="0" borderId="0" applyFont="0" applyFill="0" applyBorder="0" applyAlignment="0" applyProtection="0"/>
    <xf numFmtId="165" fontId="135" fillId="0" borderId="0" applyFont="0" applyFill="0" applyBorder="0" applyAlignment="0" applyProtection="0"/>
    <xf numFmtId="9" fontId="141" fillId="0" borderId="0" applyFont="0" applyFill="0" applyBorder="0" applyAlignment="0" applyProtection="0"/>
    <xf numFmtId="178" fontId="136" fillId="0" borderId="239">
      <alignment horizontal="center" vertical="center"/>
    </xf>
    <xf numFmtId="179" fontId="146" fillId="0" borderId="0">
      <protection locked="0"/>
    </xf>
    <xf numFmtId="179" fontId="107" fillId="0" borderId="0">
      <alignment horizontal="center" vertical="center"/>
    </xf>
    <xf numFmtId="0" fontId="147"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179" fontId="124" fillId="43" borderId="0" applyNumberFormat="0" applyBorder="0" applyAlignment="0" applyProtection="0"/>
    <xf numFmtId="179" fontId="124" fillId="6" borderId="0" applyNumberFormat="0" applyBorder="0" applyAlignment="0" applyProtection="0"/>
    <xf numFmtId="179" fontId="124" fillId="7" borderId="0" applyNumberFormat="0" applyBorder="0" applyAlignment="0" applyProtection="0"/>
    <xf numFmtId="179" fontId="124" fillId="44" borderId="0" applyNumberFormat="0" applyBorder="0" applyAlignment="0" applyProtection="0"/>
    <xf numFmtId="179" fontId="124" fillId="5" borderId="0" applyNumberFormat="0" applyBorder="0" applyAlignment="0" applyProtection="0"/>
    <xf numFmtId="179" fontId="124" fillId="3" borderId="0" applyNumberFormat="0" applyBorder="0" applyAlignment="0" applyProtection="0"/>
    <xf numFmtId="179" fontId="124" fillId="11" borderId="0" applyNumberFormat="0" applyBorder="0" applyAlignment="0" applyProtection="0"/>
    <xf numFmtId="179" fontId="124" fillId="9" borderId="0" applyNumberFormat="0" applyBorder="0" applyAlignment="0" applyProtection="0"/>
    <xf numFmtId="179" fontId="124" fillId="45" borderId="0" applyNumberFormat="0" applyBorder="0" applyAlignment="0" applyProtection="0"/>
    <xf numFmtId="179" fontId="124" fillId="44" borderId="0" applyNumberFormat="0" applyBorder="0" applyAlignment="0" applyProtection="0"/>
    <xf numFmtId="179" fontId="124" fillId="11" borderId="0" applyNumberFormat="0" applyBorder="0" applyAlignment="0" applyProtection="0"/>
    <xf numFmtId="179" fontId="124" fillId="46" borderId="0" applyNumberFormat="0" applyBorder="0" applyAlignment="0" applyProtection="0"/>
    <xf numFmtId="179" fontId="149" fillId="47" borderId="0" applyNumberFormat="0" applyBorder="0" applyAlignment="0" applyProtection="0"/>
    <xf numFmtId="179" fontId="149" fillId="9" borderId="0" applyNumberFormat="0" applyBorder="0" applyAlignment="0" applyProtection="0"/>
    <xf numFmtId="179" fontId="149" fillId="45" borderId="0" applyNumberFormat="0" applyBorder="0" applyAlignment="0" applyProtection="0"/>
    <xf numFmtId="179" fontId="149" fillId="48" borderId="0" applyNumberFormat="0" applyBorder="0" applyAlignment="0" applyProtection="0"/>
    <xf numFmtId="179" fontId="149" fillId="12" borderId="0" applyNumberFormat="0" applyBorder="0" applyAlignment="0" applyProtection="0"/>
    <xf numFmtId="179" fontId="149" fillId="49" borderId="0" applyNumberFormat="0" applyBorder="0" applyAlignment="0" applyProtection="0"/>
    <xf numFmtId="0" fontId="143" fillId="0" borderId="0" applyNumberFormat="0" applyFill="0" applyBorder="0" applyAlignment="0" applyProtection="0">
      <alignment vertical="top"/>
      <protection locked="0"/>
    </xf>
    <xf numFmtId="164" fontId="135" fillId="0" borderId="0" applyFont="0" applyFill="0" applyBorder="0" applyAlignment="0" applyProtection="0"/>
    <xf numFmtId="165" fontId="124" fillId="0" borderId="0" applyFont="0" applyFill="0" applyBorder="0" applyAlignment="0" applyProtection="0"/>
    <xf numFmtId="180" fontId="135" fillId="0" borderId="0" applyFont="0" applyFill="0" applyBorder="0" applyAlignment="0" applyProtection="0"/>
    <xf numFmtId="179" fontId="139" fillId="0" borderId="0" applyNumberFormat="0" applyFill="0" applyBorder="0" applyAlignment="0" applyProtection="0">
      <alignment vertical="top"/>
      <protection locked="0"/>
    </xf>
    <xf numFmtId="0" fontId="150" fillId="0" borderId="0"/>
    <xf numFmtId="0" fontId="151" fillId="0" borderId="0" applyNumberFormat="0" applyFill="0" applyBorder="0" applyAlignment="0" applyProtection="0">
      <alignment vertical="top"/>
      <protection locked="0"/>
    </xf>
    <xf numFmtId="0" fontId="135" fillId="7" borderId="10" applyBorder="0">
      <alignment vertical="top"/>
    </xf>
    <xf numFmtId="179" fontId="136" fillId="0" borderId="0"/>
    <xf numFmtId="0" fontId="141" fillId="0" borderId="0"/>
    <xf numFmtId="0" fontId="135" fillId="0" borderId="0"/>
    <xf numFmtId="0" fontId="141" fillId="0" borderId="0"/>
    <xf numFmtId="179" fontId="135" fillId="0" borderId="0"/>
    <xf numFmtId="0" fontId="141" fillId="0" borderId="0"/>
    <xf numFmtId="9" fontId="141" fillId="0" borderId="0" applyFont="0" applyFill="0" applyBorder="0" applyAlignment="0" applyProtection="0"/>
    <xf numFmtId="9" fontId="141" fillId="0" borderId="0" applyFont="0" applyFill="0" applyBorder="0" applyAlignment="0" applyProtection="0"/>
    <xf numFmtId="9" fontId="141" fillId="0" borderId="0" applyFont="0" applyFill="0" applyBorder="0" applyAlignment="0" applyProtection="0"/>
    <xf numFmtId="9" fontId="152" fillId="0" borderId="0" applyFont="0" applyFill="0" applyBorder="0" applyAlignment="0" applyProtection="0"/>
    <xf numFmtId="0" fontId="145" fillId="8" borderId="41">
      <alignment horizontal="centerContinuous"/>
    </xf>
    <xf numFmtId="49" fontId="142" fillId="50" borderId="10">
      <alignment horizontal="center" vertical="center" wrapText="1"/>
    </xf>
    <xf numFmtId="179" fontId="149" fillId="51" borderId="0" applyNumberFormat="0" applyBorder="0" applyAlignment="0" applyProtection="0"/>
    <xf numFmtId="179" fontId="149" fillId="13" borderId="0" applyNumberFormat="0" applyBorder="0" applyAlignment="0" applyProtection="0"/>
    <xf numFmtId="179" fontId="149" fillId="15" borderId="0" applyNumberFormat="0" applyBorder="0" applyAlignment="0" applyProtection="0"/>
    <xf numFmtId="179" fontId="149" fillId="48" borderId="0" applyNumberFormat="0" applyBorder="0" applyAlignment="0" applyProtection="0"/>
    <xf numFmtId="179" fontId="149" fillId="12" borderId="0" applyNumberFormat="0" applyBorder="0" applyAlignment="0" applyProtection="0"/>
    <xf numFmtId="179" fontId="149" fillId="14" borderId="0" applyNumberFormat="0" applyBorder="0" applyAlignment="0" applyProtection="0"/>
    <xf numFmtId="179" fontId="153" fillId="3" borderId="1" applyNumberFormat="0" applyAlignment="0" applyProtection="0"/>
    <xf numFmtId="179" fontId="154" fillId="8" borderId="8" applyNumberFormat="0" applyAlignment="0" applyProtection="0"/>
    <xf numFmtId="179" fontId="155" fillId="8" borderId="1" applyNumberFormat="0" applyAlignment="0" applyProtection="0"/>
    <xf numFmtId="0" fontId="139"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179" fontId="157" fillId="0" borderId="240" applyNumberFormat="0" applyFill="0" applyAlignment="0" applyProtection="0"/>
    <xf numFmtId="179" fontId="158" fillId="0" borderId="5" applyNumberFormat="0" applyFill="0" applyAlignment="0" applyProtection="0"/>
    <xf numFmtId="179" fontId="159" fillId="0" borderId="9" applyNumberFormat="0" applyFill="0" applyAlignment="0" applyProtection="0"/>
    <xf numFmtId="179" fontId="159" fillId="0" borderId="0" applyNumberFormat="0" applyFill="0" applyBorder="0" applyAlignment="0" applyProtection="0"/>
    <xf numFmtId="179" fontId="133" fillId="0" borderId="241" applyNumberFormat="0" applyFill="0" applyAlignment="0" applyProtection="0"/>
    <xf numFmtId="179" fontId="160" fillId="18" borderId="2" applyNumberFormat="0" applyAlignment="0" applyProtection="0"/>
    <xf numFmtId="179" fontId="161" fillId="0" borderId="0" applyNumberFormat="0" applyFill="0" applyBorder="0" applyAlignment="0" applyProtection="0"/>
    <xf numFmtId="179" fontId="162" fillId="10" borderId="0" applyNumberFormat="0" applyBorder="0" applyAlignment="0" applyProtection="0"/>
    <xf numFmtId="0" fontId="134" fillId="0" borderId="0"/>
    <xf numFmtId="0" fontId="141" fillId="0" borderId="0"/>
    <xf numFmtId="0" fontId="135" fillId="0" borderId="0"/>
    <xf numFmtId="0" fontId="124" fillId="0" borderId="0"/>
    <xf numFmtId="0" fontId="124" fillId="0" borderId="0"/>
    <xf numFmtId="0" fontId="135" fillId="0" borderId="0"/>
    <xf numFmtId="0" fontId="134" fillId="0" borderId="0"/>
    <xf numFmtId="179" fontId="163" fillId="6" borderId="0" applyNumberFormat="0" applyBorder="0" applyAlignment="0" applyProtection="0"/>
    <xf numFmtId="179" fontId="164" fillId="0" borderId="0" applyNumberFormat="0" applyFill="0" applyBorder="0" applyAlignment="0" applyProtection="0"/>
    <xf numFmtId="179" fontId="135" fillId="4" borderId="7" applyNumberFormat="0" applyFont="0" applyAlignment="0" applyProtection="0"/>
    <xf numFmtId="9" fontId="134" fillId="0" borderId="0" applyFont="0" applyFill="0" applyBorder="0" applyAlignment="0" applyProtection="0"/>
    <xf numFmtId="179" fontId="165" fillId="0" borderId="3" applyNumberFormat="0" applyFill="0" applyAlignment="0" applyProtection="0"/>
    <xf numFmtId="179" fontId="166" fillId="0" borderId="0" applyNumberFormat="0" applyFill="0" applyBorder="0" applyAlignment="0" applyProtection="0"/>
    <xf numFmtId="165" fontId="135" fillId="0" borderId="0" applyFont="0" applyFill="0" applyBorder="0" applyAlignment="0" applyProtection="0"/>
    <xf numFmtId="165" fontId="141" fillId="0" borderId="0" applyFont="0" applyFill="0" applyBorder="0" applyAlignment="0" applyProtection="0"/>
    <xf numFmtId="177" fontId="135" fillId="0" borderId="0" applyFont="0" applyFill="0" applyBorder="0" applyAlignment="0" applyProtection="0"/>
    <xf numFmtId="170" fontId="135" fillId="0" borderId="0" applyFont="0" applyFill="0" applyBorder="0" applyAlignment="0" applyProtection="0"/>
    <xf numFmtId="166" fontId="134" fillId="0" borderId="0" applyFont="0" applyFill="0" applyBorder="0" applyAlignment="0" applyProtection="0"/>
    <xf numFmtId="166" fontId="135" fillId="0" borderId="0" applyFont="0" applyFill="0" applyBorder="0" applyAlignment="0" applyProtection="0"/>
    <xf numFmtId="179" fontId="167" fillId="7" borderId="0" applyNumberFormat="0" applyBorder="0" applyAlignment="0" applyProtection="0"/>
    <xf numFmtId="181" fontId="167" fillId="7" borderId="0" applyNumberFormat="0" applyBorder="0" applyAlignment="0" applyProtection="0"/>
    <xf numFmtId="0" fontId="20" fillId="0" borderId="0"/>
    <xf numFmtId="0" fontId="168" fillId="0" borderId="0" applyFill="0" applyBorder="0" applyProtection="0">
      <alignment horizontal="left"/>
    </xf>
  </cellStyleXfs>
  <cellXfs count="1126">
    <xf numFmtId="0" fontId="0" fillId="0" borderId="0" xfId="0"/>
    <xf numFmtId="43" fontId="16" fillId="0" borderId="0" xfId="38" applyFont="1" applyAlignment="1">
      <alignment vertical="center"/>
    </xf>
    <xf numFmtId="43" fontId="22" fillId="0" borderId="0" xfId="38" applyFont="1" applyAlignment="1">
      <alignment vertical="center"/>
    </xf>
    <xf numFmtId="0" fontId="21" fillId="0" borderId="0" xfId="0" applyFont="1"/>
    <xf numFmtId="43" fontId="19" fillId="0" borderId="0" xfId="49" applyFont="1"/>
    <xf numFmtId="43" fontId="19" fillId="0" borderId="0" xfId="49" applyFont="1" applyAlignment="1">
      <alignment horizontal="center"/>
    </xf>
    <xf numFmtId="43" fontId="19" fillId="0" borderId="0" xfId="49" applyFont="1" applyAlignment="1">
      <alignment horizontal="right"/>
    </xf>
    <xf numFmtId="43" fontId="116" fillId="0" borderId="0" xfId="48"/>
    <xf numFmtId="43" fontId="15" fillId="0" borderId="0" xfId="48" applyFont="1"/>
    <xf numFmtId="0" fontId="18" fillId="0" borderId="0" xfId="48" applyNumberFormat="1" applyFont="1"/>
    <xf numFmtId="43" fontId="116" fillId="0" borderId="0" xfId="50"/>
    <xf numFmtId="43" fontId="116" fillId="0" borderId="0" xfId="50" applyAlignment="1">
      <alignment horizontal="left"/>
    </xf>
    <xf numFmtId="0" fontId="15" fillId="0" borderId="0" xfId="0" applyFont="1"/>
    <xf numFmtId="43" fontId="15" fillId="0" borderId="0" xfId="50" applyFont="1"/>
    <xf numFmtId="15" fontId="29" fillId="0" borderId="0" xfId="0" applyNumberFormat="1" applyFont="1" applyAlignment="1" applyProtection="1">
      <alignment horizontal="center" vertical="center" wrapText="1"/>
      <protection locked="0"/>
    </xf>
    <xf numFmtId="43" fontId="28" fillId="0" borderId="0" xfId="0" applyNumberFormat="1" applyFont="1"/>
    <xf numFmtId="168" fontId="28" fillId="0" borderId="0" xfId="62" applyNumberFormat="1" applyFont="1" applyAlignment="1">
      <alignment horizontal="left"/>
    </xf>
    <xf numFmtId="43" fontId="16" fillId="0" borderId="0" xfId="47" applyFont="1" applyAlignment="1">
      <alignment vertical="center"/>
    </xf>
    <xf numFmtId="0" fontId="0" fillId="0" borderId="10" xfId="0" applyBorder="1" applyAlignment="1">
      <alignment horizontal="center"/>
    </xf>
    <xf numFmtId="0" fontId="1" fillId="0" borderId="0" xfId="0" applyFont="1"/>
    <xf numFmtId="0" fontId="42" fillId="0" borderId="0" xfId="0" applyFont="1"/>
    <xf numFmtId="0" fontId="42" fillId="0" borderId="0" xfId="0" applyFont="1" applyAlignment="1">
      <alignment horizontal="right"/>
    </xf>
    <xf numFmtId="0" fontId="45" fillId="0" borderId="0" xfId="0" applyFont="1"/>
    <xf numFmtId="10" fontId="6" fillId="0" borderId="0" xfId="61" applyNumberFormat="1" applyFont="1" applyFill="1" applyBorder="1" applyAlignment="1">
      <alignment horizontal="center"/>
    </xf>
    <xf numFmtId="10" fontId="6" fillId="0" borderId="0" xfId="61" applyNumberFormat="1" applyFont="1" applyFill="1" applyBorder="1" applyAlignment="1" applyProtection="1">
      <alignment horizontal="center"/>
      <protection locked="0"/>
    </xf>
    <xf numFmtId="43" fontId="116" fillId="0" borderId="0" xfId="59" applyFill="1" applyBorder="1" applyAlignment="1" applyProtection="1">
      <alignment vertical="center"/>
      <protection locked="0"/>
    </xf>
    <xf numFmtId="167" fontId="32" fillId="0" borderId="0" xfId="0" applyNumberFormat="1" applyFont="1" applyAlignment="1">
      <alignment horizontal="center"/>
    </xf>
    <xf numFmtId="0" fontId="26" fillId="0" borderId="0" xfId="0" applyFont="1" applyAlignment="1">
      <alignment horizontal="centerContinuous"/>
    </xf>
    <xf numFmtId="0" fontId="0" fillId="0" borderId="0" xfId="0" applyAlignment="1">
      <alignment horizontal="centerContinuous"/>
    </xf>
    <xf numFmtId="43" fontId="38" fillId="0" borderId="0" xfId="59" applyFont="1" applyFill="1" applyBorder="1" applyAlignment="1" applyProtection="1">
      <alignment vertical="center"/>
      <protection locked="0"/>
    </xf>
    <xf numFmtId="0" fontId="0" fillId="0" borderId="10" xfId="0" applyBorder="1"/>
    <xf numFmtId="0" fontId="0" fillId="0" borderId="0" xfId="0" applyAlignment="1">
      <alignment horizontal="center"/>
    </xf>
    <xf numFmtId="22" fontId="0" fillId="0" borderId="0" xfId="0" applyNumberFormat="1"/>
    <xf numFmtId="2" fontId="0" fillId="0" borderId="0" xfId="0" applyNumberFormat="1"/>
    <xf numFmtId="2" fontId="116" fillId="0" borderId="0" xfId="56" applyNumberFormat="1" applyFill="1" applyBorder="1" applyAlignment="1" applyProtection="1">
      <alignment horizontal="center"/>
      <protection locked="0"/>
    </xf>
    <xf numFmtId="0" fontId="15" fillId="0" borderId="0" xfId="0" applyFont="1" applyAlignment="1">
      <alignment horizontal="center"/>
    </xf>
    <xf numFmtId="0" fontId="23" fillId="0" borderId="0" xfId="0" applyFont="1"/>
    <xf numFmtId="0" fontId="15" fillId="0" borderId="0" xfId="0" applyFont="1" applyAlignment="1">
      <alignment horizontal="left" indent="1"/>
    </xf>
    <xf numFmtId="0" fontId="18" fillId="0" borderId="0" xfId="0" applyFont="1" applyAlignment="1">
      <alignment horizontal="left" indent="1"/>
    </xf>
    <xf numFmtId="43" fontId="68" fillId="0" borderId="0" xfId="48" applyFont="1"/>
    <xf numFmtId="43" fontId="68" fillId="0" borderId="0" xfId="50" applyFont="1"/>
    <xf numFmtId="0" fontId="68" fillId="0" borderId="10" xfId="0" applyFont="1" applyBorder="1" applyAlignment="1">
      <alignment horizontal="center"/>
    </xf>
    <xf numFmtId="0" fontId="68" fillId="0" borderId="10" xfId="0" applyFont="1" applyBorder="1"/>
    <xf numFmtId="43" fontId="68" fillId="0" borderId="10" xfId="50" applyFont="1" applyBorder="1"/>
    <xf numFmtId="0" fontId="69" fillId="0" borderId="10" xfId="0" applyFont="1" applyBorder="1" applyAlignment="1">
      <alignment horizontal="left" indent="1"/>
    </xf>
    <xf numFmtId="0" fontId="70" fillId="19" borderId="10" xfId="0" applyFont="1" applyFill="1" applyBorder="1" applyAlignment="1">
      <alignment horizontal="center"/>
    </xf>
    <xf numFmtId="3" fontId="15" fillId="20" borderId="11" xfId="0" applyNumberFormat="1" applyFont="1" applyFill="1" applyBorder="1" applyAlignment="1">
      <alignment horizontal="right"/>
    </xf>
    <xf numFmtId="3" fontId="15" fillId="20" borderId="11" xfId="62" applyNumberFormat="1" applyFont="1" applyFill="1" applyBorder="1"/>
    <xf numFmtId="9" fontId="15" fillId="20" borderId="11" xfId="61" applyFont="1" applyFill="1" applyBorder="1"/>
    <xf numFmtId="0" fontId="15" fillId="20" borderId="11" xfId="0" applyFont="1" applyFill="1" applyBorder="1"/>
    <xf numFmtId="9" fontId="15" fillId="20" borderId="11" xfId="61" applyFont="1" applyFill="1" applyBorder="1" applyAlignment="1">
      <alignment horizontal="center"/>
    </xf>
    <xf numFmtId="0" fontId="14" fillId="0" borderId="0" xfId="0" applyFont="1"/>
    <xf numFmtId="0" fontId="77" fillId="19" borderId="12" xfId="0" applyFont="1" applyFill="1" applyBorder="1" applyAlignment="1">
      <alignment vertical="center"/>
    </xf>
    <xf numFmtId="0" fontId="75" fillId="0" borderId="0" xfId="52" applyFont="1" applyAlignment="1">
      <alignment horizontal="center" vertical="center" wrapText="1"/>
    </xf>
    <xf numFmtId="15" fontId="0" fillId="0" borderId="0" xfId="0" applyNumberFormat="1" applyAlignment="1">
      <alignment horizontal="center"/>
    </xf>
    <xf numFmtId="1" fontId="21" fillId="0" borderId="0" xfId="0" applyNumberFormat="1" applyFont="1" applyAlignment="1">
      <alignment horizontal="center"/>
    </xf>
    <xf numFmtId="1" fontId="80" fillId="20" borderId="0" xfId="0" applyNumberFormat="1" applyFont="1" applyFill="1" applyAlignment="1">
      <alignment horizontal="center"/>
    </xf>
    <xf numFmtId="0" fontId="80" fillId="0" borderId="0" xfId="0" applyFont="1" applyAlignment="1">
      <alignment horizontal="left"/>
    </xf>
    <xf numFmtId="0" fontId="81" fillId="0" borderId="0" xfId="0" applyFont="1"/>
    <xf numFmtId="43" fontId="38" fillId="0" borderId="0" xfId="59" applyFont="1" applyFill="1" applyBorder="1" applyAlignment="1" applyProtection="1">
      <alignment horizontal="center" vertical="center"/>
      <protection locked="0"/>
    </xf>
    <xf numFmtId="15" fontId="0" fillId="0" borderId="0" xfId="0" applyNumberFormat="1"/>
    <xf numFmtId="43" fontId="31" fillId="0" borderId="14" xfId="59" applyFont="1" applyBorder="1" applyAlignment="1" applyProtection="1"/>
    <xf numFmtId="43" fontId="116" fillId="0" borderId="14" xfId="59" applyFill="1" applyBorder="1" applyAlignment="1" applyProtection="1">
      <alignment vertical="center"/>
    </xf>
    <xf numFmtId="43" fontId="31" fillId="0" borderId="0" xfId="59" applyFont="1" applyBorder="1" applyAlignment="1" applyProtection="1"/>
    <xf numFmtId="43" fontId="116" fillId="0" borderId="0" xfId="59" applyFill="1" applyBorder="1" applyAlignment="1" applyProtection="1">
      <alignment vertical="center"/>
    </xf>
    <xf numFmtId="0" fontId="32" fillId="0" borderId="15" xfId="0" applyFont="1" applyBorder="1" applyAlignment="1">
      <alignment horizontal="center"/>
    </xf>
    <xf numFmtId="15" fontId="32" fillId="0" borderId="16" xfId="0" applyNumberFormat="1" applyFont="1" applyBorder="1" applyAlignment="1">
      <alignment horizontal="center"/>
    </xf>
    <xf numFmtId="0" fontId="32" fillId="0" borderId="17" xfId="0" applyFont="1" applyBorder="1" applyAlignment="1">
      <alignment horizontal="center"/>
    </xf>
    <xf numFmtId="168" fontId="15" fillId="0" borderId="0" xfId="0" applyNumberFormat="1" applyFont="1"/>
    <xf numFmtId="0" fontId="6" fillId="0" borderId="0" xfId="0" applyFont="1" applyAlignment="1">
      <alignment horizontal="centerContinuous"/>
    </xf>
    <xf numFmtId="10" fontId="6" fillId="0" borderId="0" xfId="61" applyNumberFormat="1" applyFont="1" applyFill="1" applyBorder="1" applyAlignment="1" applyProtection="1">
      <alignment horizontal="center"/>
    </xf>
    <xf numFmtId="0" fontId="6" fillId="0" borderId="0" xfId="0" applyFont="1"/>
    <xf numFmtId="0" fontId="26" fillId="0" borderId="0" xfId="0" applyFont="1" applyAlignment="1">
      <alignment horizontal="centerContinuous" wrapText="1"/>
    </xf>
    <xf numFmtId="43" fontId="37" fillId="0" borderId="18" xfId="59" applyFont="1" applyBorder="1" applyAlignment="1" applyProtection="1"/>
    <xf numFmtId="43" fontId="38" fillId="0" borderId="18" xfId="59" applyFont="1" applyFill="1" applyBorder="1" applyAlignment="1" applyProtection="1">
      <alignment vertical="center"/>
    </xf>
    <xf numFmtId="43" fontId="38" fillId="0" borderId="0" xfId="59" applyFont="1" applyFill="1" applyBorder="1" applyAlignment="1" applyProtection="1">
      <alignment vertical="center"/>
    </xf>
    <xf numFmtId="43" fontId="37" fillId="0" borderId="0" xfId="59" applyFont="1" applyBorder="1" applyAlignment="1" applyProtection="1"/>
    <xf numFmtId="43" fontId="39" fillId="0" borderId="0" xfId="59" applyFont="1" applyFill="1" applyBorder="1" applyAlignment="1" applyProtection="1">
      <alignment vertical="center"/>
    </xf>
    <xf numFmtId="0" fontId="14" fillId="0" borderId="0" xfId="0" applyFont="1" applyAlignment="1">
      <alignment horizontal="center"/>
    </xf>
    <xf numFmtId="0" fontId="14" fillId="0" borderId="19" xfId="0" applyFont="1" applyBorder="1" applyAlignment="1">
      <alignment horizontal="center"/>
    </xf>
    <xf numFmtId="0" fontId="14" fillId="0" borderId="19" xfId="0" applyFont="1" applyBorder="1" applyAlignment="1">
      <alignment horizontal="center" wrapText="1"/>
    </xf>
    <xf numFmtId="1" fontId="21" fillId="20" borderId="20" xfId="0" applyNumberFormat="1" applyFont="1" applyFill="1" applyBorder="1" applyAlignment="1">
      <alignment horizontal="center"/>
    </xf>
    <xf numFmtId="1" fontId="21" fillId="20" borderId="22" xfId="0" applyNumberFormat="1" applyFont="1" applyFill="1" applyBorder="1" applyAlignment="1">
      <alignment horizontal="center"/>
    </xf>
    <xf numFmtId="0" fontId="0" fillId="0" borderId="24" xfId="0" applyBorder="1" applyAlignment="1">
      <alignment horizontal="center"/>
    </xf>
    <xf numFmtId="0" fontId="0" fillId="0" borderId="0" xfId="0" applyAlignment="1">
      <alignment horizontal="center" wrapText="1"/>
    </xf>
    <xf numFmtId="43" fontId="0" fillId="0" borderId="0" xfId="0" applyNumberFormat="1"/>
    <xf numFmtId="43" fontId="67" fillId="0" borderId="25" xfId="59" applyFont="1" applyFill="1" applyBorder="1" applyAlignment="1" applyProtection="1"/>
    <xf numFmtId="43" fontId="38" fillId="0" borderId="25" xfId="59" applyFont="1" applyFill="1" applyBorder="1" applyAlignment="1" applyProtection="1">
      <alignment vertical="center"/>
    </xf>
    <xf numFmtId="168" fontId="28" fillId="0" borderId="0" xfId="62" applyNumberFormat="1" applyFont="1" applyAlignment="1" applyProtection="1">
      <alignment horizontal="left"/>
    </xf>
    <xf numFmtId="15" fontId="28" fillId="0" borderId="0" xfId="0" applyNumberFormat="1" applyFont="1" applyAlignment="1">
      <alignment horizontal="left"/>
    </xf>
    <xf numFmtId="43" fontId="28" fillId="0" borderId="0" xfId="0" applyNumberFormat="1" applyFont="1" applyAlignment="1">
      <alignment horizontal="right"/>
    </xf>
    <xf numFmtId="168" fontId="28" fillId="0" borderId="0" xfId="62" applyNumberFormat="1" applyFont="1" applyBorder="1" applyAlignment="1" applyProtection="1">
      <alignment horizontal="left"/>
    </xf>
    <xf numFmtId="0" fontId="19" fillId="0" borderId="0" xfId="0" applyFont="1" applyAlignment="1">
      <alignment horizontal="center"/>
    </xf>
    <xf numFmtId="0" fontId="34" fillId="0" borderId="0" xfId="0" applyFont="1"/>
    <xf numFmtId="15" fontId="26" fillId="0" borderId="0" xfId="0" applyNumberFormat="1" applyFont="1"/>
    <xf numFmtId="15" fontId="26" fillId="0" borderId="0" xfId="0" applyNumberFormat="1" applyFont="1" applyAlignment="1">
      <alignment horizontal="center" wrapText="1"/>
    </xf>
    <xf numFmtId="0" fontId="26" fillId="0" borderId="0" xfId="0" applyFont="1"/>
    <xf numFmtId="0" fontId="44" fillId="0" borderId="0" xfId="0" applyFont="1" applyAlignment="1">
      <alignment horizontal="left" vertical="center"/>
    </xf>
    <xf numFmtId="0" fontId="44" fillId="0" borderId="0" xfId="0" applyFont="1" applyAlignment="1">
      <alignment horizontal="left"/>
    </xf>
    <xf numFmtId="169" fontId="44" fillId="0" borderId="0" xfId="0" applyNumberFormat="1" applyFont="1" applyAlignment="1">
      <alignment horizontal="left"/>
    </xf>
    <xf numFmtId="0" fontId="46" fillId="0" borderId="0" xfId="0" applyFont="1"/>
    <xf numFmtId="0" fontId="47" fillId="0" borderId="0" xfId="0" applyFont="1"/>
    <xf numFmtId="0" fontId="49" fillId="0" borderId="0" xfId="0" applyFont="1" applyAlignment="1">
      <alignment horizontal="right"/>
    </xf>
    <xf numFmtId="0" fontId="50" fillId="0" borderId="0" xfId="0" applyFont="1" applyAlignment="1">
      <alignment horizontal="center"/>
    </xf>
    <xf numFmtId="0" fontId="34" fillId="0" borderId="0" xfId="0" applyFont="1" applyAlignment="1">
      <alignment horizontal="center" vertical="center"/>
    </xf>
    <xf numFmtId="0" fontId="51" fillId="20" borderId="0" xfId="0" applyFont="1" applyFill="1" applyAlignment="1">
      <alignment horizontal="left" vertical="center"/>
    </xf>
    <xf numFmtId="3" fontId="56" fillId="0" borderId="0" xfId="0" applyNumberFormat="1" applyFont="1" applyAlignment="1">
      <alignment horizontal="right" vertical="center"/>
    </xf>
    <xf numFmtId="0" fontId="57" fillId="20" borderId="0" xfId="0" applyFont="1" applyFill="1" applyAlignment="1">
      <alignment horizontal="left" vertical="center"/>
    </xf>
    <xf numFmtId="171" fontId="51" fillId="20" borderId="0" xfId="0" applyNumberFormat="1" applyFont="1" applyFill="1" applyAlignment="1">
      <alignment vertical="center"/>
    </xf>
    <xf numFmtId="0" fontId="52" fillId="20" borderId="0" xfId="0" applyFont="1" applyFill="1" applyAlignment="1">
      <alignment horizontal="right"/>
    </xf>
    <xf numFmtId="0" fontId="62" fillId="20" borderId="0" xfId="0" applyFont="1" applyFill="1" applyAlignment="1">
      <alignment horizontal="center" vertical="center"/>
    </xf>
    <xf numFmtId="0" fontId="53" fillId="20" borderId="0" xfId="0" applyFont="1" applyFill="1" applyAlignment="1">
      <alignment horizontal="center" vertical="center"/>
    </xf>
    <xf numFmtId="170" fontId="51" fillId="20" borderId="0" xfId="61" applyNumberFormat="1" applyFont="1" applyFill="1" applyBorder="1" applyAlignment="1" applyProtection="1">
      <alignment horizontal="right"/>
    </xf>
    <xf numFmtId="9" fontId="54" fillId="20" borderId="0" xfId="0" applyNumberFormat="1" applyFont="1" applyFill="1"/>
    <xf numFmtId="0" fontId="55" fillId="20" borderId="0" xfId="0" applyFont="1" applyFill="1" applyAlignment="1">
      <alignment horizontal="center" vertical="center"/>
    </xf>
    <xf numFmtId="9" fontId="54" fillId="20" borderId="0" xfId="0" applyNumberFormat="1" applyFont="1" applyFill="1" applyAlignment="1">
      <alignment horizontal="left"/>
    </xf>
    <xf numFmtId="0" fontId="63"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right" vertical="center" indent="1"/>
    </xf>
    <xf numFmtId="0" fontId="52" fillId="0" borderId="27" xfId="0" applyFont="1" applyBorder="1" applyAlignment="1">
      <alignment horizontal="right"/>
    </xf>
    <xf numFmtId="0" fontId="52" fillId="0" borderId="28" xfId="0" applyFont="1" applyBorder="1" applyAlignment="1">
      <alignment horizontal="right"/>
    </xf>
    <xf numFmtId="0" fontId="52" fillId="0" borderId="29" xfId="0" applyFont="1" applyBorder="1" applyAlignment="1">
      <alignment horizontal="right"/>
    </xf>
    <xf numFmtId="0" fontId="61" fillId="0" borderId="0" xfId="0" applyFont="1" applyAlignment="1">
      <alignment horizontal="center"/>
    </xf>
    <xf numFmtId="0" fontId="52" fillId="0" borderId="0" xfId="0" applyFont="1" applyAlignment="1">
      <alignment horizontal="right"/>
    </xf>
    <xf numFmtId="0" fontId="62" fillId="0" borderId="0" xfId="0" applyFont="1" applyAlignment="1">
      <alignment horizontal="center" vertical="center"/>
    </xf>
    <xf numFmtId="9" fontId="65" fillId="0" borderId="0" xfId="0" applyNumberFormat="1" applyFont="1"/>
    <xf numFmtId="9" fontId="65" fillId="0" borderId="0" xfId="0" applyNumberFormat="1" applyFont="1" applyAlignment="1">
      <alignment horizontal="center"/>
    </xf>
    <xf numFmtId="0" fontId="52" fillId="0" borderId="30" xfId="0" applyFont="1" applyBorder="1" applyAlignment="1">
      <alignment horizontal="right"/>
    </xf>
    <xf numFmtId="9" fontId="54" fillId="0" borderId="0" xfId="0" applyNumberFormat="1" applyFont="1"/>
    <xf numFmtId="0" fontId="52" fillId="0" borderId="31" xfId="0" applyFont="1" applyBorder="1" applyAlignment="1">
      <alignment horizontal="right"/>
    </xf>
    <xf numFmtId="0" fontId="52" fillId="0" borderId="32" xfId="0" applyFont="1" applyBorder="1" applyAlignment="1">
      <alignment horizontal="right"/>
    </xf>
    <xf numFmtId="0" fontId="34" fillId="0" borderId="33" xfId="0" applyFont="1" applyBorder="1" applyAlignment="1">
      <alignment vertical="center"/>
    </xf>
    <xf numFmtId="0" fontId="34" fillId="0" borderId="34" xfId="0" applyFont="1" applyBorder="1" applyAlignment="1">
      <alignment vertical="center"/>
    </xf>
    <xf numFmtId="0" fontId="34" fillId="0" borderId="35" xfId="0" applyFont="1" applyBorder="1" applyAlignment="1">
      <alignment vertical="center"/>
    </xf>
    <xf numFmtId="0" fontId="43" fillId="0" borderId="0" xfId="0" applyFont="1"/>
    <xf numFmtId="0" fontId="64" fillId="0" borderId="0" xfId="0" applyFont="1"/>
    <xf numFmtId="0" fontId="58" fillId="0" borderId="0" xfId="0" applyFont="1"/>
    <xf numFmtId="0" fontId="71" fillId="0" borderId="0" xfId="0" applyFont="1" applyAlignment="1">
      <alignment wrapText="1"/>
    </xf>
    <xf numFmtId="0" fontId="68" fillId="0" borderId="0" xfId="0" applyFont="1"/>
    <xf numFmtId="43" fontId="15" fillId="0" borderId="0" xfId="0" applyNumberFormat="1" applyFont="1"/>
    <xf numFmtId="0" fontId="28" fillId="0" borderId="0" xfId="0" applyFont="1" applyAlignment="1">
      <alignment horizontal="center"/>
    </xf>
    <xf numFmtId="15" fontId="28" fillId="0" borderId="0" xfId="0" applyNumberFormat="1" applyFont="1" applyAlignment="1">
      <alignment horizontal="center"/>
    </xf>
    <xf numFmtId="43" fontId="0" fillId="0" borderId="0" xfId="0" applyNumberFormat="1" applyAlignment="1">
      <alignment horizontal="right"/>
    </xf>
    <xf numFmtId="3" fontId="0" fillId="0" borderId="0" xfId="0" applyNumberFormat="1"/>
    <xf numFmtId="43" fontId="36" fillId="0" borderId="0" xfId="0" applyNumberFormat="1" applyFont="1"/>
    <xf numFmtId="168" fontId="6" fillId="0" borderId="0" xfId="62" applyNumberFormat="1" applyFont="1" applyFill="1" applyBorder="1" applyAlignment="1" applyProtection="1">
      <protection locked="0"/>
    </xf>
    <xf numFmtId="168" fontId="6" fillId="0" borderId="0" xfId="62" applyNumberFormat="1" applyFont="1" applyFill="1" applyBorder="1" applyProtection="1">
      <protection locked="0"/>
    </xf>
    <xf numFmtId="0" fontId="15" fillId="20" borderId="0" xfId="0" applyFont="1" applyFill="1"/>
    <xf numFmtId="167" fontId="15" fillId="20" borderId="0" xfId="0" applyNumberFormat="1" applyFont="1" applyFill="1"/>
    <xf numFmtId="168" fontId="15" fillId="20" borderId="0" xfId="0" applyNumberFormat="1" applyFont="1" applyFill="1"/>
    <xf numFmtId="3" fontId="15" fillId="20" borderId="0" xfId="0" applyNumberFormat="1" applyFont="1" applyFill="1"/>
    <xf numFmtId="0" fontId="34" fillId="0" borderId="0" xfId="0" applyFont="1" applyAlignment="1" applyProtection="1">
      <alignment horizontal="left"/>
      <protection locked="0"/>
    </xf>
    <xf numFmtId="43" fontId="17" fillId="0" borderId="0" xfId="46" applyFont="1" applyAlignment="1">
      <alignment horizontal="center" vertical="center"/>
    </xf>
    <xf numFmtId="43" fontId="16" fillId="0" borderId="0" xfId="46" applyFont="1" applyAlignment="1">
      <alignment vertical="center"/>
    </xf>
    <xf numFmtId="0" fontId="82" fillId="0" borderId="0" xfId="0" applyFont="1"/>
    <xf numFmtId="43" fontId="20" fillId="0" borderId="38" xfId="56" applyFont="1" applyBorder="1" applyAlignment="1" applyProtection="1">
      <alignment horizontal="right"/>
    </xf>
    <xf numFmtId="0" fontId="12" fillId="0" borderId="0" xfId="0" applyFont="1"/>
    <xf numFmtId="0" fontId="0" fillId="20" borderId="0" xfId="0" applyFill="1"/>
    <xf numFmtId="0" fontId="0" fillId="20" borderId="39" xfId="0" applyFill="1" applyBorder="1"/>
    <xf numFmtId="43" fontId="88" fillId="0" borderId="0" xfId="0" applyNumberFormat="1" applyFont="1"/>
    <xf numFmtId="0" fontId="88" fillId="0" borderId="0" xfId="0" applyFont="1"/>
    <xf numFmtId="43" fontId="0" fillId="0" borderId="0" xfId="0" quotePrefix="1" applyNumberFormat="1"/>
    <xf numFmtId="0" fontId="34" fillId="0" borderId="40" xfId="0" applyFont="1" applyBorder="1" applyAlignment="1">
      <alignment vertical="center"/>
    </xf>
    <xf numFmtId="43" fontId="116" fillId="0" borderId="0" xfId="51" applyAlignment="1">
      <alignment horizontal="center"/>
    </xf>
    <xf numFmtId="0" fontId="34" fillId="0" borderId="0" xfId="0" quotePrefix="1" applyFont="1"/>
    <xf numFmtId="43" fontId="89" fillId="0" borderId="25" xfId="59" applyFont="1" applyFill="1" applyBorder="1" applyAlignment="1" applyProtection="1"/>
    <xf numFmtId="43" fontId="9" fillId="0" borderId="25" xfId="59" applyFont="1" applyFill="1" applyBorder="1" applyAlignment="1" applyProtection="1">
      <alignment vertical="center"/>
    </xf>
    <xf numFmtId="0" fontId="2" fillId="0" borderId="44" xfId="0" applyFont="1" applyBorder="1" applyAlignment="1">
      <alignment horizontal="center"/>
    </xf>
    <xf numFmtId="43" fontId="91" fillId="0" borderId="25" xfId="59" applyFont="1" applyFill="1" applyBorder="1" applyAlignment="1" applyProtection="1">
      <alignment vertical="center"/>
    </xf>
    <xf numFmtId="0" fontId="90" fillId="0" borderId="0" xfId="0" applyFont="1"/>
    <xf numFmtId="15" fontId="6" fillId="0" borderId="0" xfId="0" applyNumberFormat="1" applyFont="1" applyAlignment="1">
      <alignment horizontal="centerContinuous"/>
    </xf>
    <xf numFmtId="15" fontId="6" fillId="0" borderId="0" xfId="0" applyNumberFormat="1" applyFont="1" applyAlignment="1">
      <alignment horizontal="center"/>
    </xf>
    <xf numFmtId="1" fontId="21" fillId="25" borderId="10" xfId="0" applyNumberFormat="1" applyFont="1" applyFill="1" applyBorder="1" applyAlignment="1" applyProtection="1">
      <alignment horizontal="center"/>
      <protection locked="0"/>
    </xf>
    <xf numFmtId="1" fontId="21" fillId="25" borderId="45" xfId="0" applyNumberFormat="1" applyFont="1" applyFill="1" applyBorder="1" applyAlignment="1" applyProtection="1">
      <alignment horizontal="center"/>
      <protection locked="0"/>
    </xf>
    <xf numFmtId="1" fontId="0" fillId="25" borderId="10" xfId="0" applyNumberFormat="1" applyFill="1" applyBorder="1" applyAlignment="1" applyProtection="1">
      <alignment horizontal="center"/>
      <protection locked="0"/>
    </xf>
    <xf numFmtId="168" fontId="0" fillId="0" borderId="0" xfId="0" applyNumberFormat="1"/>
    <xf numFmtId="0" fontId="94" fillId="0" borderId="0" xfId="0" applyFont="1" applyAlignment="1">
      <alignment horizontal="right"/>
    </xf>
    <xf numFmtId="43" fontId="95" fillId="0" borderId="14" xfId="59" applyFont="1" applyFill="1" applyBorder="1" applyAlignment="1" applyProtection="1">
      <alignment horizontal="left" vertical="center"/>
    </xf>
    <xf numFmtId="0" fontId="94" fillId="0" borderId="0" xfId="0" applyFont="1"/>
    <xf numFmtId="3" fontId="6" fillId="0" borderId="0" xfId="0" applyNumberFormat="1" applyFont="1" applyAlignment="1">
      <alignment horizontal="right"/>
    </xf>
    <xf numFmtId="0" fontId="97" fillId="0" borderId="0" xfId="0" applyFont="1" applyAlignment="1">
      <alignment horizontal="center" wrapText="1"/>
    </xf>
    <xf numFmtId="0" fontId="94" fillId="0" borderId="0" xfId="0" applyFont="1" applyAlignment="1">
      <alignment horizontal="center"/>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15" fontId="32" fillId="0" borderId="46" xfId="0" applyNumberFormat="1" applyFont="1" applyBorder="1" applyAlignment="1">
      <alignment horizontal="center"/>
    </xf>
    <xf numFmtId="15" fontId="29" fillId="0" borderId="0" xfId="0" applyNumberFormat="1" applyFont="1" applyAlignment="1">
      <alignment horizontal="center" vertical="center" wrapText="1"/>
    </xf>
    <xf numFmtId="43" fontId="101" fillId="0" borderId="0" xfId="38" applyFont="1" applyAlignment="1">
      <alignment vertical="center"/>
    </xf>
    <xf numFmtId="0" fontId="0" fillId="0" borderId="0" xfId="0" applyProtection="1">
      <protection locked="0"/>
    </xf>
    <xf numFmtId="0" fontId="6" fillId="0" borderId="0" xfId="0" applyFont="1" applyProtection="1">
      <protection locked="0"/>
    </xf>
    <xf numFmtId="0" fontId="98" fillId="0" borderId="0" xfId="0" applyFont="1" applyAlignment="1" applyProtection="1">
      <alignment horizontal="left"/>
      <protection locked="0"/>
    </xf>
    <xf numFmtId="0" fontId="96" fillId="0" borderId="0" xfId="0" applyFont="1" applyAlignment="1">
      <alignment horizontal="center" vertical="center"/>
    </xf>
    <xf numFmtId="0" fontId="26" fillId="0" borderId="48" xfId="0" applyFont="1" applyBorder="1"/>
    <xf numFmtId="0" fontId="32" fillId="26" borderId="49" xfId="0" applyFont="1" applyFill="1" applyBorder="1" applyAlignment="1">
      <alignment horizontal="centerContinuous"/>
    </xf>
    <xf numFmtId="15" fontId="99" fillId="0" borderId="37" xfId="0" applyNumberFormat="1" applyFont="1" applyBorder="1" applyAlignment="1">
      <alignment horizontal="center" wrapText="1"/>
    </xf>
    <xf numFmtId="15" fontId="99" fillId="0" borderId="50" xfId="0" applyNumberFormat="1" applyFont="1" applyBorder="1" applyAlignment="1">
      <alignment horizontal="center" wrapText="1"/>
    </xf>
    <xf numFmtId="0" fontId="36" fillId="0" borderId="48" xfId="0" applyFont="1" applyBorder="1" applyAlignment="1">
      <alignment horizontal="center"/>
    </xf>
    <xf numFmtId="0" fontId="36" fillId="0" borderId="51" xfId="0" applyFont="1" applyBorder="1" applyAlignment="1">
      <alignment horizontal="center"/>
    </xf>
    <xf numFmtId="0" fontId="32" fillId="26" borderId="52" xfId="0" applyFont="1" applyFill="1" applyBorder="1" applyAlignment="1">
      <alignment horizontal="centerContinuous"/>
    </xf>
    <xf numFmtId="0" fontId="0" fillId="0" borderId="0" xfId="0" applyAlignment="1" applyProtection="1">
      <alignment horizontal="left" vertical="top"/>
      <protection locked="0"/>
    </xf>
    <xf numFmtId="15" fontId="0" fillId="0" borderId="0" xfId="0" applyNumberFormat="1" applyAlignment="1" applyProtection="1">
      <alignment horizontal="center"/>
      <protection locked="0"/>
    </xf>
    <xf numFmtId="14" fontId="0" fillId="0" borderId="10" xfId="0" applyNumberFormat="1" applyBorder="1" applyAlignment="1" applyProtection="1">
      <alignment horizontal="center"/>
      <protection locked="0"/>
    </xf>
    <xf numFmtId="3" fontId="2" fillId="23" borderId="10" xfId="0" applyNumberFormat="1" applyFont="1" applyFill="1" applyBorder="1" applyAlignment="1" applyProtection="1">
      <alignment horizontal="right" vertical="center"/>
      <protection locked="0"/>
    </xf>
    <xf numFmtId="0" fontId="75" fillId="0" borderId="55" xfId="0" applyFont="1" applyBorder="1" applyAlignment="1">
      <alignment horizontal="center" vertical="center"/>
    </xf>
    <xf numFmtId="0" fontId="24" fillId="0" borderId="0" xfId="0" applyFont="1"/>
    <xf numFmtId="43" fontId="99" fillId="0" borderId="0" xfId="0" applyNumberFormat="1" applyFont="1" applyAlignment="1">
      <alignment vertical="center" wrapText="1"/>
    </xf>
    <xf numFmtId="0" fontId="99" fillId="0" borderId="0" xfId="0" applyFont="1" applyAlignment="1">
      <alignment wrapText="1"/>
    </xf>
    <xf numFmtId="43" fontId="20" fillId="0" borderId="38" xfId="56" applyFont="1" applyFill="1" applyBorder="1" applyAlignment="1" applyProtection="1">
      <alignment horizontal="right"/>
    </xf>
    <xf numFmtId="0" fontId="28" fillId="0" borderId="0" xfId="0" applyFont="1" applyAlignment="1">
      <alignment wrapText="1"/>
    </xf>
    <xf numFmtId="0" fontId="0" fillId="0" borderId="25" xfId="0" applyBorder="1"/>
    <xf numFmtId="9" fontId="15" fillId="0" borderId="0" xfId="61" applyFont="1" applyProtection="1"/>
    <xf numFmtId="43" fontId="24" fillId="25" borderId="38" xfId="56" applyFont="1" applyFill="1" applyBorder="1" applyAlignment="1" applyProtection="1">
      <alignment horizontal="center" vertical="center"/>
    </xf>
    <xf numFmtId="15" fontId="24" fillId="25" borderId="38" xfId="56" applyNumberFormat="1" applyFont="1" applyFill="1" applyBorder="1" applyAlignment="1" applyProtection="1">
      <alignment horizontal="center" vertical="center"/>
    </xf>
    <xf numFmtId="0" fontId="30" fillId="22" borderId="0" xfId="0" applyFont="1" applyFill="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xf numFmtId="3" fontId="0" fillId="25" borderId="10" xfId="0" applyNumberFormat="1" applyFill="1" applyBorder="1" applyAlignment="1" applyProtection="1">
      <alignment horizontal="right" wrapText="1"/>
      <protection locked="0"/>
    </xf>
    <xf numFmtId="3" fontId="0" fillId="0" borderId="10" xfId="0" applyNumberFormat="1" applyBorder="1" applyAlignment="1">
      <alignment horizontal="right" wrapText="1"/>
    </xf>
    <xf numFmtId="173" fontId="21" fillId="20" borderId="0" xfId="0" applyNumberFormat="1" applyFont="1" applyFill="1"/>
    <xf numFmtId="4" fontId="0" fillId="0" borderId="0" xfId="0" applyNumberFormat="1" applyProtection="1">
      <protection locked="0"/>
    </xf>
    <xf numFmtId="4" fontId="0" fillId="0" borderId="0" xfId="0" applyNumberFormat="1"/>
    <xf numFmtId="167" fontId="32" fillId="19" borderId="59" xfId="0" applyNumberFormat="1" applyFont="1" applyFill="1" applyBorder="1" applyAlignment="1" applyProtection="1">
      <alignment horizontal="center"/>
      <protection locked="0"/>
    </xf>
    <xf numFmtId="167" fontId="32" fillId="19" borderId="60" xfId="0" applyNumberFormat="1" applyFont="1" applyFill="1" applyBorder="1" applyAlignment="1" applyProtection="1">
      <alignment horizontal="center"/>
      <protection locked="0"/>
    </xf>
    <xf numFmtId="167" fontId="32" fillId="19" borderId="61" xfId="0" applyNumberFormat="1" applyFont="1" applyFill="1" applyBorder="1" applyAlignment="1" applyProtection="1">
      <alignment horizontal="center"/>
      <protection locked="0"/>
    </xf>
    <xf numFmtId="167" fontId="32" fillId="19" borderId="62" xfId="0" applyNumberFormat="1" applyFont="1" applyFill="1" applyBorder="1" applyAlignment="1" applyProtection="1">
      <alignment horizontal="center"/>
      <protection locked="0"/>
    </xf>
    <xf numFmtId="0" fontId="0" fillId="0" borderId="0" xfId="0" applyAlignment="1">
      <alignment horizontal="left" wrapText="1"/>
    </xf>
    <xf numFmtId="43" fontId="35" fillId="0" borderId="0" xfId="0" applyNumberFormat="1" applyFont="1"/>
    <xf numFmtId="0" fontId="0" fillId="0" borderId="0" xfId="0" applyAlignment="1">
      <alignment horizontal="left"/>
    </xf>
    <xf numFmtId="3" fontId="28" fillId="26" borderId="59" xfId="0" applyNumberFormat="1" applyFont="1" applyFill="1" applyBorder="1" applyProtection="1">
      <protection locked="0"/>
    </xf>
    <xf numFmtId="3" fontId="28" fillId="26" borderId="64" xfId="0" applyNumberFormat="1" applyFont="1" applyFill="1" applyBorder="1" applyProtection="1">
      <protection locked="0"/>
    </xf>
    <xf numFmtId="3" fontId="28" fillId="0" borderId="10" xfId="0" applyNumberFormat="1" applyFont="1" applyBorder="1"/>
    <xf numFmtId="3" fontId="28" fillId="0" borderId="58" xfId="0" applyNumberFormat="1" applyFont="1" applyBorder="1"/>
    <xf numFmtId="167" fontId="14" fillId="19" borderId="65" xfId="0" applyNumberFormat="1" applyFont="1" applyFill="1" applyBorder="1" applyAlignment="1" applyProtection="1">
      <alignment horizontal="center"/>
      <protection locked="0"/>
    </xf>
    <xf numFmtId="0" fontId="0" fillId="26" borderId="10" xfId="0" applyFill="1" applyBorder="1"/>
    <xf numFmtId="0" fontId="0" fillId="25" borderId="10" xfId="0" applyFill="1" applyBorder="1"/>
    <xf numFmtId="49" fontId="26" fillId="0" borderId="67" xfId="0" applyNumberFormat="1" applyFont="1" applyBorder="1" applyProtection="1">
      <protection locked="0"/>
    </xf>
    <xf numFmtId="0" fontId="0" fillId="0" borderId="69" xfId="0" applyBorder="1"/>
    <xf numFmtId="0" fontId="0" fillId="0" borderId="72" xfId="0" applyBorder="1"/>
    <xf numFmtId="49" fontId="82" fillId="0" borderId="10" xfId="0" applyNumberFormat="1" applyFont="1" applyBorder="1" applyAlignment="1" applyProtection="1">
      <alignment horizontal="center"/>
      <protection locked="0"/>
    </xf>
    <xf numFmtId="0" fontId="75" fillId="0" borderId="74" xfId="0" applyFont="1" applyBorder="1" applyAlignment="1">
      <alignment horizontal="center" vertical="center" wrapText="1"/>
    </xf>
    <xf numFmtId="0" fontId="75" fillId="0" borderId="75" xfId="0" applyFont="1" applyBorder="1" applyAlignment="1">
      <alignment horizontal="center"/>
    </xf>
    <xf numFmtId="0" fontId="75" fillId="0" borderId="76" xfId="0" applyFont="1" applyBorder="1" applyAlignment="1">
      <alignment horizontal="center"/>
    </xf>
    <xf numFmtId="0" fontId="75" fillId="0" borderId="77" xfId="0" applyFont="1" applyBorder="1" applyAlignment="1">
      <alignment horizontal="center"/>
    </xf>
    <xf numFmtId="0" fontId="75" fillId="0" borderId="78" xfId="0" applyFont="1" applyBorder="1" applyAlignment="1">
      <alignment horizontal="center"/>
    </xf>
    <xf numFmtId="0" fontId="75" fillId="0" borderId="78" xfId="0" applyFont="1" applyBorder="1" applyAlignment="1">
      <alignment horizontal="center" vertical="center"/>
    </xf>
    <xf numFmtId="0" fontId="75" fillId="0" borderId="79" xfId="0" applyFont="1" applyBorder="1" applyAlignment="1">
      <alignment horizontal="center" vertical="center"/>
    </xf>
    <xf numFmtId="0" fontId="79" fillId="0" borderId="80" xfId="0" applyFont="1" applyBorder="1" applyAlignment="1">
      <alignment horizontal="center" vertical="center"/>
    </xf>
    <xf numFmtId="0" fontId="79" fillId="0" borderId="81" xfId="0" applyFont="1" applyBorder="1" applyAlignment="1">
      <alignment horizontal="center" vertical="center"/>
    </xf>
    <xf numFmtId="0" fontId="79" fillId="0" borderId="82" xfId="0" applyFont="1" applyBorder="1" applyAlignment="1">
      <alignment horizontal="center" vertical="center"/>
    </xf>
    <xf numFmtId="0" fontId="0" fillId="0" borderId="19" xfId="0" applyBorder="1" applyAlignment="1">
      <alignment horizontal="center"/>
    </xf>
    <xf numFmtId="0" fontId="14" fillId="0" borderId="19" xfId="0" applyFont="1" applyBorder="1" applyAlignment="1">
      <alignment horizontal="center" vertical="center" wrapText="1"/>
    </xf>
    <xf numFmtId="0" fontId="14" fillId="0" borderId="24" xfId="0" applyFont="1" applyBorder="1" applyAlignment="1">
      <alignment horizontal="center" vertical="center"/>
    </xf>
    <xf numFmtId="0" fontId="75" fillId="0" borderId="83" xfId="0" applyFont="1" applyBorder="1" applyAlignment="1">
      <alignment horizontal="center" vertical="center" wrapText="1"/>
    </xf>
    <xf numFmtId="3" fontId="24" fillId="25" borderId="38" xfId="56" applyNumberFormat="1" applyFont="1" applyFill="1" applyBorder="1" applyAlignment="1" applyProtection="1">
      <alignment horizontal="center" wrapText="1"/>
    </xf>
    <xf numFmtId="14" fontId="24" fillId="25" borderId="38" xfId="56" applyNumberFormat="1" applyFont="1" applyFill="1" applyBorder="1" applyAlignment="1" applyProtection="1">
      <alignment horizontal="center" vertical="center" wrapText="1"/>
    </xf>
    <xf numFmtId="174" fontId="24" fillId="25" borderId="38" xfId="56" applyNumberFormat="1" applyFont="1" applyFill="1" applyBorder="1" applyAlignment="1" applyProtection="1">
      <alignment horizontal="center" wrapText="1"/>
    </xf>
    <xf numFmtId="43" fontId="1" fillId="0" borderId="38" xfId="56" applyFont="1" applyBorder="1" applyAlignment="1" applyProtection="1">
      <alignment horizontal="right" vertical="center"/>
    </xf>
    <xf numFmtId="43" fontId="1" fillId="0" borderId="38" xfId="56" applyFont="1" applyBorder="1" applyAlignment="1" applyProtection="1">
      <alignment horizontal="right" vertical="center" wrapText="1"/>
    </xf>
    <xf numFmtId="43" fontId="28" fillId="0" borderId="0" xfId="0" applyNumberFormat="1" applyFont="1" applyAlignment="1">
      <alignment horizontal="right" wrapText="1"/>
    </xf>
    <xf numFmtId="49" fontId="25" fillId="0" borderId="84" xfId="0" applyNumberFormat="1" applyFont="1" applyBorder="1" applyAlignment="1">
      <alignment vertical="center" wrapText="1"/>
    </xf>
    <xf numFmtId="0" fontId="0" fillId="0" borderId="0" xfId="0" applyAlignment="1">
      <alignment vertical="center" wrapText="1"/>
    </xf>
    <xf numFmtId="43" fontId="28" fillId="0" borderId="0" xfId="0" applyNumberFormat="1" applyFont="1" applyAlignment="1">
      <alignment horizontal="right" vertical="center" wrapText="1"/>
    </xf>
    <xf numFmtId="0" fontId="33" fillId="0" borderId="0" xfId="0" applyFont="1"/>
    <xf numFmtId="0" fontId="30" fillId="0" borderId="0" xfId="0" applyFont="1" applyAlignment="1" applyProtection="1">
      <alignment horizontal="left" wrapText="1"/>
      <protection locked="0"/>
    </xf>
    <xf numFmtId="43" fontId="1" fillId="0" borderId="38" xfId="56" applyFont="1" applyBorder="1" applyAlignment="1" applyProtection="1">
      <alignment horizontal="right" wrapText="1"/>
    </xf>
    <xf numFmtId="43" fontId="28" fillId="0" borderId="38" xfId="56" applyFont="1" applyBorder="1" applyAlignment="1" applyProtection="1">
      <alignment horizontal="center"/>
    </xf>
    <xf numFmtId="43" fontId="34" fillId="0" borderId="0" xfId="0" applyNumberFormat="1" applyFont="1" applyAlignment="1">
      <alignment horizontal="center" wrapText="1"/>
    </xf>
    <xf numFmtId="43" fontId="112" fillId="0" borderId="0" xfId="0" applyNumberFormat="1" applyFont="1" applyAlignment="1">
      <alignment horizontal="right"/>
    </xf>
    <xf numFmtId="43" fontId="34" fillId="0" borderId="0" xfId="0" applyNumberFormat="1" applyFont="1" applyAlignment="1">
      <alignment horizontal="left" vertical="center" wrapText="1"/>
    </xf>
    <xf numFmtId="43" fontId="34" fillId="0" borderId="0" xfId="0" applyNumberFormat="1" applyFont="1" applyAlignment="1">
      <alignment horizontal="left" wrapText="1"/>
    </xf>
    <xf numFmtId="0" fontId="0" fillId="0" borderId="87" xfId="0" applyBorder="1"/>
    <xf numFmtId="0" fontId="0" fillId="0" borderId="21" xfId="0" applyBorder="1" applyAlignment="1">
      <alignment horizontal="center"/>
    </xf>
    <xf numFmtId="3" fontId="2" fillId="28"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2" fillId="28" borderId="10" xfId="0" applyNumberFormat="1" applyFont="1" applyFill="1" applyBorder="1" applyAlignment="1" applyProtection="1">
      <alignment horizontal="right" vertical="center"/>
      <protection locked="0"/>
    </xf>
    <xf numFmtId="0" fontId="79" fillId="0" borderId="93" xfId="0" applyFont="1" applyBorder="1" applyAlignment="1">
      <alignment horizontal="center" vertical="center"/>
    </xf>
    <xf numFmtId="0" fontId="35" fillId="0" borderId="10" xfId="0" applyFont="1" applyBorder="1" applyAlignment="1">
      <alignment horizontal="center" vertical="center" wrapText="1"/>
    </xf>
    <xf numFmtId="3" fontId="117" fillId="0" borderId="41" xfId="0" applyNumberFormat="1" applyFont="1" applyBorder="1" applyAlignment="1" applyProtection="1">
      <alignment horizontal="center" vertical="center" wrapText="1"/>
      <protection locked="0"/>
    </xf>
    <xf numFmtId="9" fontId="120" fillId="27" borderId="10" xfId="61" applyFont="1" applyFill="1" applyBorder="1" applyAlignment="1" applyProtection="1">
      <alignment horizontal="center" vertical="center" wrapText="1"/>
    </xf>
    <xf numFmtId="14" fontId="0" fillId="0" borderId="10" xfId="56" applyNumberFormat="1" applyFont="1" applyFill="1" applyBorder="1" applyAlignment="1" applyProtection="1">
      <alignment horizontal="center"/>
      <protection locked="0"/>
    </xf>
    <xf numFmtId="15" fontId="26" fillId="0" borderId="88" xfId="0" applyNumberFormat="1" applyFont="1" applyBorder="1" applyAlignment="1">
      <alignment horizontal="center"/>
    </xf>
    <xf numFmtId="0" fontId="0" fillId="0" borderId="0" xfId="0" applyAlignment="1">
      <alignment wrapText="1"/>
    </xf>
    <xf numFmtId="3" fontId="0" fillId="0" borderId="0" xfId="0" quotePrefix="1" applyNumberFormat="1"/>
    <xf numFmtId="0" fontId="25" fillId="0" borderId="119" xfId="0" applyFont="1" applyBorder="1" applyAlignment="1">
      <alignment vertical="distributed"/>
    </xf>
    <xf numFmtId="15" fontId="27" fillId="0" borderId="224" xfId="0" applyNumberFormat="1" applyFont="1" applyBorder="1" applyAlignment="1">
      <alignment horizontal="center" vertical="center" wrapText="1"/>
    </xf>
    <xf numFmtId="15" fontId="27" fillId="0" borderId="225" xfId="0" applyNumberFormat="1" applyFont="1" applyBorder="1" applyAlignment="1">
      <alignment horizontal="center" vertical="center" wrapText="1"/>
    </xf>
    <xf numFmtId="0" fontId="6" fillId="0" borderId="48" xfId="0" applyFont="1" applyBorder="1"/>
    <xf numFmtId="0" fontId="6" fillId="0" borderId="51" xfId="0" applyFont="1" applyBorder="1"/>
    <xf numFmtId="3" fontId="6" fillId="0" borderId="49" xfId="62" applyNumberFormat="1" applyFont="1" applyFill="1" applyBorder="1" applyAlignment="1" applyProtection="1"/>
    <xf numFmtId="3" fontId="6" fillId="0" borderId="52" xfId="62" applyNumberFormat="1" applyFont="1" applyFill="1" applyBorder="1" applyAlignment="1" applyProtection="1"/>
    <xf numFmtId="0" fontId="0" fillId="0" borderId="37" xfId="0" applyBorder="1"/>
    <xf numFmtId="0" fontId="0" fillId="0" borderId="63" xfId="0" applyBorder="1" applyAlignment="1">
      <alignment horizontal="center"/>
    </xf>
    <xf numFmtId="0" fontId="0" fillId="0" borderId="53" xfId="0" applyBorder="1" applyAlignment="1">
      <alignment horizontal="center"/>
    </xf>
    <xf numFmtId="3" fontId="2" fillId="23" borderId="10" xfId="0" applyNumberFormat="1" applyFont="1" applyFill="1" applyBorder="1" applyAlignment="1" applyProtection="1">
      <alignment vertical="center" wrapText="1"/>
      <protection locked="0"/>
    </xf>
    <xf numFmtId="4" fontId="28" fillId="26" borderId="59" xfId="0" applyNumberFormat="1" applyFont="1" applyFill="1" applyBorder="1" applyProtection="1">
      <protection locked="0"/>
    </xf>
    <xf numFmtId="4" fontId="1" fillId="37" borderId="66" xfId="62" applyNumberFormat="1" applyFont="1" applyFill="1" applyBorder="1" applyProtection="1">
      <protection locked="0"/>
    </xf>
    <xf numFmtId="15" fontId="26" fillId="0" borderId="53" xfId="0" applyNumberFormat="1" applyFont="1" applyBorder="1"/>
    <xf numFmtId="15" fontId="26" fillId="0" borderId="205" xfId="0" applyNumberFormat="1" applyFont="1" applyBorder="1" applyAlignment="1">
      <alignment horizontal="center"/>
    </xf>
    <xf numFmtId="0" fontId="26" fillId="0" borderId="51" xfId="0" applyFont="1" applyBorder="1"/>
    <xf numFmtId="0" fontId="0" fillId="0" borderId="57" xfId="0" applyBorder="1"/>
    <xf numFmtId="15" fontId="27" fillId="0" borderId="105" xfId="0" applyNumberFormat="1" applyFont="1" applyBorder="1" applyAlignment="1">
      <alignment horizontal="center" vertical="center" wrapText="1"/>
    </xf>
    <xf numFmtId="3" fontId="0" fillId="26" borderId="68" xfId="62" applyNumberFormat="1" applyFont="1" applyFill="1" applyBorder="1" applyProtection="1">
      <protection locked="0"/>
    </xf>
    <xf numFmtId="49" fontId="125" fillId="38" borderId="41" xfId="0" applyNumberFormat="1" applyFont="1" applyFill="1" applyBorder="1" applyAlignment="1">
      <alignment horizontal="center" vertical="center" wrapText="1"/>
    </xf>
    <xf numFmtId="3" fontId="126" fillId="0" borderId="10" xfId="0" applyNumberFormat="1" applyFont="1" applyBorder="1"/>
    <xf numFmtId="3" fontId="126" fillId="0" borderId="58" xfId="0" applyNumberFormat="1" applyFont="1" applyBorder="1"/>
    <xf numFmtId="3" fontId="126" fillId="26" borderId="59" xfId="0" applyNumberFormat="1" applyFont="1" applyFill="1" applyBorder="1" applyProtection="1">
      <protection locked="0"/>
    </xf>
    <xf numFmtId="4" fontId="126" fillId="26" borderId="59" xfId="0" applyNumberFormat="1" applyFont="1" applyFill="1" applyBorder="1" applyProtection="1">
      <protection locked="0"/>
    </xf>
    <xf numFmtId="43" fontId="28" fillId="26" borderId="59" xfId="62" applyFont="1" applyFill="1" applyBorder="1" applyAlignment="1" applyProtection="1">
      <protection locked="0"/>
    </xf>
    <xf numFmtId="43" fontId="28" fillId="0" borderId="10" xfId="62" applyFont="1" applyFill="1" applyBorder="1" applyAlignment="1" applyProtection="1"/>
    <xf numFmtId="43" fontId="28" fillId="0" borderId="58" xfId="62" applyFont="1" applyFill="1" applyBorder="1" applyAlignment="1" applyProtection="1"/>
    <xf numFmtId="3" fontId="21" fillId="26" borderId="10" xfId="62" applyNumberFormat="1" applyFont="1" applyFill="1" applyBorder="1" applyAlignment="1" applyProtection="1">
      <protection locked="0"/>
    </xf>
    <xf numFmtId="1" fontId="0" fillId="26" borderId="10" xfId="0" applyNumberFormat="1" applyFill="1" applyBorder="1" applyAlignment="1" applyProtection="1">
      <alignment horizontal="center"/>
      <protection locked="0"/>
    </xf>
    <xf numFmtId="1" fontId="0" fillId="26" borderId="58" xfId="0" applyNumberFormat="1" applyFill="1" applyBorder="1" applyAlignment="1" applyProtection="1">
      <alignment horizontal="center"/>
      <protection locked="0"/>
    </xf>
    <xf numFmtId="43" fontId="127" fillId="0" borderId="25" xfId="59" applyFont="1" applyFill="1" applyBorder="1" applyAlignment="1" applyProtection="1">
      <alignment vertical="center"/>
    </xf>
    <xf numFmtId="43" fontId="128" fillId="0" borderId="25" xfId="59" applyFont="1" applyFill="1" applyBorder="1" applyAlignment="1" applyProtection="1">
      <alignment vertical="center"/>
    </xf>
    <xf numFmtId="0" fontId="128" fillId="0" borderId="25" xfId="0" applyFont="1" applyBorder="1"/>
    <xf numFmtId="0" fontId="128" fillId="22" borderId="92" xfId="0" applyFont="1" applyFill="1" applyBorder="1"/>
    <xf numFmtId="0" fontId="129" fillId="0" borderId="10" xfId="0" applyFont="1" applyBorder="1" applyAlignment="1">
      <alignment horizontal="center"/>
    </xf>
    <xf numFmtId="3" fontId="129" fillId="22" borderId="10" xfId="0" applyNumberFormat="1" applyFont="1" applyFill="1" applyBorder="1" applyAlignment="1" applyProtection="1">
      <alignment vertical="center"/>
      <protection locked="0"/>
    </xf>
    <xf numFmtId="3" fontId="129" fillId="22" borderId="10" xfId="0" applyNumberFormat="1" applyFont="1" applyFill="1" applyBorder="1" applyAlignment="1" applyProtection="1">
      <alignment horizontal="right" vertical="center"/>
      <protection locked="0"/>
    </xf>
    <xf numFmtId="3" fontId="129" fillId="22" borderId="10" xfId="0" applyNumberFormat="1" applyFont="1" applyFill="1" applyBorder="1" applyAlignment="1" applyProtection="1">
      <alignment horizontal="right" vertical="center" wrapText="1"/>
      <protection locked="0"/>
    </xf>
    <xf numFmtId="3" fontId="129" fillId="22" borderId="26" xfId="0" applyNumberFormat="1" applyFont="1" applyFill="1" applyBorder="1" applyAlignment="1" applyProtection="1">
      <alignment vertical="center"/>
      <protection locked="0"/>
    </xf>
    <xf numFmtId="0" fontId="129" fillId="24" borderId="10" xfId="0" applyFont="1" applyFill="1" applyBorder="1" applyAlignment="1">
      <alignment horizontal="center"/>
    </xf>
    <xf numFmtId="3" fontId="129" fillId="28" borderId="10" xfId="0" applyNumberFormat="1" applyFont="1" applyFill="1" applyBorder="1" applyAlignment="1" applyProtection="1">
      <alignment vertical="center"/>
      <protection locked="0"/>
    </xf>
    <xf numFmtId="3" fontId="129" fillId="23" borderId="10" xfId="0" applyNumberFormat="1" applyFont="1" applyFill="1" applyBorder="1" applyAlignment="1" applyProtection="1">
      <alignment vertical="center"/>
      <protection locked="0"/>
    </xf>
    <xf numFmtId="3" fontId="129" fillId="23" borderId="10" xfId="0" applyNumberFormat="1" applyFont="1" applyFill="1" applyBorder="1" applyAlignment="1" applyProtection="1">
      <alignment horizontal="right" vertical="center"/>
      <protection locked="0"/>
    </xf>
    <xf numFmtId="3" fontId="129" fillId="23" borderId="10" xfId="0" applyNumberFormat="1" applyFont="1" applyFill="1" applyBorder="1" applyAlignment="1" applyProtection="1">
      <alignment horizontal="right" vertical="center" wrapText="1"/>
      <protection locked="0"/>
    </xf>
    <xf numFmtId="3" fontId="129" fillId="23" borderId="26" xfId="0" applyNumberFormat="1" applyFont="1" applyFill="1" applyBorder="1" applyAlignment="1" applyProtection="1">
      <alignment vertical="center"/>
      <protection locked="0"/>
    </xf>
    <xf numFmtId="3" fontId="129" fillId="28" borderId="10" xfId="0" applyNumberFormat="1" applyFont="1" applyFill="1" applyBorder="1" applyAlignment="1" applyProtection="1">
      <alignment horizontal="right" vertical="center"/>
      <protection locked="0"/>
    </xf>
    <xf numFmtId="9" fontId="129" fillId="28" borderId="10" xfId="0" applyNumberFormat="1" applyFont="1" applyFill="1" applyBorder="1" applyAlignment="1" applyProtection="1">
      <alignment horizontal="right" vertical="center"/>
      <protection locked="0"/>
    </xf>
    <xf numFmtId="3" fontId="129" fillId="28" borderId="10" xfId="0" applyNumberFormat="1" applyFont="1" applyFill="1" applyBorder="1" applyAlignment="1" applyProtection="1">
      <alignment horizontal="right" vertical="center" wrapText="1"/>
      <protection locked="0"/>
    </xf>
    <xf numFmtId="3" fontId="129" fillId="28" borderId="26" xfId="0" applyNumberFormat="1" applyFont="1" applyFill="1" applyBorder="1" applyAlignment="1" applyProtection="1">
      <alignment vertical="center"/>
      <protection locked="0"/>
    </xf>
    <xf numFmtId="3" fontId="129" fillId="29" borderId="10" xfId="0" applyNumberFormat="1" applyFont="1" applyFill="1" applyBorder="1" applyAlignment="1" applyProtection="1">
      <alignment vertical="center"/>
      <protection locked="0"/>
    </xf>
    <xf numFmtId="3" fontId="129" fillId="29" borderId="10" xfId="0" applyNumberFormat="1" applyFont="1" applyFill="1" applyBorder="1" applyAlignment="1" applyProtection="1">
      <alignment horizontal="right" vertical="center"/>
      <protection locked="0"/>
    </xf>
    <xf numFmtId="3" fontId="129" fillId="29" borderId="10" xfId="0" applyNumberFormat="1" applyFont="1" applyFill="1" applyBorder="1" applyAlignment="1" applyProtection="1">
      <alignment horizontal="right" vertical="center" wrapText="1"/>
      <protection locked="0"/>
    </xf>
    <xf numFmtId="3" fontId="129" fillId="29" borderId="26" xfId="0" applyNumberFormat="1" applyFont="1" applyFill="1" applyBorder="1" applyAlignment="1" applyProtection="1">
      <alignment vertical="center"/>
      <protection locked="0"/>
    </xf>
    <xf numFmtId="3" fontId="129" fillId="28" borderId="26" xfId="0" applyNumberFormat="1" applyFont="1" applyFill="1" applyBorder="1" applyAlignment="1" applyProtection="1">
      <alignment horizontal="right" vertical="center"/>
      <protection locked="0"/>
    </xf>
    <xf numFmtId="9" fontId="129" fillId="29" borderId="10" xfId="0" applyNumberFormat="1" applyFont="1" applyFill="1" applyBorder="1" applyAlignment="1" applyProtection="1">
      <alignment horizontal="right" vertical="center"/>
      <protection locked="0"/>
    </xf>
    <xf numFmtId="3" fontId="129" fillId="0" borderId="10" xfId="0" applyNumberFormat="1" applyFont="1" applyBorder="1" applyAlignment="1">
      <alignment vertical="center"/>
    </xf>
    <xf numFmtId="3" fontId="129" fillId="0" borderId="10" xfId="0" applyNumberFormat="1" applyFont="1" applyBorder="1" applyAlignment="1">
      <alignment horizontal="right" vertical="center"/>
    </xf>
    <xf numFmtId="3" fontId="129" fillId="24" borderId="10" xfId="0" applyNumberFormat="1" applyFont="1" applyFill="1" applyBorder="1" applyAlignment="1">
      <alignment vertical="center"/>
    </xf>
    <xf numFmtId="3" fontId="129" fillId="24" borderId="10" xfId="0" applyNumberFormat="1" applyFont="1" applyFill="1" applyBorder="1" applyAlignment="1">
      <alignment horizontal="right" vertical="center"/>
    </xf>
    <xf numFmtId="0" fontId="129" fillId="0" borderId="87" xfId="0" applyFont="1" applyBorder="1" applyAlignment="1">
      <alignment horizontal="center"/>
    </xf>
    <xf numFmtId="0" fontId="0" fillId="0" borderId="23" xfId="0" applyBorder="1" applyAlignment="1">
      <alignment horizontal="center" vertical="center"/>
    </xf>
    <xf numFmtId="0" fontId="0" fillId="25" borderId="10" xfId="0" applyFill="1" applyBorder="1" applyAlignment="1" applyProtection="1">
      <alignment horizontal="center"/>
      <protection locked="0"/>
    </xf>
    <xf numFmtId="0" fontId="0" fillId="25" borderId="57" xfId="0" applyFill="1" applyBorder="1" applyAlignment="1" applyProtection="1">
      <alignment horizontal="center"/>
      <protection locked="0"/>
    </xf>
    <xf numFmtId="15" fontId="121" fillId="0" borderId="0" xfId="0" applyNumberFormat="1" applyFont="1" applyAlignment="1">
      <alignment horizontal="center"/>
    </xf>
    <xf numFmtId="9" fontId="131" fillId="27" borderId="10" xfId="61" applyFont="1" applyFill="1" applyBorder="1" applyAlignment="1" applyProtection="1">
      <alignment horizontal="center" vertical="center" wrapText="1"/>
    </xf>
    <xf numFmtId="9" fontId="15" fillId="20" borderId="0" xfId="61" applyFont="1" applyFill="1" applyBorder="1"/>
    <xf numFmtId="4" fontId="0" fillId="0" borderId="70" xfId="0" applyNumberFormat="1" applyBorder="1"/>
    <xf numFmtId="3" fontId="0" fillId="25" borderId="10" xfId="0" applyNumberFormat="1" applyFill="1" applyBorder="1" applyAlignment="1" applyProtection="1">
      <alignment horizontal="center" vertical="center" wrapText="1"/>
      <protection locked="0"/>
    </xf>
    <xf numFmtId="3" fontId="0" fillId="0" borderId="10" xfId="0" applyNumberFormat="1" applyBorder="1" applyAlignment="1">
      <alignment horizontal="center" vertical="center" wrapText="1"/>
    </xf>
    <xf numFmtId="9" fontId="2" fillId="28" borderId="10" xfId="0" applyNumberFormat="1" applyFont="1" applyFill="1" applyBorder="1" applyAlignment="1" applyProtection="1">
      <alignment horizontal="right" vertical="center"/>
      <protection locked="0"/>
    </xf>
    <xf numFmtId="43" fontId="132" fillId="0" borderId="25" xfId="59" applyFont="1" applyFill="1" applyBorder="1" applyAlignment="1" applyProtection="1"/>
    <xf numFmtId="0" fontId="32" fillId="0" borderId="36" xfId="0" applyFont="1" applyBorder="1" applyAlignment="1">
      <alignment horizontal="center" vertical="center"/>
    </xf>
    <xf numFmtId="0" fontId="32" fillId="0" borderId="50" xfId="0" applyFont="1" applyBorder="1" applyAlignment="1">
      <alignment horizontal="center" vertical="center" wrapText="1"/>
    </xf>
    <xf numFmtId="0" fontId="14" fillId="0" borderId="48" xfId="0" applyFont="1" applyBorder="1" applyAlignment="1">
      <alignment horizontal="center"/>
    </xf>
    <xf numFmtId="1" fontId="0" fillId="0" borderId="49" xfId="0" applyNumberFormat="1" applyBorder="1" applyAlignment="1">
      <alignment horizontal="center"/>
    </xf>
    <xf numFmtId="0" fontId="14" fillId="0" borderId="51" xfId="0" applyFont="1" applyBorder="1" applyAlignment="1">
      <alignment horizontal="center"/>
    </xf>
    <xf numFmtId="1" fontId="21" fillId="0" borderId="57" xfId="0" applyNumberFormat="1" applyFont="1" applyBorder="1" applyAlignment="1" applyProtection="1">
      <alignment horizontal="center"/>
      <protection locked="0"/>
    </xf>
    <xf numFmtId="1" fontId="0" fillId="0" borderId="57" xfId="0" applyNumberFormat="1" applyBorder="1" applyAlignment="1" applyProtection="1">
      <alignment horizontal="center"/>
      <protection locked="0"/>
    </xf>
    <xf numFmtId="1" fontId="0" fillId="0" borderId="52" xfId="0" applyNumberFormat="1" applyBorder="1" applyAlignment="1">
      <alignment horizontal="center"/>
    </xf>
    <xf numFmtId="167" fontId="32" fillId="19" borderId="238" xfId="0" applyNumberFormat="1" applyFont="1" applyFill="1" applyBorder="1" applyAlignment="1" applyProtection="1">
      <alignment horizontal="center"/>
      <protection locked="0"/>
    </xf>
    <xf numFmtId="3" fontId="0" fillId="25" borderId="49" xfId="0" applyNumberFormat="1" applyFill="1" applyBorder="1" applyAlignment="1" applyProtection="1">
      <alignment horizontal="right" wrapText="1"/>
      <protection locked="0"/>
    </xf>
    <xf numFmtId="3" fontId="0" fillId="0" borderId="49" xfId="0" applyNumberFormat="1" applyBorder="1" applyAlignment="1">
      <alignment horizontal="right" wrapText="1"/>
    </xf>
    <xf numFmtId="0" fontId="0" fillId="0" borderId="51" xfId="0" applyBorder="1" applyAlignment="1">
      <alignment horizontal="center" wrapText="1"/>
    </xf>
    <xf numFmtId="3" fontId="1" fillId="0" borderId="57" xfId="62" applyNumberFormat="1" applyFont="1" applyFill="1" applyBorder="1" applyAlignment="1" applyProtection="1">
      <alignment horizontal="center" vertical="center"/>
    </xf>
    <xf numFmtId="3" fontId="0" fillId="0" borderId="57" xfId="0" applyNumberFormat="1" applyBorder="1" applyAlignment="1">
      <alignment horizontal="right" wrapText="1"/>
    </xf>
    <xf numFmtId="3" fontId="0" fillId="0" borderId="52" xfId="0" applyNumberFormat="1" applyBorder="1" applyAlignment="1">
      <alignment horizontal="right" wrapText="1"/>
    </xf>
    <xf numFmtId="0" fontId="0" fillId="0" borderId="36" xfId="0" applyBorder="1" applyAlignment="1">
      <alignment horizontal="center"/>
    </xf>
    <xf numFmtId="0" fontId="0" fillId="0" borderId="36" xfId="0" applyBorder="1" applyAlignment="1">
      <alignment horizontal="center" wrapText="1"/>
    </xf>
    <xf numFmtId="0" fontId="0" fillId="0" borderId="50" xfId="0" applyBorder="1" applyAlignment="1">
      <alignment horizontal="center" wrapText="1"/>
    </xf>
    <xf numFmtId="0" fontId="0" fillId="0" borderId="48" xfId="0" applyBorder="1" applyAlignment="1">
      <alignment horizontal="center"/>
    </xf>
    <xf numFmtId="0" fontId="0" fillId="0" borderId="51" xfId="0" applyBorder="1" applyAlignment="1">
      <alignment horizontal="center"/>
    </xf>
    <xf numFmtId="0" fontId="0" fillId="25" borderId="52" xfId="0" applyFill="1" applyBorder="1" applyAlignment="1" applyProtection="1">
      <alignment horizontal="center"/>
      <protection locked="0"/>
    </xf>
    <xf numFmtId="0" fontId="133" fillId="41" borderId="37" xfId="0" applyFont="1" applyFill="1" applyBorder="1" applyAlignment="1">
      <alignment horizontal="center"/>
    </xf>
    <xf numFmtId="0" fontId="133" fillId="0" borderId="36" xfId="0" applyFont="1" applyBorder="1" applyAlignment="1">
      <alignment horizontal="center" wrapText="1"/>
    </xf>
    <xf numFmtId="0" fontId="121" fillId="0" borderId="36" xfId="0" applyFont="1" applyBorder="1" applyAlignment="1">
      <alignment horizontal="center" wrapText="1"/>
    </xf>
    <xf numFmtId="0" fontId="133" fillId="35" borderId="36" xfId="0" applyFont="1" applyFill="1" applyBorder="1" applyAlignment="1">
      <alignment horizontal="center" wrapText="1"/>
    </xf>
    <xf numFmtId="0" fontId="30" fillId="22" borderId="103" xfId="0" applyFont="1" applyFill="1" applyBorder="1" applyAlignment="1" applyProtection="1">
      <alignment horizontal="left" vertical="top" wrapText="1"/>
      <protection locked="0"/>
    </xf>
    <xf numFmtId="0" fontId="30" fillId="22" borderId="103" xfId="0" applyFont="1" applyFill="1" applyBorder="1" applyAlignment="1" applyProtection="1">
      <alignment horizontal="left" vertical="top"/>
      <protection locked="0"/>
    </xf>
    <xf numFmtId="0" fontId="34" fillId="0" borderId="0" xfId="0" applyFont="1" applyAlignment="1" applyProtection="1">
      <alignment horizontal="left" vertical="top" wrapText="1"/>
      <protection locked="0"/>
    </xf>
    <xf numFmtId="0" fontId="0" fillId="0" borderId="0" xfId="0" applyAlignment="1">
      <alignment horizontal="left" vertical="top"/>
    </xf>
    <xf numFmtId="49" fontId="169" fillId="0" borderId="242" xfId="0" applyNumberFormat="1" applyFont="1" applyBorder="1" applyAlignment="1" applyProtection="1">
      <alignment horizontal="left" vertical="center" wrapText="1"/>
      <protection locked="0"/>
    </xf>
    <xf numFmtId="3" fontId="0" fillId="35" borderId="10" xfId="0" applyNumberFormat="1" applyFill="1" applyBorder="1" applyAlignment="1" applyProtection="1">
      <alignment horizontal="center" vertical="center"/>
      <protection locked="0"/>
    </xf>
    <xf numFmtId="43" fontId="1" fillId="0" borderId="14" xfId="59" applyFont="1" applyFill="1" applyBorder="1" applyAlignment="1" applyProtection="1">
      <alignment vertical="center"/>
    </xf>
    <xf numFmtId="43" fontId="80" fillId="0" borderId="14" xfId="59" applyFont="1" applyFill="1" applyBorder="1" applyAlignment="1" applyProtection="1">
      <alignment horizontal="left" vertical="center"/>
    </xf>
    <xf numFmtId="43" fontId="21" fillId="0" borderId="14" xfId="59" applyFont="1" applyFill="1" applyBorder="1" applyAlignment="1" applyProtection="1">
      <alignment vertical="center"/>
    </xf>
    <xf numFmtId="43" fontId="21" fillId="26" borderId="89" xfId="59" applyFont="1" applyFill="1" applyBorder="1" applyAlignment="1" applyProtection="1">
      <alignment vertical="center"/>
    </xf>
    <xf numFmtId="43" fontId="1" fillId="0" borderId="0" xfId="59" applyFont="1" applyFill="1" applyBorder="1" applyAlignment="1" applyProtection="1">
      <alignment vertical="center"/>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lignment horizontal="center" vertical="center"/>
    </xf>
    <xf numFmtId="43" fontId="80" fillId="0" borderId="18" xfId="59" applyFont="1" applyFill="1" applyBorder="1" applyAlignment="1" applyProtection="1">
      <alignment vertical="center"/>
    </xf>
    <xf numFmtId="43" fontId="21" fillId="0" borderId="18" xfId="59" applyFont="1" applyFill="1" applyBorder="1" applyAlignment="1" applyProtection="1">
      <alignment vertical="center"/>
    </xf>
    <xf numFmtId="43" fontId="21" fillId="0" borderId="18" xfId="59" applyFont="1" applyFill="1" applyBorder="1" applyAlignment="1" applyProtection="1">
      <alignment horizontal="center" vertical="center"/>
    </xf>
    <xf numFmtId="43" fontId="21" fillId="25" borderId="91" xfId="59" applyFont="1" applyFill="1" applyBorder="1" applyAlignment="1" applyProtection="1">
      <alignment horizontal="center" vertical="center"/>
    </xf>
    <xf numFmtId="0" fontId="1" fillId="0" borderId="0" xfId="0" applyFont="1" applyAlignment="1">
      <alignment horizontal="center"/>
    </xf>
    <xf numFmtId="0" fontId="38" fillId="0" borderId="0" xfId="0" applyFont="1" applyAlignment="1">
      <alignment horizontal="center" vertical="center"/>
    </xf>
    <xf numFmtId="15" fontId="1" fillId="0" borderId="0" xfId="0" applyNumberFormat="1" applyFont="1" applyAlignment="1">
      <alignment horizontal="left"/>
    </xf>
    <xf numFmtId="9" fontId="1" fillId="0" borderId="0" xfId="61" applyFont="1" applyBorder="1" applyProtection="1"/>
    <xf numFmtId="43" fontId="1" fillId="0" borderId="0" xfId="62" applyFont="1" applyFill="1" applyBorder="1" applyProtection="1"/>
    <xf numFmtId="43" fontId="80" fillId="0" borderId="25" xfId="59" applyFont="1" applyFill="1" applyBorder="1" applyAlignment="1" applyProtection="1">
      <alignment vertical="center"/>
    </xf>
    <xf numFmtId="43" fontId="21" fillId="0" borderId="25" xfId="59" applyFont="1" applyFill="1" applyBorder="1" applyAlignment="1" applyProtection="1">
      <alignment vertical="center"/>
    </xf>
    <xf numFmtId="0" fontId="21" fillId="0" borderId="25" xfId="0" applyFont="1" applyBorder="1"/>
    <xf numFmtId="0" fontId="21" fillId="22" borderId="92" xfId="0" applyFont="1" applyFill="1" applyBorder="1"/>
    <xf numFmtId="0" fontId="2" fillId="0" borderId="10" xfId="0" applyFont="1" applyBorder="1" applyAlignment="1">
      <alignment horizontal="center"/>
    </xf>
    <xf numFmtId="0" fontId="2" fillId="24" borderId="10" xfId="0" applyFont="1" applyFill="1" applyBorder="1" applyAlignment="1">
      <alignment horizontal="center"/>
    </xf>
    <xf numFmtId="3" fontId="2" fillId="0" borderId="10" xfId="0" applyNumberFormat="1" applyFont="1" applyBorder="1" applyAlignment="1">
      <alignment vertical="center"/>
    </xf>
    <xf numFmtId="0" fontId="2" fillId="0" borderId="90" xfId="0" applyFont="1" applyBorder="1" applyAlignment="1">
      <alignment horizontal="center"/>
    </xf>
    <xf numFmtId="3" fontId="2" fillId="24" borderId="10" xfId="0" applyNumberFormat="1" applyFont="1" applyFill="1" applyBorder="1" applyAlignment="1">
      <alignment vertical="center"/>
    </xf>
    <xf numFmtId="0" fontId="2" fillId="0" borderId="87" xfId="0" applyFont="1" applyBorder="1" applyAlignment="1">
      <alignment horizontal="center"/>
    </xf>
    <xf numFmtId="9" fontId="2" fillId="0" borderId="10" xfId="0" applyNumberFormat="1" applyFont="1" applyBorder="1" applyAlignment="1">
      <alignment vertical="center"/>
    </xf>
    <xf numFmtId="0" fontId="2" fillId="0" borderId="54" xfId="0" applyFont="1" applyBorder="1" applyAlignment="1">
      <alignment horizontal="center"/>
    </xf>
    <xf numFmtId="3" fontId="2" fillId="0" borderId="54" xfId="0" applyNumberFormat="1" applyFont="1" applyBorder="1" applyAlignment="1">
      <alignment vertical="center"/>
    </xf>
    <xf numFmtId="9" fontId="2" fillId="0" borderId="54" xfId="0" applyNumberFormat="1" applyFont="1" applyBorder="1" applyAlignment="1">
      <alignment vertical="center"/>
    </xf>
    <xf numFmtId="43" fontId="34" fillId="0" borderId="0" xfId="50" applyFont="1"/>
    <xf numFmtId="0" fontId="100" fillId="0" borderId="0" xfId="0" applyFont="1"/>
    <xf numFmtId="0" fontId="1" fillId="0" borderId="10" xfId="0" applyFont="1" applyBorder="1"/>
    <xf numFmtId="176" fontId="129" fillId="29" borderId="10" xfId="0" applyNumberFormat="1" applyFont="1" applyFill="1" applyBorder="1" applyAlignment="1" applyProtection="1">
      <alignment horizontal="right" vertical="center" wrapText="1"/>
      <protection locked="0"/>
    </xf>
    <xf numFmtId="176" fontId="129" fillId="0" borderId="10" xfId="0" applyNumberFormat="1" applyFont="1" applyBorder="1" applyAlignment="1">
      <alignment vertical="center"/>
    </xf>
    <xf numFmtId="0" fontId="21" fillId="25" borderId="57" xfId="0" applyFont="1" applyFill="1" applyBorder="1" applyAlignment="1" applyProtection="1">
      <alignment horizontal="center"/>
      <protection locked="0"/>
    </xf>
    <xf numFmtId="1" fontId="28" fillId="52" borderId="10" xfId="0" applyNumberFormat="1" applyFont="1" applyFill="1" applyBorder="1"/>
    <xf numFmtId="1" fontId="28" fillId="52" borderId="49" xfId="0" applyNumberFormat="1" applyFont="1" applyFill="1" applyBorder="1"/>
    <xf numFmtId="0" fontId="28" fillId="52" borderId="10" xfId="0" applyFont="1" applyFill="1" applyBorder="1"/>
    <xf numFmtId="1" fontId="28" fillId="52" borderId="90" xfId="0" applyNumberFormat="1" applyFont="1" applyFill="1" applyBorder="1"/>
    <xf numFmtId="1" fontId="28" fillId="52" borderId="203" xfId="0" applyNumberFormat="1" applyFont="1" applyFill="1" applyBorder="1"/>
    <xf numFmtId="1" fontId="171" fillId="52" borderId="10" xfId="0" applyNumberFormat="1" applyFont="1" applyFill="1" applyBorder="1"/>
    <xf numFmtId="0" fontId="28" fillId="52" borderId="90" xfId="0" applyFont="1" applyFill="1" applyBorder="1" applyAlignment="1">
      <alignment wrapText="1"/>
    </xf>
    <xf numFmtId="0" fontId="121" fillId="0" borderId="37" xfId="0" applyFont="1" applyBorder="1" applyAlignment="1">
      <alignment horizontal="center" vertical="top" wrapText="1"/>
    </xf>
    <xf numFmtId="0" fontId="121" fillId="0" borderId="36" xfId="0" applyFont="1" applyBorder="1" applyAlignment="1">
      <alignment vertical="top" wrapText="1"/>
    </xf>
    <xf numFmtId="0" fontId="121" fillId="0" borderId="36" xfId="0" applyFont="1" applyBorder="1" applyAlignment="1">
      <alignment horizontal="center" vertical="top" wrapText="1"/>
    </xf>
    <xf numFmtId="0" fontId="121" fillId="0" borderId="50" xfId="0" applyFont="1" applyBorder="1" applyAlignment="1">
      <alignment horizontal="center" vertical="top" wrapText="1"/>
    </xf>
    <xf numFmtId="0" fontId="21" fillId="25" borderId="45" xfId="0" applyFont="1" applyFill="1" applyBorder="1" applyAlignment="1" applyProtection="1">
      <alignment horizontal="center"/>
      <protection locked="0"/>
    </xf>
    <xf numFmtId="0" fontId="75" fillId="0" borderId="113" xfId="0" applyFont="1" applyBorder="1" applyAlignment="1">
      <alignment horizontal="center" vertical="center"/>
    </xf>
    <xf numFmtId="49" fontId="2" fillId="39" borderId="227" xfId="0" applyNumberFormat="1" applyFont="1" applyFill="1" applyBorder="1" applyAlignment="1" applyProtection="1">
      <alignment horizontal="left" vertical="center" wrapText="1"/>
      <protection locked="0"/>
    </xf>
    <xf numFmtId="49" fontId="2" fillId="38" borderId="226" xfId="0" applyNumberFormat="1" applyFont="1" applyFill="1" applyBorder="1" applyAlignment="1" applyProtection="1">
      <alignment horizontal="left" vertical="center" wrapText="1"/>
      <protection locked="0"/>
    </xf>
    <xf numFmtId="49" fontId="2" fillId="38" borderId="227" xfId="0" applyNumberFormat="1" applyFont="1" applyFill="1" applyBorder="1" applyAlignment="1" applyProtection="1">
      <alignment horizontal="left" vertical="center" wrapText="1"/>
      <protection locked="0"/>
    </xf>
    <xf numFmtId="1" fontId="28" fillId="53" borderId="246" xfId="0" applyNumberFormat="1" applyFont="1" applyFill="1" applyBorder="1"/>
    <xf numFmtId="1" fontId="28" fillId="53" borderId="10" xfId="0" applyNumberFormat="1" applyFont="1" applyFill="1" applyBorder="1"/>
    <xf numFmtId="0" fontId="28" fillId="53" borderId="247" xfId="0" applyFont="1" applyFill="1" applyBorder="1"/>
    <xf numFmtId="1" fontId="28" fillId="53" borderId="247" xfId="0" applyNumberFormat="1" applyFont="1" applyFill="1" applyBorder="1" applyAlignment="1">
      <alignment horizontal="right" vertical="center"/>
    </xf>
    <xf numFmtId="0" fontId="133" fillId="41" borderId="244" xfId="0" applyFont="1" applyFill="1" applyBorder="1" applyAlignment="1">
      <alignment horizontal="center"/>
    </xf>
    <xf numFmtId="0" fontId="133" fillId="0" borderId="87" xfId="0" applyFont="1" applyBorder="1" applyAlignment="1">
      <alignment horizontal="center" wrapText="1"/>
    </xf>
    <xf numFmtId="0" fontId="121" fillId="0" borderId="87" xfId="0" applyFont="1" applyBorder="1" applyAlignment="1">
      <alignment horizontal="center" wrapText="1"/>
    </xf>
    <xf numFmtId="0" fontId="133" fillId="35" borderId="87" xfId="0" applyFont="1" applyFill="1" applyBorder="1" applyAlignment="1">
      <alignment horizontal="center" wrapText="1"/>
    </xf>
    <xf numFmtId="0" fontId="121" fillId="0" borderId="87" xfId="0" applyFont="1" applyBorder="1" applyAlignment="1">
      <alignment horizontal="center" vertical="center" wrapText="1"/>
    </xf>
    <xf numFmtId="1" fontId="98" fillId="52" borderId="10" xfId="0" applyNumberFormat="1" applyFont="1" applyFill="1" applyBorder="1"/>
    <xf numFmtId="1" fontId="98" fillId="52" borderId="49" xfId="0" applyNumberFormat="1" applyFont="1" applyFill="1" applyBorder="1"/>
    <xf numFmtId="4" fontId="0" fillId="0" borderId="71" xfId="0" applyNumberFormat="1" applyBorder="1"/>
    <xf numFmtId="1" fontId="0" fillId="0" borderId="10" xfId="0" applyNumberFormat="1" applyBorder="1" applyAlignment="1" applyProtection="1">
      <alignment horizontal="center"/>
      <protection locked="0"/>
    </xf>
    <xf numFmtId="168" fontId="1" fillId="0" borderId="231" xfId="62" applyNumberFormat="1" applyFont="1" applyFill="1" applyBorder="1" applyAlignment="1" applyProtection="1">
      <alignment horizontal="center"/>
      <protection locked="0"/>
    </xf>
    <xf numFmtId="49" fontId="0" fillId="0" borderId="41" xfId="0" applyNumberFormat="1" applyBorder="1" applyAlignment="1" applyProtection="1">
      <alignment horizontal="center"/>
      <protection locked="0"/>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15" fontId="0" fillId="0" borderId="10" xfId="56" applyNumberFormat="1" applyFont="1" applyFill="1" applyBorder="1" applyAlignment="1" applyProtection="1">
      <alignment horizontal="center"/>
      <protection locked="0"/>
    </xf>
    <xf numFmtId="0" fontId="94" fillId="0" borderId="47" xfId="0" applyFont="1" applyBorder="1" applyAlignment="1">
      <alignment horizontal="right"/>
    </xf>
    <xf numFmtId="49" fontId="0" fillId="0" borderId="10" xfId="0" applyNumberFormat="1" applyBorder="1" applyAlignment="1" applyProtection="1">
      <alignment horizontal="center"/>
      <protection locked="0"/>
    </xf>
    <xf numFmtId="43" fontId="24" fillId="25" borderId="38" xfId="56" applyFont="1" applyFill="1" applyBorder="1" applyAlignment="1" applyProtection="1">
      <alignment horizontal="center"/>
    </xf>
    <xf numFmtId="43" fontId="1" fillId="0" borderId="38" xfId="56" applyFont="1" applyBorder="1" applyAlignment="1" applyProtection="1">
      <alignment horizontal="right"/>
    </xf>
    <xf numFmtId="43" fontId="20" fillId="0" borderId="0" xfId="49" applyFont="1" applyAlignment="1">
      <alignment horizontal="right" vertical="center"/>
    </xf>
    <xf numFmtId="15" fontId="24" fillId="25" borderId="38" xfId="56" applyNumberFormat="1" applyFont="1" applyFill="1" applyBorder="1" applyAlignment="1" applyProtection="1">
      <alignment horizontal="center"/>
    </xf>
    <xf numFmtId="15" fontId="28" fillId="0" borderId="0" xfId="0" applyNumberFormat="1" applyFont="1" applyAlignment="1">
      <alignment horizontal="right"/>
    </xf>
    <xf numFmtId="43" fontId="14" fillId="0" borderId="0" xfId="0" applyNumberFormat="1" applyFont="1" applyAlignment="1">
      <alignment horizontal="center"/>
    </xf>
    <xf numFmtId="43" fontId="35" fillId="0" borderId="0" xfId="0" applyNumberFormat="1" applyFont="1" applyAlignment="1">
      <alignment horizontal="left" vertical="center" wrapText="1"/>
    </xf>
    <xf numFmtId="0" fontId="30" fillId="22" borderId="0" xfId="0" applyFont="1" applyFill="1" applyAlignment="1" applyProtection="1">
      <alignment horizontal="left" vertical="top" wrapText="1"/>
      <protection locked="0"/>
    </xf>
    <xf numFmtId="0" fontId="83" fillId="0" borderId="0" xfId="0" applyFont="1" applyAlignment="1">
      <alignment horizontal="left" wrapText="1"/>
    </xf>
    <xf numFmtId="43" fontId="100" fillId="0" borderId="0" xfId="0" applyNumberFormat="1" applyFont="1" applyAlignment="1">
      <alignment horizontal="center"/>
    </xf>
    <xf numFmtId="0" fontId="34" fillId="0" borderId="10" xfId="0" applyFont="1" applyBorder="1" applyAlignment="1">
      <alignment horizontal="center" vertical="center" wrapText="1"/>
    </xf>
    <xf numFmtId="0" fontId="75" fillId="21" borderId="13" xfId="52" applyFont="1" applyFill="1" applyBorder="1" applyAlignment="1">
      <alignment horizontal="center" vertical="center" wrapText="1"/>
    </xf>
    <xf numFmtId="0" fontId="33" fillId="0" borderId="0" xfId="0" applyFont="1" applyAlignment="1">
      <alignment horizontal="center"/>
    </xf>
    <xf numFmtId="3" fontId="129" fillId="23" borderId="26" xfId="0" applyNumberFormat="1" applyFont="1" applyFill="1" applyBorder="1" applyAlignment="1" applyProtection="1">
      <alignment vertical="center" wrapText="1"/>
      <protection locked="0"/>
    </xf>
    <xf numFmtId="49" fontId="0" fillId="0" borderId="87" xfId="0" applyNumberFormat="1" applyBorder="1" applyProtection="1">
      <protection locked="0"/>
    </xf>
    <xf numFmtId="0" fontId="21" fillId="35" borderId="87" xfId="0" applyFont="1" applyFill="1" applyBorder="1" applyAlignment="1" applyProtection="1">
      <alignment horizontal="center" vertical="center"/>
      <protection locked="0"/>
    </xf>
    <xf numFmtId="0" fontId="21" fillId="35" borderId="87" xfId="0" applyFont="1" applyFill="1" applyBorder="1" applyAlignment="1">
      <alignment horizontal="center" vertical="center"/>
    </xf>
    <xf numFmtId="1" fontId="0" fillId="35" borderId="49" xfId="0" applyNumberFormat="1" applyFill="1" applyBorder="1" applyAlignment="1">
      <alignment horizontal="center" vertical="center"/>
    </xf>
    <xf numFmtId="49" fontId="0" fillId="0" borderId="10" xfId="0" applyNumberFormat="1" applyBorder="1" applyProtection="1">
      <protection locked="0"/>
    </xf>
    <xf numFmtId="0" fontId="21" fillId="35" borderId="10" xfId="0" applyFont="1" applyFill="1" applyBorder="1" applyAlignment="1" applyProtection="1">
      <alignment horizontal="center" vertical="center"/>
      <protection locked="0"/>
    </xf>
    <xf numFmtId="0" fontId="21" fillId="35" borderId="10" xfId="0" applyFont="1" applyFill="1" applyBorder="1" applyAlignment="1">
      <alignment horizontal="center" vertical="center"/>
    </xf>
    <xf numFmtId="0" fontId="21" fillId="0" borderId="10" xfId="0" applyFont="1" applyBorder="1" applyAlignment="1" applyProtection="1">
      <alignment horizontal="center" vertical="center"/>
      <protection locked="0"/>
    </xf>
    <xf numFmtId="0" fontId="21" fillId="0" borderId="10" xfId="0" applyFont="1" applyBorder="1" applyAlignment="1">
      <alignment horizontal="center" vertical="center"/>
    </xf>
    <xf numFmtId="3" fontId="0" fillId="0" borderId="10" xfId="0" applyNumberFormat="1" applyBorder="1" applyAlignment="1" applyProtection="1">
      <alignment horizontal="center" vertical="center"/>
      <protection locked="0"/>
    </xf>
    <xf numFmtId="1" fontId="0" fillId="0" borderId="49" xfId="0" applyNumberFormat="1" applyBorder="1" applyAlignment="1">
      <alignment horizontal="center" vertical="center"/>
    </xf>
    <xf numFmtId="49" fontId="123" fillId="0" borderId="10" xfId="0" applyNumberFormat="1" applyFont="1" applyBorder="1" applyProtection="1">
      <protection locked="0"/>
    </xf>
    <xf numFmtId="49" fontId="0" fillId="0" borderId="10" xfId="0" applyNumberFormat="1" applyBorder="1" applyAlignment="1" applyProtection="1">
      <alignment horizontal="left"/>
      <protection locked="0"/>
    </xf>
    <xf numFmtId="49" fontId="0" fillId="0" borderId="90" xfId="0" applyNumberFormat="1" applyBorder="1" applyAlignment="1" applyProtection="1">
      <alignment horizontal="left"/>
      <protection locked="0"/>
    </xf>
    <xf numFmtId="0" fontId="21" fillId="0" borderId="90" xfId="0" applyFont="1" applyBorder="1" applyAlignment="1" applyProtection="1">
      <alignment horizontal="center" vertical="center"/>
      <protection locked="0"/>
    </xf>
    <xf numFmtId="3" fontId="0" fillId="0" borderId="10" xfId="0" applyNumberFormat="1" applyBorder="1" applyAlignment="1" applyProtection="1">
      <alignment horizontal="center" vertical="top"/>
      <protection locked="0"/>
    </xf>
    <xf numFmtId="0" fontId="21" fillId="0" borderId="90" xfId="0" applyFont="1" applyBorder="1" applyAlignment="1">
      <alignment horizontal="center" vertical="center"/>
    </xf>
    <xf numFmtId="3" fontId="0" fillId="0" borderId="90" xfId="0" applyNumberFormat="1" applyBorder="1" applyAlignment="1" applyProtection="1">
      <alignment horizontal="center" vertical="top"/>
      <protection locked="0"/>
    </xf>
    <xf numFmtId="1" fontId="0" fillId="0" borderId="203" xfId="0" applyNumberFormat="1" applyBorder="1" applyAlignment="1">
      <alignment horizontal="center" vertical="center"/>
    </xf>
    <xf numFmtId="49" fontId="0" fillId="0" borderId="57" xfId="0" applyNumberFormat="1" applyBorder="1" applyAlignment="1" applyProtection="1">
      <alignment horizontal="left"/>
      <protection locked="0"/>
    </xf>
    <xf numFmtId="0" fontId="21" fillId="0" borderId="57" xfId="0" applyFont="1" applyBorder="1" applyAlignment="1" applyProtection="1">
      <alignment horizontal="center" vertical="center"/>
      <protection locked="0"/>
    </xf>
    <xf numFmtId="0" fontId="21" fillId="0" borderId="57" xfId="0" applyFont="1" applyBorder="1" applyAlignment="1">
      <alignment horizontal="center" vertical="center"/>
    </xf>
    <xf numFmtId="3" fontId="0" fillId="0" borderId="57" xfId="0" applyNumberFormat="1" applyBorder="1" applyAlignment="1" applyProtection="1">
      <alignment horizontal="center" vertical="top"/>
      <protection locked="0"/>
    </xf>
    <xf numFmtId="1" fontId="0" fillId="0" borderId="52" xfId="0" applyNumberFormat="1" applyBorder="1" applyAlignment="1">
      <alignment horizontal="center" vertical="center"/>
    </xf>
    <xf numFmtId="1" fontId="21" fillId="53" borderId="10" xfId="0" applyNumberFormat="1" applyFont="1" applyFill="1" applyBorder="1" applyAlignment="1">
      <alignment horizontal="right" vertical="center"/>
    </xf>
    <xf numFmtId="0" fontId="0" fillId="53" borderId="10" xfId="0" applyFill="1" applyBorder="1" applyAlignment="1" applyProtection="1">
      <alignment horizontal="right" vertical="center"/>
      <protection locked="0"/>
    </xf>
    <xf numFmtId="1" fontId="0" fillId="53" borderId="49" xfId="0" applyNumberFormat="1" applyFill="1" applyBorder="1" applyAlignment="1">
      <alignment horizontal="right" vertical="center"/>
    </xf>
    <xf numFmtId="1" fontId="21" fillId="53" borderId="90" xfId="0" applyNumberFormat="1" applyFont="1" applyFill="1" applyBorder="1" applyAlignment="1">
      <alignment horizontal="right" vertical="center"/>
    </xf>
    <xf numFmtId="0" fontId="0" fillId="53" borderId="90" xfId="0" applyFill="1" applyBorder="1" applyAlignment="1" applyProtection="1">
      <alignment horizontal="right" vertical="center"/>
      <protection locked="0"/>
    </xf>
    <xf numFmtId="1" fontId="21" fillId="53" borderId="57" xfId="0" applyNumberFormat="1" applyFont="1" applyFill="1" applyBorder="1" applyAlignment="1">
      <alignment horizontal="right" vertical="center"/>
    </xf>
    <xf numFmtId="0" fontId="0" fillId="53" borderId="57" xfId="0" applyFill="1" applyBorder="1" applyAlignment="1" applyProtection="1">
      <alignment horizontal="right" vertical="center"/>
      <protection locked="0"/>
    </xf>
    <xf numFmtId="9" fontId="117" fillId="0" borderId="41" xfId="61" applyFont="1" applyFill="1" applyBorder="1" applyAlignment="1" applyProtection="1">
      <alignment horizontal="center" vertical="center" wrapText="1"/>
      <protection locked="0"/>
    </xf>
    <xf numFmtId="0" fontId="75" fillId="0" borderId="250" xfId="0" applyFont="1" applyBorder="1" applyAlignment="1">
      <alignment horizontal="center" vertical="center"/>
    </xf>
    <xf numFmtId="10" fontId="129" fillId="22" borderId="10" xfId="61" applyNumberFormat="1" applyFont="1" applyFill="1" applyBorder="1" applyAlignment="1" applyProtection="1">
      <alignment vertical="top" wrapText="1"/>
      <protection locked="0"/>
    </xf>
    <xf numFmtId="167" fontId="14" fillId="54" borderId="65" xfId="0" applyNumberFormat="1" applyFont="1" applyFill="1" applyBorder="1" applyAlignment="1" applyProtection="1">
      <alignment horizontal="center"/>
      <protection locked="0"/>
    </xf>
    <xf numFmtId="9" fontId="129" fillId="38" borderId="10" xfId="0" applyNumberFormat="1" applyFont="1" applyFill="1" applyBorder="1" applyAlignment="1" applyProtection="1">
      <alignment horizontal="center" vertical="center"/>
      <protection locked="0"/>
    </xf>
    <xf numFmtId="3" fontId="129" fillId="0" borderId="10" xfId="0" applyNumberFormat="1" applyFont="1" applyBorder="1" applyAlignment="1" applyProtection="1">
      <alignment vertical="center"/>
      <protection locked="0"/>
    </xf>
    <xf numFmtId="3" fontId="129" fillId="0" borderId="26" xfId="0" applyNumberFormat="1" applyFont="1" applyBorder="1" applyAlignment="1" applyProtection="1">
      <alignment vertical="center" wrapText="1"/>
      <protection locked="0"/>
    </xf>
    <xf numFmtId="3" fontId="129" fillId="0" borderId="10" xfId="0" applyNumberFormat="1" applyFont="1" applyBorder="1" applyAlignment="1" applyProtection="1">
      <alignment horizontal="right" vertical="center"/>
      <protection locked="0"/>
    </xf>
    <xf numFmtId="2" fontId="129" fillId="0" borderId="10" xfId="61" applyNumberFormat="1" applyFont="1" applyFill="1" applyBorder="1" applyAlignment="1" applyProtection="1">
      <alignment vertical="top" wrapText="1"/>
      <protection locked="0"/>
    </xf>
    <xf numFmtId="9" fontId="175" fillId="0" borderId="41" xfId="61" applyFont="1" applyBorder="1" applyAlignment="1" applyProtection="1">
      <alignment horizontal="center" vertical="center" wrapText="1"/>
      <protection locked="0"/>
    </xf>
    <xf numFmtId="3" fontId="175" fillId="0" borderId="41" xfId="0" applyNumberFormat="1" applyFont="1" applyBorder="1" applyAlignment="1" applyProtection="1">
      <alignment horizontal="center" vertical="center" wrapText="1"/>
      <protection locked="0"/>
    </xf>
    <xf numFmtId="0" fontId="133" fillId="0" borderId="254" xfId="0" applyFont="1" applyBorder="1" applyAlignment="1">
      <alignment horizontal="center" wrapText="1"/>
    </xf>
    <xf numFmtId="1" fontId="21" fillId="36" borderId="254" xfId="0" applyNumberFormat="1" applyFont="1" applyFill="1" applyBorder="1" applyAlignment="1">
      <alignment horizontal="center" vertical="center"/>
    </xf>
    <xf numFmtId="1" fontId="128" fillId="36" borderId="254" xfId="0" applyNumberFormat="1" applyFont="1" applyFill="1" applyBorder="1" applyAlignment="1">
      <alignment horizontal="center" vertical="center"/>
    </xf>
    <xf numFmtId="0" fontId="121" fillId="0" borderId="248" xfId="0" applyFont="1" applyBorder="1" applyAlignment="1">
      <alignment horizontal="center" wrapText="1"/>
    </xf>
    <xf numFmtId="0" fontId="121" fillId="0" borderId="88" xfId="0" applyFont="1" applyBorder="1" applyAlignment="1">
      <alignment horizontal="center" wrapText="1"/>
    </xf>
    <xf numFmtId="1" fontId="0" fillId="35" borderId="205" xfId="0" applyNumberFormat="1" applyFill="1" applyBorder="1" applyAlignment="1">
      <alignment horizontal="center" vertical="center"/>
    </xf>
    <xf numFmtId="0" fontId="98" fillId="22" borderId="258" xfId="0" applyFont="1" applyFill="1" applyBorder="1" applyAlignment="1" applyProtection="1">
      <alignment horizontal="right" vertical="top"/>
      <protection locked="0"/>
    </xf>
    <xf numFmtId="0" fontId="98" fillId="22" borderId="259" xfId="0" applyFont="1" applyFill="1" applyBorder="1" applyAlignment="1" applyProtection="1">
      <alignment horizontal="right" vertical="top"/>
      <protection locked="0"/>
    </xf>
    <xf numFmtId="9" fontId="178" fillId="0" borderId="10" xfId="0" applyNumberFormat="1" applyFont="1" applyBorder="1" applyAlignment="1">
      <alignment horizontal="center" vertical="center" wrapText="1"/>
    </xf>
    <xf numFmtId="0" fontId="178" fillId="0" borderId="10" xfId="0" applyFont="1" applyBorder="1" applyAlignment="1">
      <alignment horizontal="center" vertical="center" wrapText="1"/>
    </xf>
    <xf numFmtId="0" fontId="178" fillId="0" borderId="43" xfId="0" applyFont="1" applyBorder="1" applyAlignment="1">
      <alignment horizontal="center" vertical="center" wrapText="1"/>
    </xf>
    <xf numFmtId="3" fontId="0" fillId="35" borderId="254" xfId="0" applyNumberFormat="1" applyFill="1" applyBorder="1" applyAlignment="1" applyProtection="1">
      <alignment horizontal="center" vertical="center"/>
      <protection locked="0"/>
    </xf>
    <xf numFmtId="0" fontId="0" fillId="0" borderId="254" xfId="0" applyBorder="1"/>
    <xf numFmtId="1" fontId="21" fillId="35" borderId="254" xfId="0" applyNumberFormat="1" applyFont="1" applyFill="1" applyBorder="1" applyAlignment="1">
      <alignment horizontal="center" vertical="center"/>
    </xf>
    <xf numFmtId="3" fontId="0" fillId="0" borderId="254" xfId="0" applyNumberFormat="1" applyBorder="1" applyAlignment="1" applyProtection="1">
      <alignment horizontal="center" vertical="center"/>
      <protection locked="0"/>
    </xf>
    <xf numFmtId="1" fontId="21" fillId="0" borderId="254" xfId="0" applyNumberFormat="1" applyFont="1" applyBorder="1" applyAlignment="1">
      <alignment horizontal="center" vertical="center"/>
    </xf>
    <xf numFmtId="3" fontId="0" fillId="0" borderId="254" xfId="0" applyNumberFormat="1" applyBorder="1" applyAlignment="1" applyProtection="1">
      <alignment horizontal="center"/>
      <protection locked="0"/>
    </xf>
    <xf numFmtId="3" fontId="0" fillId="35" borderId="41" xfId="0" applyNumberFormat="1" applyFill="1" applyBorder="1" applyAlignment="1">
      <alignment horizontal="center" vertical="center"/>
    </xf>
    <xf numFmtId="3" fontId="0" fillId="0" borderId="41" xfId="0" applyNumberFormat="1" applyBorder="1" applyAlignment="1">
      <alignment horizontal="center" vertical="center"/>
    </xf>
    <xf numFmtId="1" fontId="0" fillId="0" borderId="95" xfId="0" applyNumberFormat="1" applyBorder="1" applyAlignment="1">
      <alignment horizontal="center"/>
    </xf>
    <xf numFmtId="1" fontId="0" fillId="0" borderId="260" xfId="0" applyNumberFormat="1" applyBorder="1" applyAlignment="1">
      <alignment horizontal="center"/>
    </xf>
    <xf numFmtId="0" fontId="0" fillId="35" borderId="43" xfId="0" applyFill="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261" xfId="0" applyBorder="1" applyAlignment="1" applyProtection="1">
      <alignment horizontal="center" vertical="center"/>
      <protection locked="0"/>
    </xf>
    <xf numFmtId="9" fontId="21" fillId="35" borderId="41" xfId="61" applyFont="1" applyFill="1" applyBorder="1" applyAlignment="1" applyProtection="1">
      <alignment horizontal="left" vertical="top" wrapText="1"/>
      <protection locked="0"/>
    </xf>
    <xf numFmtId="0" fontId="86" fillId="0" borderId="42" xfId="0" applyFont="1" applyBorder="1" applyAlignment="1">
      <alignment vertical="top" wrapText="1"/>
    </xf>
    <xf numFmtId="0" fontId="0" fillId="0" borderId="0" xfId="0" applyAlignment="1">
      <alignment vertical="top"/>
    </xf>
    <xf numFmtId="0" fontId="62" fillId="0" borderId="41" xfId="0" applyFont="1" applyBorder="1" applyAlignment="1" applyProtection="1">
      <alignment horizontal="left" vertical="top" wrapText="1"/>
      <protection locked="0"/>
    </xf>
    <xf numFmtId="0" fontId="62" fillId="0" borderId="42" xfId="0" applyFont="1" applyBorder="1" applyAlignment="1" applyProtection="1">
      <alignment horizontal="left" vertical="top" wrapText="1"/>
      <protection locked="0"/>
    </xf>
    <xf numFmtId="0" fontId="62" fillId="0" borderId="43" xfId="0" applyFont="1" applyBorder="1" applyAlignment="1" applyProtection="1">
      <alignment horizontal="left" vertical="top" wrapText="1"/>
      <protection locked="0"/>
    </xf>
    <xf numFmtId="0" fontId="86" fillId="0" borderId="41" xfId="0" applyFont="1" applyBorder="1" applyAlignment="1">
      <alignment vertical="top" wrapText="1"/>
    </xf>
    <xf numFmtId="0" fontId="62" fillId="0" borderId="42" xfId="0" applyFont="1" applyBorder="1" applyAlignment="1">
      <alignment horizontal="justify" vertical="top" wrapText="1"/>
    </xf>
    <xf numFmtId="0" fontId="87" fillId="0" borderId="42" xfId="0" applyFont="1" applyBorder="1" applyAlignment="1">
      <alignment horizontal="justify" vertical="top" wrapText="1"/>
    </xf>
    <xf numFmtId="0" fontId="62" fillId="0" borderId="43" xfId="0" applyFont="1" applyBorder="1" applyAlignment="1">
      <alignment horizontal="justify" vertical="top" wrapText="1"/>
    </xf>
    <xf numFmtId="0" fontId="62" fillId="0" borderId="41" xfId="0" applyFont="1" applyBorder="1" applyAlignment="1">
      <alignment horizontal="justify" vertical="top" wrapText="1"/>
    </xf>
    <xf numFmtId="9" fontId="2" fillId="28" borderId="10" xfId="0" applyNumberFormat="1" applyFont="1" applyFill="1" applyBorder="1" applyAlignment="1" applyProtection="1">
      <alignment horizontal="center" vertical="center"/>
      <protection locked="0"/>
    </xf>
    <xf numFmtId="3" fontId="2" fillId="28" borderId="10" xfId="0" applyNumberFormat="1" applyFont="1" applyFill="1" applyBorder="1" applyAlignment="1" applyProtection="1">
      <alignment horizontal="center" vertical="center"/>
      <protection locked="0"/>
    </xf>
    <xf numFmtId="9" fontId="2" fillId="29" borderId="10" xfId="0" applyNumberFormat="1" applyFont="1" applyFill="1" applyBorder="1" applyAlignment="1" applyProtection="1">
      <alignment horizontal="center" vertical="center"/>
      <protection locked="0"/>
    </xf>
    <xf numFmtId="9" fontId="2" fillId="0" borderId="10" xfId="0" applyNumberFormat="1" applyFont="1" applyBorder="1" applyAlignment="1" applyProtection="1">
      <alignment horizontal="center" vertical="center"/>
      <protection locked="0"/>
    </xf>
    <xf numFmtId="3" fontId="2" fillId="24" borderId="10" xfId="0" applyNumberFormat="1" applyFont="1" applyFill="1" applyBorder="1" applyAlignment="1">
      <alignment horizontal="center" vertical="center"/>
    </xf>
    <xf numFmtId="3" fontId="2" fillId="0" borderId="10" xfId="0" applyNumberFormat="1" applyFont="1" applyBorder="1" applyAlignment="1">
      <alignment horizontal="center" vertical="center"/>
    </xf>
    <xf numFmtId="3" fontId="2" fillId="0" borderId="54" xfId="0" applyNumberFormat="1" applyFont="1" applyBorder="1" applyAlignment="1">
      <alignment horizontal="center" vertical="center"/>
    </xf>
    <xf numFmtId="15" fontId="28" fillId="0" borderId="0" xfId="0" applyNumberFormat="1" applyFont="1" applyAlignment="1">
      <alignment horizontal="left" vertical="top"/>
    </xf>
    <xf numFmtId="0" fontId="98" fillId="22" borderId="214" xfId="0" applyFont="1" applyFill="1" applyBorder="1" applyAlignment="1" applyProtection="1">
      <alignment horizontal="left" vertical="top"/>
      <protection locked="0"/>
    </xf>
    <xf numFmtId="0" fontId="98" fillId="22" borderId="215" xfId="0" applyFont="1" applyFill="1" applyBorder="1" applyAlignment="1" applyProtection="1">
      <alignment horizontal="left" vertical="top"/>
      <protection locked="0"/>
    </xf>
    <xf numFmtId="9" fontId="0" fillId="0" borderId="0" xfId="0" applyNumberFormat="1"/>
    <xf numFmtId="9" fontId="14" fillId="19" borderId="65" xfId="0" applyNumberFormat="1" applyFont="1" applyFill="1" applyBorder="1" applyAlignment="1" applyProtection="1">
      <alignment horizontal="center"/>
      <protection locked="0"/>
    </xf>
    <xf numFmtId="9" fontId="129" fillId="0" borderId="10" xfId="0" applyNumberFormat="1" applyFont="1" applyBorder="1" applyAlignment="1">
      <alignment horizontal="center" vertical="center"/>
    </xf>
    <xf numFmtId="9" fontId="129" fillId="24" borderId="10" xfId="0" applyNumberFormat="1" applyFont="1" applyFill="1" applyBorder="1" applyAlignment="1">
      <alignment horizontal="center" vertical="center"/>
    </xf>
    <xf numFmtId="3" fontId="179" fillId="55" borderId="266" xfId="0" applyNumberFormat="1" applyFont="1" applyFill="1" applyBorder="1"/>
    <xf numFmtId="3" fontId="21" fillId="55" borderId="10" xfId="0" applyNumberFormat="1" applyFont="1" applyFill="1" applyBorder="1"/>
    <xf numFmtId="3" fontId="21" fillId="55" borderId="87" xfId="0" applyNumberFormat="1" applyFont="1" applyFill="1" applyBorder="1"/>
    <xf numFmtId="3" fontId="180" fillId="56" borderId="10" xfId="0" applyNumberFormat="1" applyFont="1" applyFill="1" applyBorder="1" applyAlignment="1">
      <alignment horizontal="center" vertical="center" wrapText="1"/>
    </xf>
    <xf numFmtId="3" fontId="180" fillId="56" borderId="87" xfId="0" applyNumberFormat="1" applyFont="1" applyFill="1" applyBorder="1" applyAlignment="1">
      <alignment horizontal="center" vertical="center" wrapText="1"/>
    </xf>
    <xf numFmtId="0" fontId="181" fillId="0" borderId="271" xfId="0" applyFont="1" applyBorder="1" applyAlignment="1">
      <alignment wrapText="1"/>
    </xf>
    <xf numFmtId="0" fontId="181" fillId="0" borderId="272" xfId="0" applyFont="1" applyBorder="1" applyAlignment="1">
      <alignment wrapText="1"/>
    </xf>
    <xf numFmtId="0" fontId="181" fillId="0" borderId="272" xfId="0" applyFont="1" applyBorder="1"/>
    <xf numFmtId="43" fontId="180" fillId="55" borderId="267" xfId="0" applyNumberFormat="1" applyFont="1" applyFill="1" applyBorder="1"/>
    <xf numFmtId="43" fontId="180" fillId="55" borderId="268" xfId="0" applyNumberFormat="1" applyFont="1" applyFill="1" applyBorder="1"/>
    <xf numFmtId="43" fontId="180" fillId="55" borderId="269" xfId="0" applyNumberFormat="1" applyFont="1" applyFill="1" applyBorder="1"/>
    <xf numFmtId="43" fontId="180" fillId="55" borderId="270" xfId="0" applyNumberFormat="1" applyFont="1" applyFill="1" applyBorder="1"/>
    <xf numFmtId="43" fontId="180" fillId="57" borderId="269" xfId="0" applyNumberFormat="1" applyFont="1" applyFill="1" applyBorder="1"/>
    <xf numFmtId="9" fontId="129" fillId="29" borderId="10" xfId="0" applyNumberFormat="1" applyFont="1" applyFill="1" applyBorder="1" applyAlignment="1" applyProtection="1">
      <alignment horizontal="center" vertical="center"/>
      <protection locked="0"/>
    </xf>
    <xf numFmtId="3" fontId="183" fillId="59" borderId="10" xfId="0" applyNumberFormat="1" applyFont="1" applyFill="1" applyBorder="1" applyAlignment="1">
      <alignment horizontal="right" vertical="center"/>
    </xf>
    <xf numFmtId="176" fontId="129" fillId="38" borderId="10" xfId="0" applyNumberFormat="1" applyFont="1" applyFill="1" applyBorder="1" applyAlignment="1" applyProtection="1">
      <alignment horizontal="center" vertical="center"/>
      <protection locked="0"/>
    </xf>
    <xf numFmtId="10" fontId="129" fillId="38" borderId="10" xfId="0" applyNumberFormat="1" applyFont="1" applyFill="1" applyBorder="1" applyAlignment="1" applyProtection="1">
      <alignment horizontal="center" vertical="center"/>
      <protection locked="0"/>
    </xf>
    <xf numFmtId="10" fontId="178" fillId="0" borderId="43" xfId="0" applyNumberFormat="1" applyFont="1" applyBorder="1" applyAlignment="1">
      <alignment horizontal="center" vertical="center" wrapText="1"/>
    </xf>
    <xf numFmtId="49" fontId="186" fillId="36" borderId="10" xfId="0" applyNumberFormat="1" applyFont="1" applyFill="1" applyBorder="1" applyProtection="1">
      <protection locked="0"/>
    </xf>
    <xf numFmtId="0" fontId="187" fillId="36" borderId="87" xfId="0" applyFont="1" applyFill="1" applyBorder="1" applyAlignment="1">
      <alignment horizontal="center" wrapText="1"/>
    </xf>
    <xf numFmtId="0" fontId="186" fillId="36" borderId="10" xfId="0" applyFont="1" applyFill="1" applyBorder="1" applyAlignment="1">
      <alignment horizontal="center" vertical="center"/>
    </xf>
    <xf numFmtId="0" fontId="186" fillId="36" borderId="87" xfId="0" applyFont="1" applyFill="1" applyBorder="1" applyAlignment="1">
      <alignment horizontal="center" wrapText="1"/>
    </xf>
    <xf numFmtId="3" fontId="186" fillId="36" borderId="10" xfId="0" applyNumberFormat="1" applyFont="1" applyFill="1" applyBorder="1" applyAlignment="1">
      <alignment horizontal="center" vertical="center"/>
    </xf>
    <xf numFmtId="0" fontId="186" fillId="58" borderId="254" xfId="0" applyFont="1" applyFill="1" applyBorder="1"/>
    <xf numFmtId="1" fontId="186" fillId="36" borderId="10" xfId="0" applyNumberFormat="1" applyFont="1" applyFill="1" applyBorder="1" applyAlignment="1">
      <alignment horizontal="center" vertical="center"/>
    </xf>
    <xf numFmtId="0" fontId="186" fillId="36" borderId="41" xfId="0" applyFont="1" applyFill="1" applyBorder="1" applyAlignment="1" applyProtection="1">
      <alignment horizontal="center" vertical="center"/>
      <protection locked="0"/>
    </xf>
    <xf numFmtId="3" fontId="186" fillId="36" borderId="10" xfId="0" applyNumberFormat="1" applyFont="1" applyFill="1" applyBorder="1" applyAlignment="1">
      <alignment horizontal="right" vertical="center"/>
    </xf>
    <xf numFmtId="0" fontId="186" fillId="36" borderId="10" xfId="0" applyFont="1" applyFill="1" applyBorder="1" applyAlignment="1" applyProtection="1">
      <alignment horizontal="center" vertical="center"/>
      <protection locked="0"/>
    </xf>
    <xf numFmtId="49" fontId="186" fillId="36" borderId="10" xfId="0" applyNumberFormat="1" applyFont="1" applyFill="1" applyBorder="1" applyAlignment="1" applyProtection="1">
      <alignment horizontal="left"/>
      <protection locked="0"/>
    </xf>
    <xf numFmtId="3" fontId="186" fillId="36" borderId="90" xfId="0" applyNumberFormat="1" applyFont="1" applyFill="1" applyBorder="1" applyAlignment="1">
      <alignment horizontal="center" vertical="center"/>
    </xf>
    <xf numFmtId="1" fontId="186" fillId="36" borderId="90" xfId="0" applyNumberFormat="1" applyFont="1" applyFill="1" applyBorder="1" applyAlignment="1">
      <alignment horizontal="center" vertical="center"/>
    </xf>
    <xf numFmtId="176" fontId="129" fillId="0" borderId="10" xfId="0" applyNumberFormat="1" applyFont="1" applyBorder="1" applyAlignment="1">
      <alignment horizontal="center" vertical="center"/>
    </xf>
    <xf numFmtId="9" fontId="129" fillId="0" borderId="10" xfId="0" applyNumberFormat="1" applyFont="1" applyBorder="1" applyAlignment="1">
      <alignment vertical="center"/>
    </xf>
    <xf numFmtId="10" fontId="129" fillId="0" borderId="10" xfId="0" applyNumberFormat="1" applyFont="1" applyBorder="1" applyAlignment="1">
      <alignment vertical="center"/>
    </xf>
    <xf numFmtId="9" fontId="129" fillId="24" borderId="10" xfId="0" applyNumberFormat="1" applyFont="1" applyFill="1" applyBorder="1" applyAlignment="1">
      <alignment vertical="center"/>
    </xf>
    <xf numFmtId="10" fontId="129" fillId="24" borderId="10" xfId="0" applyNumberFormat="1" applyFont="1" applyFill="1" applyBorder="1" applyAlignment="1">
      <alignment vertical="center"/>
    </xf>
    <xf numFmtId="43" fontId="33" fillId="0" borderId="0" xfId="0" applyNumberFormat="1" applyFont="1" applyAlignment="1">
      <alignment horizontal="center"/>
    </xf>
    <xf numFmtId="0" fontId="109" fillId="0" borderId="0" xfId="0" applyFont="1" applyAlignment="1">
      <alignment horizontal="center"/>
    </xf>
    <xf numFmtId="0" fontId="110" fillId="0" borderId="0" xfId="0" applyFont="1" applyAlignment="1">
      <alignment horizontal="center"/>
    </xf>
    <xf numFmtId="43" fontId="115" fillId="30" borderId="0" xfId="47" applyFont="1" applyFill="1" applyAlignment="1">
      <alignment horizontal="center" vertical="center"/>
    </xf>
    <xf numFmtId="49" fontId="2" fillId="40" borderId="228" xfId="0" applyNumberFormat="1" applyFont="1" applyFill="1" applyBorder="1" applyAlignment="1" applyProtection="1">
      <alignment horizontal="center" vertical="center" wrapText="1"/>
      <protection locked="0"/>
    </xf>
    <xf numFmtId="49" fontId="2" fillId="40" borderId="229" xfId="0" applyNumberFormat="1" applyFont="1" applyFill="1" applyBorder="1" applyAlignment="1" applyProtection="1">
      <alignment horizontal="center" vertical="center" wrapText="1"/>
      <protection locked="0"/>
    </xf>
    <xf numFmtId="49" fontId="2" fillId="0" borderId="90" xfId="0" applyNumberFormat="1" applyFont="1" applyBorder="1" applyAlignment="1">
      <alignment horizontal="center" vertical="center" wrapText="1"/>
    </xf>
    <xf numFmtId="49" fontId="2" fillId="0" borderId="87" xfId="0" applyNumberFormat="1" applyFont="1" applyBorder="1" applyAlignment="1">
      <alignment horizontal="center" vertical="center" wrapText="1"/>
    </xf>
    <xf numFmtId="49" fontId="2" fillId="24" borderId="90" xfId="0" applyNumberFormat="1" applyFont="1" applyFill="1" applyBorder="1" applyAlignment="1">
      <alignment horizontal="center" vertical="center" wrapText="1"/>
    </xf>
    <xf numFmtId="49" fontId="2" fillId="24" borderId="87" xfId="0" applyNumberFormat="1" applyFont="1" applyFill="1" applyBorder="1" applyAlignment="1">
      <alignment horizontal="center" vertical="center" wrapText="1"/>
    </xf>
    <xf numFmtId="0" fontId="129" fillId="0" borderId="228" xfId="0" applyFont="1" applyBorder="1" applyAlignment="1">
      <alignment horizontal="center" vertical="center" wrapText="1"/>
    </xf>
    <xf numFmtId="0" fontId="129" fillId="0" borderId="262" xfId="0" applyFont="1" applyBorder="1" applyAlignment="1">
      <alignment horizontal="center" vertical="center" wrapText="1"/>
    </xf>
    <xf numFmtId="0" fontId="129" fillId="24" borderId="263" xfId="0" applyFont="1" applyFill="1" applyBorder="1" applyAlignment="1">
      <alignment horizontal="center" vertical="center" wrapText="1"/>
    </xf>
    <xf numFmtId="0" fontId="129" fillId="24" borderId="262" xfId="0" applyFont="1" applyFill="1" applyBorder="1" applyAlignment="1">
      <alignment horizontal="center" vertical="center" wrapText="1"/>
    </xf>
    <xf numFmtId="0" fontId="129" fillId="0" borderId="263" xfId="0" applyFont="1" applyBorder="1" applyAlignment="1">
      <alignment horizontal="center" vertical="center" wrapText="1"/>
    </xf>
    <xf numFmtId="49" fontId="2" fillId="39" borderId="228" xfId="0" applyNumberFormat="1" applyFont="1" applyFill="1" applyBorder="1" applyAlignment="1" applyProtection="1">
      <alignment horizontal="center" vertical="center" wrapText="1"/>
      <protection locked="0"/>
    </xf>
    <xf numFmtId="49" fontId="2" fillId="39" borderId="229" xfId="0" applyNumberFormat="1" applyFont="1" applyFill="1" applyBorder="1" applyAlignment="1" applyProtection="1">
      <alignment horizontal="center" vertical="center" wrapText="1"/>
      <protection locked="0"/>
    </xf>
    <xf numFmtId="49" fontId="129" fillId="38" borderId="228" xfId="0" applyNumberFormat="1" applyFont="1" applyFill="1" applyBorder="1" applyAlignment="1" applyProtection="1">
      <alignment horizontal="center" vertical="center" wrapText="1"/>
      <protection locked="0"/>
    </xf>
    <xf numFmtId="49" fontId="129" fillId="38" borderId="229" xfId="0" applyNumberFormat="1" applyFont="1" applyFill="1" applyBorder="1" applyAlignment="1" applyProtection="1">
      <alignment horizontal="center" vertical="center" wrapText="1"/>
      <protection locked="0"/>
    </xf>
    <xf numFmtId="49" fontId="0" fillId="0" borderId="41" xfId="0" applyNumberFormat="1" applyBorder="1" applyAlignment="1" applyProtection="1">
      <alignment horizontal="center"/>
      <protection locked="0"/>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129" fillId="22" borderId="102" xfId="0" applyFont="1" applyFill="1" applyBorder="1" applyAlignment="1" applyProtection="1">
      <alignment horizontal="center" vertical="center" wrapText="1"/>
      <protection locked="0"/>
    </xf>
    <xf numFmtId="49" fontId="2" fillId="22" borderId="230" xfId="0" applyNumberFormat="1" applyFont="1" applyFill="1" applyBorder="1" applyAlignment="1" applyProtection="1">
      <alignment horizontal="center" vertical="center" wrapText="1"/>
      <protection locked="0"/>
    </xf>
    <xf numFmtId="49" fontId="2" fillId="22" borderId="114" xfId="0" applyNumberFormat="1" applyFont="1" applyFill="1" applyBorder="1" applyAlignment="1" applyProtection="1">
      <alignment horizontal="center" vertical="center" wrapText="1"/>
      <protection locked="0"/>
    </xf>
    <xf numFmtId="0" fontId="129" fillId="28" borderId="102" xfId="0" applyFont="1" applyFill="1" applyBorder="1" applyAlignment="1" applyProtection="1">
      <alignment horizontal="center" vertical="center" wrapText="1"/>
      <protection locked="0"/>
    </xf>
    <xf numFmtId="0" fontId="94" fillId="0" borderId="0" xfId="0" applyFont="1" applyAlignment="1">
      <alignment horizontal="right"/>
    </xf>
    <xf numFmtId="0" fontId="94" fillId="0" borderId="115" xfId="0" applyFont="1" applyBorder="1" applyAlignment="1">
      <alignment horizontal="right"/>
    </xf>
    <xf numFmtId="49" fontId="2" fillId="28" borderId="230" xfId="0" applyNumberFormat="1" applyFont="1" applyFill="1" applyBorder="1" applyAlignment="1" applyProtection="1">
      <alignment horizontal="center" vertical="center" wrapText="1"/>
      <protection locked="0"/>
    </xf>
    <xf numFmtId="49" fontId="2" fillId="28" borderId="114" xfId="0" applyNumberFormat="1" applyFont="1" applyFill="1" applyBorder="1" applyAlignment="1" applyProtection="1">
      <alignment horizontal="center" vertical="center" wrapText="1"/>
      <protection locked="0"/>
    </xf>
    <xf numFmtId="0" fontId="82" fillId="0" borderId="109" xfId="0" applyFont="1" applyBorder="1" applyAlignment="1">
      <alignment horizontal="right"/>
    </xf>
    <xf numFmtId="0" fontId="0" fillId="0" borderId="235" xfId="0" applyBorder="1" applyAlignment="1">
      <alignment horizontal="center"/>
    </xf>
    <xf numFmtId="0" fontId="0" fillId="0" borderId="236" xfId="0" applyBorder="1" applyAlignment="1">
      <alignment horizontal="center"/>
    </xf>
    <xf numFmtId="0" fontId="26" fillId="0" borderId="103" xfId="0" applyFont="1" applyBorder="1" applyAlignment="1">
      <alignment horizontal="center" wrapText="1"/>
    </xf>
    <xf numFmtId="0" fontId="26" fillId="0" borderId="104" xfId="0" applyFont="1" applyBorder="1" applyAlignment="1">
      <alignment horizontal="center" wrapText="1"/>
    </xf>
    <xf numFmtId="0" fontId="26" fillId="0" borderId="105" xfId="0" applyFont="1" applyBorder="1" applyAlignment="1">
      <alignment horizontal="center" wrapText="1"/>
    </xf>
    <xf numFmtId="49" fontId="14" fillId="0" borderId="234" xfId="0" applyNumberFormat="1" applyFont="1" applyBorder="1" applyAlignment="1">
      <alignment horizontal="center"/>
    </xf>
    <xf numFmtId="49" fontId="14" fillId="0" borderId="43" xfId="0" applyNumberFormat="1" applyFont="1" applyBorder="1" applyAlignment="1">
      <alignment horizontal="center"/>
    </xf>
    <xf numFmtId="43" fontId="14" fillId="0" borderId="110" xfId="0" applyNumberFormat="1" applyFont="1" applyBorder="1" applyAlignment="1">
      <alignment horizontal="center"/>
    </xf>
    <xf numFmtId="0" fontId="14" fillId="0" borderId="111" xfId="0" applyFont="1" applyBorder="1" applyAlignment="1">
      <alignment horizontal="center"/>
    </xf>
    <xf numFmtId="0" fontId="14" fillId="0" borderId="112" xfId="0" applyFont="1" applyBorder="1" applyAlignment="1">
      <alignment horizontal="center"/>
    </xf>
    <xf numFmtId="49" fontId="14" fillId="0" borderId="232" xfId="0" applyNumberFormat="1" applyFont="1" applyBorder="1" applyAlignment="1">
      <alignment horizontal="center"/>
    </xf>
    <xf numFmtId="49" fontId="14" fillId="0" borderId="233" xfId="0" applyNumberFormat="1" applyFont="1" applyBorder="1" applyAlignment="1">
      <alignment horizontal="center"/>
    </xf>
    <xf numFmtId="0" fontId="94" fillId="0" borderId="47" xfId="0" applyFont="1" applyBorder="1" applyAlignment="1">
      <alignment horizontal="right"/>
    </xf>
    <xf numFmtId="0" fontId="0" fillId="22" borderId="41" xfId="0" applyFill="1" applyBorder="1" applyAlignment="1">
      <alignment horizontal="center"/>
    </xf>
    <xf numFmtId="0" fontId="0" fillId="22" borderId="43" xfId="0" applyFill="1" applyBorder="1" applyAlignment="1">
      <alignment horizontal="center"/>
    </xf>
    <xf numFmtId="49" fontId="0" fillId="0" borderId="10" xfId="0" applyNumberFormat="1" applyBorder="1" applyAlignment="1" applyProtection="1">
      <alignment horizontal="center"/>
      <protection locked="0"/>
    </xf>
    <xf numFmtId="43" fontId="60" fillId="30" borderId="0" xfId="38" applyFont="1" applyFill="1" applyAlignment="1">
      <alignment horizontal="center" vertical="center"/>
    </xf>
    <xf numFmtId="3" fontId="0" fillId="0" borderId="41" xfId="0" applyNumberFormat="1" applyBorder="1" applyAlignment="1" applyProtection="1">
      <alignment horizontal="center" vertical="top" wrapText="1"/>
      <protection locked="0"/>
    </xf>
    <xf numFmtId="3" fontId="0" fillId="0" borderId="43" xfId="0" applyNumberFormat="1" applyBorder="1" applyAlignment="1" applyProtection="1">
      <alignment horizontal="center" vertical="top" wrapText="1"/>
      <protection locked="0"/>
    </xf>
    <xf numFmtId="15" fontId="0" fillId="0" borderId="10" xfId="56" applyNumberFormat="1" applyFont="1" applyFill="1" applyBorder="1" applyAlignment="1" applyProtection="1">
      <alignment horizontal="center"/>
      <protection locked="0"/>
    </xf>
    <xf numFmtId="15" fontId="116" fillId="0" borderId="10" xfId="56" applyNumberFormat="1" applyFill="1" applyBorder="1" applyAlignment="1" applyProtection="1">
      <alignment horizontal="center"/>
      <protection locked="0"/>
    </xf>
    <xf numFmtId="49" fontId="124" fillId="0" borderId="10" xfId="0" applyNumberFormat="1" applyFont="1" applyBorder="1" applyAlignment="1" applyProtection="1">
      <alignment horizontal="center"/>
      <protection locked="0"/>
    </xf>
    <xf numFmtId="43" fontId="15" fillId="32" borderId="10" xfId="56" applyFont="1" applyFill="1" applyBorder="1" applyAlignment="1" applyProtection="1">
      <alignment horizontal="center"/>
      <protection locked="0"/>
    </xf>
    <xf numFmtId="0" fontId="2" fillId="0" borderId="251" xfId="0" applyFont="1" applyBorder="1" applyAlignment="1">
      <alignment horizontal="center" vertical="center" wrapText="1"/>
    </xf>
    <xf numFmtId="0" fontId="2" fillId="0" borderId="253" xfId="0" applyFont="1" applyBorder="1" applyAlignment="1">
      <alignment horizontal="center" vertical="center" wrapText="1"/>
    </xf>
    <xf numFmtId="0" fontId="2" fillId="0" borderId="230" xfId="0" applyFont="1" applyBorder="1" applyAlignment="1">
      <alignment horizontal="center" vertical="center" wrapText="1"/>
    </xf>
    <xf numFmtId="0" fontId="2" fillId="0" borderId="237" xfId="0" applyFont="1" applyBorder="1" applyAlignment="1">
      <alignment horizontal="center" vertical="center" wrapText="1"/>
    </xf>
    <xf numFmtId="0" fontId="2" fillId="24" borderId="230" xfId="0" applyFont="1" applyFill="1" applyBorder="1" applyAlignment="1">
      <alignment horizontal="center" vertical="center" wrapText="1"/>
    </xf>
    <xf numFmtId="0" fontId="2" fillId="24" borderId="114" xfId="0" applyFont="1" applyFill="1" applyBorder="1" applyAlignment="1">
      <alignment horizontal="center" vertical="center" wrapText="1"/>
    </xf>
    <xf numFmtId="0" fontId="2" fillId="0" borderId="252" xfId="0" applyFont="1" applyBorder="1" applyAlignment="1">
      <alignment horizontal="center" vertical="center" wrapText="1"/>
    </xf>
    <xf numFmtId="0" fontId="2" fillId="0" borderId="114" xfId="0" applyFont="1" applyBorder="1" applyAlignment="1">
      <alignment horizontal="center" vertical="center" wrapText="1"/>
    </xf>
    <xf numFmtId="0" fontId="129" fillId="28" borderId="228" xfId="0" applyFont="1" applyFill="1" applyBorder="1" applyAlignment="1" applyProtection="1">
      <alignment horizontal="center" vertical="center" wrapText="1"/>
      <protection locked="0"/>
    </xf>
    <xf numFmtId="0" fontId="129" fillId="28" borderId="229" xfId="0" applyFont="1" applyFill="1" applyBorder="1" applyAlignment="1" applyProtection="1">
      <alignment horizontal="center" vertical="center" wrapText="1"/>
      <protection locked="0"/>
    </xf>
    <xf numFmtId="0" fontId="2" fillId="24" borderId="251" xfId="0" applyFont="1" applyFill="1" applyBorder="1" applyAlignment="1">
      <alignment horizontal="center" vertical="center" wrapText="1"/>
    </xf>
    <xf numFmtId="0" fontId="2" fillId="24" borderId="252" xfId="0" applyFont="1" applyFill="1" applyBorder="1" applyAlignment="1">
      <alignment horizontal="center" vertical="center" wrapText="1"/>
    </xf>
    <xf numFmtId="0" fontId="0" fillId="31" borderId="103" xfId="0" applyFill="1" applyBorder="1" applyAlignment="1">
      <alignment horizontal="center"/>
    </xf>
    <xf numFmtId="0" fontId="0" fillId="31" borderId="104" xfId="0" applyFill="1" applyBorder="1" applyAlignment="1">
      <alignment horizontal="center"/>
    </xf>
    <xf numFmtId="0" fontId="0" fillId="31" borderId="105" xfId="0" applyFill="1" applyBorder="1" applyAlignment="1">
      <alignment horizontal="center"/>
    </xf>
    <xf numFmtId="49" fontId="129" fillId="22" borderId="43" xfId="0" applyNumberFormat="1" applyFont="1" applyFill="1" applyBorder="1" applyAlignment="1" applyProtection="1">
      <alignment horizontal="center" vertical="center" wrapText="1"/>
      <protection locked="0"/>
    </xf>
    <xf numFmtId="49" fontId="129" fillId="28" borderId="43" xfId="0" applyNumberFormat="1" applyFont="1" applyFill="1" applyBorder="1" applyAlignment="1" applyProtection="1">
      <alignment horizontal="center" vertical="center" wrapText="1"/>
      <protection locked="0"/>
    </xf>
    <xf numFmtId="0" fontId="129" fillId="0" borderId="102" xfId="0" applyFont="1" applyBorder="1" applyAlignment="1">
      <alignment horizontal="center" vertical="center" wrapText="1"/>
    </xf>
    <xf numFmtId="0" fontId="129" fillId="24" borderId="102" xfId="0" applyFont="1" applyFill="1" applyBorder="1" applyAlignment="1">
      <alignment horizontal="center" vertical="center" wrapText="1"/>
    </xf>
    <xf numFmtId="0" fontId="129" fillId="24" borderId="43" xfId="0" applyFont="1" applyFill="1" applyBorder="1" applyAlignment="1">
      <alignment horizontal="center" vertical="center" wrapText="1"/>
    </xf>
    <xf numFmtId="0" fontId="129" fillId="0" borderId="107" xfId="0" applyFont="1" applyBorder="1" applyAlignment="1">
      <alignment horizontal="center" vertical="center" wrapText="1"/>
    </xf>
    <xf numFmtId="0" fontId="129" fillId="0" borderId="43" xfId="0" applyFont="1" applyBorder="1" applyAlignment="1">
      <alignment horizontal="center" vertical="center" wrapText="1"/>
    </xf>
    <xf numFmtId="0" fontId="129" fillId="0" borderId="108" xfId="0" applyFont="1" applyBorder="1" applyAlignment="1">
      <alignment horizontal="center" vertical="center" wrapText="1"/>
    </xf>
    <xf numFmtId="9" fontId="33" fillId="0" borderId="99" xfId="61" applyFont="1" applyFill="1" applyBorder="1" applyAlignment="1" applyProtection="1">
      <alignment horizontal="center" vertical="center"/>
    </xf>
    <xf numFmtId="9" fontId="33" fillId="0" borderId="100" xfId="61" applyFont="1" applyFill="1" applyBorder="1" applyAlignment="1" applyProtection="1">
      <alignment horizontal="center" vertical="center"/>
    </xf>
    <xf numFmtId="9" fontId="33" fillId="0" borderId="101" xfId="61" applyFont="1" applyFill="1" applyBorder="1" applyAlignment="1" applyProtection="1">
      <alignment horizontal="center" vertical="center"/>
    </xf>
    <xf numFmtId="0" fontId="121" fillId="0" borderId="248" xfId="0" applyFont="1" applyBorder="1" applyAlignment="1">
      <alignment horizontal="center" vertical="center" wrapText="1"/>
    </xf>
    <xf numFmtId="0" fontId="121" fillId="0" borderId="249" xfId="0" applyFont="1" applyBorder="1" applyAlignment="1">
      <alignment horizontal="center" vertical="center" wrapText="1"/>
    </xf>
    <xf numFmtId="0" fontId="133" fillId="41" borderId="244" xfId="0" applyFont="1" applyFill="1" applyBorder="1" applyAlignment="1" applyProtection="1">
      <alignment horizontal="center" vertical="center"/>
      <protection locked="0"/>
    </xf>
    <xf numFmtId="0" fontId="133" fillId="41" borderId="53" xfId="0" applyFont="1" applyFill="1" applyBorder="1" applyAlignment="1" applyProtection="1">
      <alignment horizontal="center" vertical="center"/>
      <protection locked="0"/>
    </xf>
    <xf numFmtId="0" fontId="133" fillId="41" borderId="96" xfId="0" applyFont="1" applyFill="1" applyBorder="1" applyAlignment="1">
      <alignment horizontal="center" vertical="center"/>
    </xf>
    <xf numFmtId="0" fontId="133" fillId="41" borderId="115" xfId="0" applyFont="1" applyFill="1" applyBorder="1" applyAlignment="1">
      <alignment horizontal="center" vertical="center"/>
    </xf>
    <xf numFmtId="49" fontId="129" fillId="38" borderId="228" xfId="0" applyNumberFormat="1" applyFont="1" applyFill="1" applyBorder="1" applyAlignment="1" applyProtection="1">
      <alignment horizontal="left" vertical="center" wrapText="1"/>
      <protection locked="0"/>
    </xf>
    <xf numFmtId="49" fontId="129" fillId="38" borderId="229" xfId="0" applyNumberFormat="1" applyFont="1" applyFill="1" applyBorder="1" applyAlignment="1" applyProtection="1">
      <alignment horizontal="left" vertical="center" wrapText="1"/>
      <protection locked="0"/>
    </xf>
    <xf numFmtId="0" fontId="129" fillId="22" borderId="106" xfId="0" applyFont="1" applyFill="1" applyBorder="1" applyAlignment="1" applyProtection="1">
      <alignment horizontal="center" vertical="center" wrapText="1"/>
      <protection locked="0"/>
    </xf>
    <xf numFmtId="0" fontId="62" fillId="0" borderId="41" xfId="0" applyFont="1" applyBorder="1" applyAlignment="1" applyProtection="1">
      <alignment horizontal="justify" vertical="top" wrapText="1"/>
      <protection locked="0"/>
    </xf>
    <xf numFmtId="0" fontId="0" fillId="0" borderId="42" xfId="0" applyBorder="1" applyAlignment="1">
      <alignment horizontal="justify" vertical="top" wrapText="1"/>
    </xf>
    <xf numFmtId="0" fontId="0" fillId="0" borderId="43" xfId="0" applyBorder="1" applyAlignment="1">
      <alignment horizontal="justify" vertical="top" wrapText="1"/>
    </xf>
    <xf numFmtId="0" fontId="62" fillId="0" borderId="41" xfId="0" applyFont="1" applyBorder="1" applyAlignment="1" applyProtection="1">
      <alignment horizontal="left" vertical="top" wrapText="1"/>
      <protection locked="0"/>
    </xf>
    <xf numFmtId="0" fontId="0" fillId="0" borderId="42" xfId="0" applyBorder="1" applyAlignment="1">
      <alignment horizontal="left" vertical="top" wrapText="1"/>
    </xf>
    <xf numFmtId="0" fontId="0" fillId="0" borderId="43" xfId="0" applyBorder="1" applyAlignment="1">
      <alignment horizontal="left" vertical="top" wrapText="1"/>
    </xf>
    <xf numFmtId="0" fontId="114" fillId="35" borderId="10" xfId="0" applyFont="1" applyFill="1" applyBorder="1" applyAlignment="1">
      <alignment vertical="top" wrapText="1"/>
    </xf>
    <xf numFmtId="0" fontId="176" fillId="0" borderId="41" xfId="0" applyFont="1" applyBorder="1" applyAlignment="1" applyProtection="1">
      <alignment horizontal="justify" vertical="top" wrapText="1"/>
      <protection locked="0"/>
    </xf>
    <xf numFmtId="0" fontId="177" fillId="0" borderId="42" xfId="0" applyFont="1" applyBorder="1" applyAlignment="1" applyProtection="1">
      <alignment horizontal="justify" vertical="top" wrapText="1"/>
      <protection locked="0"/>
    </xf>
    <xf numFmtId="0" fontId="177" fillId="0" borderId="43" xfId="0" applyFont="1" applyBorder="1" applyAlignment="1" applyProtection="1">
      <alignment horizontal="justify" vertical="top" wrapText="1"/>
      <protection locked="0"/>
    </xf>
    <xf numFmtId="0" fontId="62" fillId="0" borderId="42" xfId="0" applyFont="1" applyBorder="1" applyAlignment="1" applyProtection="1">
      <alignment horizontal="left" vertical="top" wrapText="1"/>
      <protection locked="0"/>
    </xf>
    <xf numFmtId="0" fontId="62" fillId="0" borderId="43" xfId="0" applyFont="1" applyBorder="1" applyAlignment="1" applyProtection="1">
      <alignment horizontal="left" vertical="top" wrapText="1"/>
      <protection locked="0"/>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24" fillId="22" borderId="41" xfId="0" applyFont="1" applyFill="1" applyBorder="1" applyAlignment="1">
      <alignment horizontal="center" vertical="top"/>
    </xf>
    <xf numFmtId="0" fontId="24" fillId="22" borderId="42" xfId="0" applyFont="1" applyFill="1" applyBorder="1" applyAlignment="1">
      <alignment horizontal="center" vertical="top"/>
    </xf>
    <xf numFmtId="0" fontId="24" fillId="22" borderId="43" xfId="0" applyFont="1" applyFill="1" applyBorder="1" applyAlignment="1">
      <alignment horizontal="center" vertical="top"/>
    </xf>
    <xf numFmtId="0" fontId="24" fillId="22" borderId="41" xfId="0" applyFont="1" applyFill="1" applyBorder="1" applyAlignment="1">
      <alignment horizontal="center" vertical="top" wrapText="1"/>
    </xf>
    <xf numFmtId="0" fontId="24" fillId="22" borderId="42" xfId="0" applyFont="1" applyFill="1" applyBorder="1" applyAlignment="1">
      <alignment horizontal="center" vertical="top" wrapText="1"/>
    </xf>
    <xf numFmtId="0" fontId="24" fillId="22" borderId="43" xfId="0" applyFont="1" applyFill="1" applyBorder="1" applyAlignment="1">
      <alignment horizontal="center" vertical="top" wrapText="1"/>
    </xf>
    <xf numFmtId="0" fontId="92" fillId="0" borderId="41" xfId="0" applyFont="1" applyBorder="1" applyAlignment="1" applyProtection="1">
      <alignment vertical="top" wrapText="1"/>
      <protection locked="0"/>
    </xf>
    <xf numFmtId="0" fontId="0" fillId="0" borderId="42" xfId="0" applyBorder="1" applyAlignment="1">
      <alignment vertical="top" wrapText="1"/>
    </xf>
    <xf numFmtId="0" fontId="0" fillId="0" borderId="43" xfId="0" applyBorder="1" applyAlignment="1">
      <alignment vertical="top" wrapText="1"/>
    </xf>
    <xf numFmtId="0" fontId="24" fillId="0" borderId="41" xfId="0" applyFont="1" applyBorder="1" applyAlignment="1">
      <alignment horizontal="center" vertical="top" wrapText="1"/>
    </xf>
    <xf numFmtId="0" fontId="24" fillId="0" borderId="42" xfId="0" applyFont="1" applyBorder="1" applyAlignment="1">
      <alignment horizontal="center" vertical="top" wrapText="1"/>
    </xf>
    <xf numFmtId="0" fontId="24" fillId="0" borderId="43" xfId="0" applyFont="1" applyBorder="1" applyAlignment="1">
      <alignment horizontal="center" vertical="top" wrapText="1"/>
    </xf>
    <xf numFmtId="0" fontId="92" fillId="0" borderId="42" xfId="0" applyFont="1" applyBorder="1" applyAlignment="1" applyProtection="1">
      <alignment vertical="top" wrapText="1"/>
      <protection locked="0"/>
    </xf>
    <xf numFmtId="0" fontId="92" fillId="0" borderId="43" xfId="0" applyFont="1" applyBorder="1" applyAlignment="1" applyProtection="1">
      <alignment vertical="top" wrapText="1"/>
      <protection locked="0"/>
    </xf>
    <xf numFmtId="0" fontId="87" fillId="0" borderId="42" xfId="0" applyFont="1" applyBorder="1" applyAlignment="1" applyProtection="1">
      <alignment horizontal="justify" vertical="top" wrapText="1"/>
      <protection locked="0"/>
    </xf>
    <xf numFmtId="0" fontId="87" fillId="0" borderId="43" xfId="0" applyFont="1" applyBorder="1" applyAlignment="1" applyProtection="1">
      <alignment horizontal="justify" vertical="top" wrapText="1"/>
      <protection locked="0"/>
    </xf>
    <xf numFmtId="0" fontId="175" fillId="35" borderId="41" xfId="0" applyFont="1" applyFill="1" applyBorder="1" applyAlignment="1">
      <alignment vertical="top" wrapText="1"/>
    </xf>
    <xf numFmtId="0" fontId="175" fillId="35" borderId="42" xfId="0" applyFont="1" applyFill="1" applyBorder="1" applyAlignment="1">
      <alignment vertical="top" wrapText="1"/>
    </xf>
    <xf numFmtId="0" fontId="175" fillId="35" borderId="43" xfId="0" applyFont="1" applyFill="1" applyBorder="1" applyAlignment="1">
      <alignment vertical="top" wrapText="1"/>
    </xf>
    <xf numFmtId="0" fontId="62" fillId="0" borderId="42" xfId="0" applyFont="1" applyBorder="1" applyAlignment="1" applyProtection="1">
      <alignment horizontal="justify" vertical="top" wrapText="1"/>
      <protection locked="0"/>
    </xf>
    <xf numFmtId="0" fontId="62" fillId="0" borderId="43" xfId="0" applyFont="1" applyBorder="1" applyAlignment="1" applyProtection="1">
      <alignment horizontal="justify" vertical="top" wrapText="1"/>
      <protection locked="0"/>
    </xf>
    <xf numFmtId="0" fontId="114" fillId="35" borderId="41" xfId="0" applyFont="1" applyFill="1" applyBorder="1" applyAlignment="1">
      <alignment horizontal="left" vertical="top" wrapText="1"/>
    </xf>
    <xf numFmtId="0" fontId="114" fillId="35" borderId="42" xfId="0" applyFont="1" applyFill="1" applyBorder="1" applyAlignment="1">
      <alignment horizontal="left" vertical="top" wrapText="1"/>
    </xf>
    <xf numFmtId="0" fontId="114" fillId="35" borderId="43" xfId="0" applyFont="1" applyFill="1" applyBorder="1" applyAlignment="1">
      <alignment horizontal="left" vertical="top" wrapText="1"/>
    </xf>
    <xf numFmtId="0" fontId="175" fillId="35" borderId="41" xfId="0" applyFont="1" applyFill="1" applyBorder="1" applyAlignment="1">
      <alignment horizontal="left" vertical="top" wrapText="1"/>
    </xf>
    <xf numFmtId="0" fontId="175" fillId="35" borderId="42" xfId="0" applyFont="1" applyFill="1" applyBorder="1" applyAlignment="1">
      <alignment horizontal="left" vertical="top" wrapText="1"/>
    </xf>
    <xf numFmtId="0" fontId="175" fillId="35" borderId="43" xfId="0" applyFont="1" applyFill="1" applyBorder="1" applyAlignment="1">
      <alignment horizontal="left" vertical="top" wrapText="1"/>
    </xf>
    <xf numFmtId="0" fontId="174" fillId="35" borderId="41" xfId="0" applyFont="1" applyFill="1" applyBorder="1" applyAlignment="1" applyProtection="1">
      <alignment horizontal="left" vertical="top" wrapText="1"/>
      <protection locked="0"/>
    </xf>
    <xf numFmtId="0" fontId="174" fillId="35" borderId="42" xfId="0" applyFont="1" applyFill="1" applyBorder="1" applyAlignment="1" applyProtection="1">
      <alignment horizontal="left" vertical="top" wrapText="1"/>
      <protection locked="0"/>
    </xf>
    <xf numFmtId="0" fontId="174" fillId="35" borderId="43" xfId="0" applyFont="1" applyFill="1" applyBorder="1" applyAlignment="1" applyProtection="1">
      <alignment horizontal="left" vertical="top" wrapText="1"/>
      <protection locked="0"/>
    </xf>
    <xf numFmtId="0" fontId="87" fillId="0" borderId="41" xfId="0" applyFont="1" applyBorder="1" applyAlignment="1" applyProtection="1">
      <alignment horizontal="left" vertical="top" wrapText="1"/>
      <protection locked="0"/>
    </xf>
    <xf numFmtId="0" fontId="87" fillId="0" borderId="42" xfId="0" applyFont="1" applyBorder="1" applyAlignment="1" applyProtection="1">
      <alignment horizontal="left" vertical="top" wrapText="1"/>
      <protection locked="0"/>
    </xf>
    <xf numFmtId="0" fontId="87" fillId="0" borderId="43" xfId="0" applyFont="1" applyBorder="1" applyAlignment="1" applyProtection="1">
      <alignment horizontal="left" vertical="top" wrapText="1"/>
      <protection locked="0"/>
    </xf>
    <xf numFmtId="0" fontId="174" fillId="0" borderId="41" xfId="0" applyFont="1" applyBorder="1" applyAlignment="1" applyProtection="1">
      <alignment horizontal="left" vertical="top" wrapText="1"/>
      <protection locked="0"/>
    </xf>
    <xf numFmtId="0" fontId="174" fillId="0" borderId="42" xfId="0" applyFont="1" applyBorder="1" applyAlignment="1" applyProtection="1">
      <alignment horizontal="left" vertical="top" wrapText="1"/>
      <protection locked="0"/>
    </xf>
    <xf numFmtId="0" fontId="174" fillId="0" borderId="43" xfId="0" applyFont="1" applyBorder="1" applyAlignment="1" applyProtection="1">
      <alignment horizontal="left" vertical="top" wrapText="1"/>
      <protection locked="0"/>
    </xf>
    <xf numFmtId="0" fontId="62" fillId="0" borderId="41" xfId="0" applyFont="1" applyBorder="1" applyAlignment="1">
      <alignment horizontal="left" vertical="top" wrapText="1"/>
    </xf>
    <xf numFmtId="0" fontId="62" fillId="0" borderId="42" xfId="0" applyFont="1" applyBorder="1" applyAlignment="1">
      <alignment horizontal="left" vertical="top" wrapText="1"/>
    </xf>
    <xf numFmtId="0" fontId="62" fillId="0" borderId="43" xfId="0" applyFont="1" applyBorder="1" applyAlignment="1">
      <alignment horizontal="left" vertical="top" wrapText="1"/>
    </xf>
    <xf numFmtId="43" fontId="86" fillId="0" borderId="41" xfId="0" applyNumberFormat="1" applyFont="1" applyBorder="1" applyAlignment="1">
      <alignment vertical="top" wrapText="1"/>
    </xf>
    <xf numFmtId="0" fontId="86" fillId="0" borderId="42" xfId="0" applyFont="1" applyBorder="1" applyAlignment="1">
      <alignment vertical="top" wrapText="1"/>
    </xf>
    <xf numFmtId="0" fontId="86" fillId="0" borderId="43" xfId="0" applyFont="1" applyBorder="1" applyAlignment="1">
      <alignment vertical="top" wrapText="1"/>
    </xf>
    <xf numFmtId="0" fontId="87" fillId="0" borderId="41" xfId="0" applyFont="1" applyBorder="1" applyAlignment="1">
      <alignment horizontal="left" vertical="top" wrapText="1"/>
    </xf>
    <xf numFmtId="0" fontId="87" fillId="0" borderId="42" xfId="0" applyFont="1" applyBorder="1" applyAlignment="1">
      <alignment horizontal="left" vertical="top" wrapText="1"/>
    </xf>
    <xf numFmtId="0" fontId="87" fillId="0" borderId="43" xfId="0" applyFont="1" applyBorder="1" applyAlignment="1">
      <alignment horizontal="left" vertical="top" wrapText="1"/>
    </xf>
    <xf numFmtId="0" fontId="106" fillId="0" borderId="41" xfId="0" applyFont="1" applyBorder="1" applyAlignment="1">
      <alignment horizontal="left" vertical="top" wrapText="1"/>
    </xf>
    <xf numFmtId="0" fontId="106" fillId="0" borderId="42" xfId="0" applyFont="1" applyBorder="1" applyAlignment="1">
      <alignment horizontal="left" vertical="top" wrapText="1"/>
    </xf>
    <xf numFmtId="0" fontId="106" fillId="0" borderId="43" xfId="0" applyFont="1" applyBorder="1" applyAlignment="1">
      <alignment horizontal="left" vertical="top" wrapText="1"/>
    </xf>
    <xf numFmtId="0" fontId="87" fillId="0" borderId="88" xfId="0" applyFont="1" applyBorder="1" applyAlignment="1">
      <alignment horizontal="justify" vertical="top" wrapText="1"/>
    </xf>
    <xf numFmtId="0" fontId="87" fillId="0" borderId="97" xfId="0" applyFont="1" applyBorder="1" applyAlignment="1">
      <alignment horizontal="justify" vertical="top" wrapText="1"/>
    </xf>
    <xf numFmtId="0" fontId="87" fillId="0" borderId="98" xfId="0" applyFont="1" applyBorder="1" applyAlignment="1">
      <alignment horizontal="justify" vertical="top" wrapText="1"/>
    </xf>
    <xf numFmtId="43" fontId="86" fillId="0" borderId="41" xfId="0" applyNumberFormat="1" applyFont="1" applyBorder="1" applyAlignment="1">
      <alignment horizontal="left" vertical="top" wrapText="1"/>
    </xf>
    <xf numFmtId="0" fontId="86" fillId="0" borderId="42" xfId="0" applyFont="1" applyBorder="1" applyAlignment="1">
      <alignment horizontal="left" vertical="top" wrapText="1"/>
    </xf>
    <xf numFmtId="0" fontId="86" fillId="0" borderId="43" xfId="0" applyFont="1" applyBorder="1" applyAlignment="1">
      <alignment horizontal="left" vertical="top" wrapText="1"/>
    </xf>
    <xf numFmtId="43" fontId="86" fillId="0" borderId="95" xfId="0" applyNumberFormat="1" applyFont="1" applyBorder="1" applyAlignment="1">
      <alignment vertical="top" wrapText="1"/>
    </xf>
    <xf numFmtId="0" fontId="86" fillId="0" borderId="239" xfId="0" applyFont="1" applyBorder="1" applyAlignment="1">
      <alignment vertical="top" wrapText="1"/>
    </xf>
    <xf numFmtId="0" fontId="86" fillId="0" borderId="96" xfId="0" applyFont="1" applyBorder="1" applyAlignment="1">
      <alignment vertical="top" wrapText="1"/>
    </xf>
    <xf numFmtId="0" fontId="86" fillId="0" borderId="88" xfId="0" applyFont="1" applyBorder="1" applyAlignment="1">
      <alignment vertical="top" wrapText="1"/>
    </xf>
    <xf numFmtId="0" fontId="86" fillId="0" borderId="97" xfId="0" applyFont="1" applyBorder="1" applyAlignment="1">
      <alignment vertical="top" wrapText="1"/>
    </xf>
    <xf numFmtId="0" fontId="86" fillId="0" borderId="98" xfId="0" applyFont="1" applyBorder="1" applyAlignment="1">
      <alignment vertical="top" wrapText="1"/>
    </xf>
    <xf numFmtId="0" fontId="87" fillId="0" borderId="41" xfId="0" applyFont="1" applyBorder="1" applyAlignment="1" applyProtection="1">
      <alignment vertical="top" wrapText="1"/>
      <protection locked="0"/>
    </xf>
    <xf numFmtId="0" fontId="87" fillId="0" borderId="42" xfId="0" applyFont="1" applyBorder="1" applyAlignment="1" applyProtection="1">
      <alignment vertical="top" wrapText="1"/>
      <protection locked="0"/>
    </xf>
    <xf numFmtId="0" fontId="87" fillId="0" borderId="43" xfId="0" applyFont="1" applyBorder="1" applyAlignment="1" applyProtection="1">
      <alignment vertical="top" wrapText="1"/>
      <protection locked="0"/>
    </xf>
    <xf numFmtId="0" fontId="62" fillId="0" borderId="95" xfId="0" applyFont="1" applyBorder="1" applyAlignment="1">
      <alignment horizontal="justify" vertical="top" wrapText="1"/>
    </xf>
    <xf numFmtId="0" fontId="62" fillId="0" borderId="239" xfId="0" applyFont="1" applyBorder="1" applyAlignment="1">
      <alignment horizontal="justify" vertical="top" wrapText="1"/>
    </xf>
    <xf numFmtId="0" fontId="62" fillId="0" borderId="96" xfId="0" applyFont="1" applyBorder="1" applyAlignment="1">
      <alignment horizontal="justify" vertical="top" wrapText="1"/>
    </xf>
    <xf numFmtId="0" fontId="84" fillId="0" borderId="0" xfId="0" applyFont="1" applyAlignment="1">
      <alignment horizontal="center"/>
    </xf>
    <xf numFmtId="0" fontId="14" fillId="22" borderId="41" xfId="0" applyFont="1" applyFill="1" applyBorder="1" applyAlignment="1">
      <alignment horizontal="center" vertical="center" wrapText="1"/>
    </xf>
    <xf numFmtId="0" fontId="14" fillId="22" borderId="42" xfId="0" applyFont="1" applyFill="1" applyBorder="1" applyAlignment="1">
      <alignment horizontal="center" vertical="center"/>
    </xf>
    <xf numFmtId="0" fontId="14" fillId="22" borderId="43" xfId="0" applyFont="1" applyFill="1" applyBorder="1" applyAlignment="1">
      <alignment horizontal="center" vertical="center"/>
    </xf>
    <xf numFmtId="0" fontId="24" fillId="22" borderId="41" xfId="0" applyFont="1" applyFill="1" applyBorder="1" applyAlignment="1">
      <alignment horizontal="center" vertical="center"/>
    </xf>
    <xf numFmtId="0" fontId="24" fillId="22" borderId="42" xfId="0" applyFont="1" applyFill="1" applyBorder="1" applyAlignment="1">
      <alignment horizontal="center" vertical="center"/>
    </xf>
    <xf numFmtId="0" fontId="24" fillId="22" borderId="43" xfId="0" applyFont="1" applyFill="1" applyBorder="1" applyAlignment="1">
      <alignment horizontal="center" vertical="center"/>
    </xf>
    <xf numFmtId="0" fontId="85" fillId="25" borderId="41" xfId="0" applyFont="1" applyFill="1" applyBorder="1" applyAlignment="1">
      <alignment horizontal="center" vertical="top"/>
    </xf>
    <xf numFmtId="0" fontId="85" fillId="25" borderId="42" xfId="0" applyFont="1" applyFill="1" applyBorder="1" applyAlignment="1">
      <alignment horizontal="center" vertical="top"/>
    </xf>
    <xf numFmtId="0" fontId="85" fillId="25" borderId="43" xfId="0" applyFont="1" applyFill="1" applyBorder="1" applyAlignment="1">
      <alignment horizontal="center" vertical="top"/>
    </xf>
    <xf numFmtId="0" fontId="84" fillId="0" borderId="0" xfId="0" applyFont="1" applyAlignment="1">
      <alignment horizontal="center" vertical="top"/>
    </xf>
    <xf numFmtId="0" fontId="62" fillId="0" borderId="41" xfId="0" applyFont="1" applyBorder="1" applyAlignment="1">
      <alignment vertical="top" wrapText="1"/>
    </xf>
    <xf numFmtId="0" fontId="62" fillId="0" borderId="42" xfId="0" applyFont="1" applyBorder="1" applyAlignment="1">
      <alignment vertical="top" wrapText="1"/>
    </xf>
    <xf numFmtId="0" fontId="62" fillId="0" borderId="43" xfId="0" applyFont="1" applyBorder="1" applyAlignment="1">
      <alignment vertical="top" wrapText="1"/>
    </xf>
    <xf numFmtId="0" fontId="0" fillId="0" borderId="239" xfId="0" applyBorder="1" applyAlignment="1">
      <alignment horizontal="center" vertical="top" wrapText="1"/>
    </xf>
    <xf numFmtId="0" fontId="0" fillId="0" borderId="0" xfId="0" applyAlignment="1">
      <alignment horizontal="center" vertical="top" wrapText="1"/>
    </xf>
    <xf numFmtId="43" fontId="17" fillId="30" borderId="0" xfId="46" applyFont="1" applyFill="1" applyAlignment="1">
      <alignment horizontal="center" vertical="center"/>
    </xf>
    <xf numFmtId="0" fontId="85" fillId="26" borderId="41" xfId="0" applyFont="1" applyFill="1" applyBorder="1" applyAlignment="1">
      <alignment horizontal="center"/>
    </xf>
    <xf numFmtId="0" fontId="85" fillId="26" borderId="42" xfId="0" applyFont="1" applyFill="1" applyBorder="1" applyAlignment="1">
      <alignment horizontal="center"/>
    </xf>
    <xf numFmtId="0" fontId="85" fillId="26" borderId="43" xfId="0" applyFont="1" applyFill="1" applyBorder="1" applyAlignment="1">
      <alignment horizontal="center"/>
    </xf>
    <xf numFmtId="9" fontId="87" fillId="0" borderId="41" xfId="61" applyFont="1" applyBorder="1" applyAlignment="1">
      <alignment horizontal="left" vertical="top" wrapText="1"/>
    </xf>
    <xf numFmtId="9" fontId="87" fillId="0" borderId="42" xfId="61" applyFont="1" applyBorder="1" applyAlignment="1">
      <alignment horizontal="left" vertical="top" wrapText="1"/>
    </xf>
    <xf numFmtId="9" fontId="87" fillId="0" borderId="43" xfId="61" applyFont="1" applyBorder="1" applyAlignment="1">
      <alignment horizontal="left" vertical="top" wrapText="1"/>
    </xf>
    <xf numFmtId="0" fontId="86" fillId="0" borderId="42" xfId="0" applyFont="1" applyBorder="1" applyAlignment="1">
      <alignment horizontal="left" vertical="top"/>
    </xf>
    <xf numFmtId="0" fontId="86" fillId="0" borderId="43" xfId="0" applyFont="1" applyBorder="1" applyAlignment="1">
      <alignment horizontal="left" vertical="top"/>
    </xf>
    <xf numFmtId="0" fontId="86" fillId="0" borderId="42" xfId="0" applyFont="1" applyBorder="1" applyAlignment="1">
      <alignment vertical="top"/>
    </xf>
    <xf numFmtId="0" fontId="86" fillId="0" borderId="43" xfId="0" applyFont="1" applyBorder="1" applyAlignment="1">
      <alignment vertical="top"/>
    </xf>
    <xf numFmtId="0" fontId="0" fillId="0" borderId="0" xfId="0" applyAlignment="1">
      <alignment horizontal="center" vertical="top"/>
    </xf>
    <xf numFmtId="0" fontId="0" fillId="0" borderId="239" xfId="0" applyBorder="1" applyAlignment="1">
      <alignment horizontal="center" vertical="top"/>
    </xf>
    <xf numFmtId="0" fontId="62" fillId="0" borderId="95" xfId="0" applyFont="1" applyBorder="1" applyAlignment="1">
      <alignment horizontal="left" vertical="top" wrapText="1"/>
    </xf>
    <xf numFmtId="0" fontId="62" fillId="0" borderId="239" xfId="0" applyFont="1" applyBorder="1" applyAlignment="1">
      <alignment horizontal="left" vertical="top" wrapText="1"/>
    </xf>
    <xf numFmtId="0" fontId="62" fillId="0" borderId="96" xfId="0" applyFont="1" applyBorder="1" applyAlignment="1">
      <alignment horizontal="left" vertical="top" wrapText="1"/>
    </xf>
    <xf numFmtId="0" fontId="62" fillId="0" borderId="88" xfId="0" applyFont="1" applyBorder="1" applyAlignment="1">
      <alignment horizontal="left" vertical="top" wrapText="1"/>
    </xf>
    <xf numFmtId="0" fontId="62" fillId="0" borderId="97" xfId="0" applyFont="1" applyBorder="1" applyAlignment="1">
      <alignment horizontal="left" vertical="top" wrapText="1"/>
    </xf>
    <xf numFmtId="0" fontId="62" fillId="0" borderId="98" xfId="0" applyFont="1" applyBorder="1" applyAlignment="1">
      <alignment horizontal="left" vertical="top" wrapText="1"/>
    </xf>
    <xf numFmtId="0" fontId="106" fillId="0" borderId="41" xfId="0" applyFont="1" applyBorder="1" applyAlignment="1">
      <alignment horizontal="justify" vertical="top" wrapText="1"/>
    </xf>
    <xf numFmtId="0" fontId="106" fillId="0" borderId="42" xfId="0" applyFont="1" applyBorder="1" applyAlignment="1">
      <alignment horizontal="justify" vertical="top" wrapText="1"/>
    </xf>
    <xf numFmtId="0" fontId="106" fillId="0" borderId="43" xfId="0" applyFont="1" applyBorder="1" applyAlignment="1">
      <alignment horizontal="justify" vertical="top" wrapText="1"/>
    </xf>
    <xf numFmtId="0" fontId="104" fillId="0" borderId="42" xfId="0" applyFont="1" applyBorder="1" applyAlignment="1">
      <alignment horizontal="left" vertical="top" wrapText="1"/>
    </xf>
    <xf numFmtId="0" fontId="104" fillId="0" borderId="43" xfId="0" applyFont="1" applyBorder="1" applyAlignment="1">
      <alignment horizontal="left" vertical="top" wrapText="1"/>
    </xf>
    <xf numFmtId="0" fontId="0" fillId="0" borderId="42" xfId="0" applyBorder="1" applyAlignment="1">
      <alignment horizontal="left" vertical="top"/>
    </xf>
    <xf numFmtId="0" fontId="0" fillId="0" borderId="43" xfId="0" applyBorder="1" applyAlignment="1">
      <alignment horizontal="left" vertical="top"/>
    </xf>
    <xf numFmtId="0" fontId="14" fillId="22" borderId="41" xfId="0" applyFont="1" applyFill="1" applyBorder="1" applyAlignment="1">
      <alignment horizontal="center" vertical="top" wrapText="1"/>
    </xf>
    <xf numFmtId="0" fontId="14" fillId="22" borderId="42" xfId="0" applyFont="1" applyFill="1" applyBorder="1" applyAlignment="1">
      <alignment horizontal="center" vertical="top"/>
    </xf>
    <xf numFmtId="0" fontId="14" fillId="22" borderId="43" xfId="0" applyFont="1" applyFill="1" applyBorder="1" applyAlignment="1">
      <alignment horizontal="center" vertical="top"/>
    </xf>
    <xf numFmtId="0" fontId="174" fillId="0" borderId="41" xfId="0" applyFont="1" applyBorder="1" applyAlignment="1" applyProtection="1">
      <alignment horizontal="center" vertical="top" wrapText="1"/>
      <protection locked="0"/>
    </xf>
    <xf numFmtId="0" fontId="174" fillId="0" borderId="42" xfId="0" applyFont="1" applyBorder="1" applyAlignment="1" applyProtection="1">
      <alignment horizontal="center" vertical="top" wrapText="1"/>
      <protection locked="0"/>
    </xf>
    <xf numFmtId="0" fontId="174" fillId="0" borderId="43" xfId="0" applyFont="1" applyBorder="1" applyAlignment="1" applyProtection="1">
      <alignment horizontal="center" vertical="top" wrapText="1"/>
      <protection locked="0"/>
    </xf>
    <xf numFmtId="0" fontId="62" fillId="0" borderId="255" xfId="0" applyFont="1" applyBorder="1" applyAlignment="1" applyProtection="1">
      <alignment horizontal="left" vertical="center" wrapText="1"/>
      <protection locked="0"/>
    </xf>
    <xf numFmtId="0" fontId="62" fillId="0" borderId="256" xfId="0" applyFont="1" applyBorder="1" applyAlignment="1" applyProtection="1">
      <alignment horizontal="left" vertical="center" wrapText="1"/>
      <protection locked="0"/>
    </xf>
    <xf numFmtId="0" fontId="62" fillId="0" borderId="257" xfId="0" applyFont="1" applyBorder="1" applyAlignment="1" applyProtection="1">
      <alignment horizontal="left" vertical="center" wrapText="1"/>
      <protection locked="0"/>
    </xf>
    <xf numFmtId="0" fontId="62" fillId="35" borderId="41" xfId="0" applyFont="1" applyFill="1" applyBorder="1" applyAlignment="1" applyProtection="1">
      <alignment horizontal="left" vertical="top" wrapText="1"/>
      <protection locked="0"/>
    </xf>
    <xf numFmtId="0" fontId="62" fillId="35" borderId="42" xfId="0" applyFont="1" applyFill="1" applyBorder="1" applyAlignment="1" applyProtection="1">
      <alignment horizontal="left" vertical="top" wrapText="1"/>
      <protection locked="0"/>
    </xf>
    <xf numFmtId="0" fontId="62" fillId="35" borderId="43" xfId="0" applyFont="1" applyFill="1" applyBorder="1" applyAlignment="1" applyProtection="1">
      <alignment horizontal="left" vertical="top" wrapText="1"/>
      <protection locked="0"/>
    </xf>
    <xf numFmtId="0" fontId="114" fillId="35" borderId="42" xfId="0" applyFont="1" applyFill="1" applyBorder="1" applyAlignment="1">
      <alignment vertical="top" wrapText="1"/>
    </xf>
    <xf numFmtId="0" fontId="114" fillId="35" borderId="43" xfId="0" applyFont="1" applyFill="1" applyBorder="1" applyAlignment="1">
      <alignment vertical="top" wrapText="1"/>
    </xf>
    <xf numFmtId="43" fontId="17" fillId="30" borderId="0" xfId="38" applyFont="1" applyFill="1" applyAlignment="1">
      <alignment horizontal="center" vertical="center"/>
    </xf>
    <xf numFmtId="43" fontId="24" fillId="25" borderId="38" xfId="56" applyFont="1" applyFill="1" applyBorder="1" applyAlignment="1" applyProtection="1">
      <alignment horizontal="center"/>
    </xf>
    <xf numFmtId="43" fontId="33" fillId="25" borderId="0" xfId="49" applyFont="1" applyFill="1" applyAlignment="1">
      <alignment horizontal="center" vertical="center" wrapText="1"/>
    </xf>
    <xf numFmtId="175" fontId="24" fillId="25" borderId="38" xfId="56" applyNumberFormat="1" applyFont="1" applyFill="1" applyBorder="1" applyAlignment="1" applyProtection="1">
      <alignment horizontal="center" vertical="center"/>
    </xf>
    <xf numFmtId="43" fontId="1" fillId="0" borderId="38" xfId="56" applyFont="1" applyBorder="1" applyAlignment="1" applyProtection="1">
      <alignment horizontal="right"/>
    </xf>
    <xf numFmtId="43" fontId="1" fillId="0" borderId="38" xfId="56" applyFont="1" applyFill="1" applyBorder="1" applyAlignment="1" applyProtection="1">
      <alignment horizontal="right" wrapText="1"/>
    </xf>
    <xf numFmtId="43" fontId="20" fillId="0" borderId="0" xfId="49" applyFont="1" applyAlignment="1">
      <alignment horizontal="right" vertical="center"/>
    </xf>
    <xf numFmtId="43" fontId="24" fillId="25" borderId="0" xfId="49" applyFont="1" applyFill="1" applyAlignment="1">
      <alignment horizontal="center" vertical="center" wrapText="1"/>
    </xf>
    <xf numFmtId="43" fontId="1" fillId="0" borderId="38" xfId="56" applyFont="1" applyFill="1" applyBorder="1" applyAlignment="1" applyProtection="1">
      <alignment horizontal="right" vertical="top" wrapText="1"/>
    </xf>
    <xf numFmtId="43" fontId="102" fillId="33" borderId="38" xfId="56" applyFont="1" applyFill="1" applyBorder="1" applyAlignment="1" applyProtection="1">
      <alignment horizontal="center" wrapText="1"/>
    </xf>
    <xf numFmtId="15" fontId="24" fillId="25" borderId="38" xfId="56" applyNumberFormat="1" applyFont="1" applyFill="1" applyBorder="1" applyAlignment="1" applyProtection="1">
      <alignment horizontal="center"/>
    </xf>
    <xf numFmtId="0" fontId="100" fillId="0" borderId="0" xfId="0" applyFont="1" applyAlignment="1">
      <alignment horizontal="center"/>
    </xf>
    <xf numFmtId="43" fontId="99" fillId="0" borderId="103" xfId="0" applyNumberFormat="1" applyFont="1" applyBorder="1" applyAlignment="1">
      <alignment horizontal="center" vertical="center" wrapText="1"/>
    </xf>
    <xf numFmtId="43" fontId="99" fillId="0" borderId="104" xfId="0" applyNumberFormat="1" applyFont="1" applyBorder="1" applyAlignment="1">
      <alignment horizontal="center" vertical="center" wrapText="1"/>
    </xf>
    <xf numFmtId="43" fontId="99" fillId="0" borderId="105" xfId="0" applyNumberFormat="1" applyFont="1" applyBorder="1" applyAlignment="1">
      <alignment horizontal="center" vertical="center" wrapText="1"/>
    </xf>
    <xf numFmtId="0" fontId="0" fillId="0" borderId="119" xfId="0" applyBorder="1" applyAlignment="1">
      <alignment horizontal="center"/>
    </xf>
    <xf numFmtId="0" fontId="0" fillId="0" borderId="56" xfId="0" applyBorder="1" applyAlignment="1">
      <alignment horizontal="center"/>
    </xf>
    <xf numFmtId="0" fontId="103" fillId="0" borderId="116" xfId="0" applyFont="1" applyBorder="1" applyAlignment="1">
      <alignment horizontal="left" wrapText="1"/>
    </xf>
    <xf numFmtId="0" fontId="103" fillId="0" borderId="73" xfId="0" applyFont="1" applyBorder="1" applyAlignment="1">
      <alignment horizontal="left" wrapText="1"/>
    </xf>
    <xf numFmtId="0" fontId="30" fillId="22" borderId="41" xfId="0" applyFont="1" applyFill="1" applyBorder="1" applyAlignment="1" applyProtection="1">
      <alignment horizontal="left" wrapText="1"/>
      <protection locked="0"/>
    </xf>
    <xf numFmtId="0" fontId="0" fillId="0" borderId="42" xfId="0" applyBorder="1" applyAlignment="1" applyProtection="1">
      <alignment horizontal="left" wrapText="1"/>
      <protection locked="0"/>
    </xf>
    <xf numFmtId="0" fontId="0" fillId="0" borderId="43" xfId="0" applyBorder="1" applyAlignment="1" applyProtection="1">
      <alignment horizontal="left" wrapText="1"/>
      <protection locked="0"/>
    </xf>
    <xf numFmtId="43" fontId="60" fillId="30" borderId="0" xfId="47" applyFont="1" applyFill="1" applyAlignment="1">
      <alignment horizontal="center" vertical="center"/>
    </xf>
    <xf numFmtId="43" fontId="14" fillId="0" borderId="0" xfId="0" applyNumberFormat="1" applyFont="1" applyAlignment="1">
      <alignment horizontal="center" wrapText="1"/>
    </xf>
    <xf numFmtId="43" fontId="28" fillId="0" borderId="0" xfId="0" applyNumberFormat="1" applyFont="1" applyAlignment="1">
      <alignment horizontal="right"/>
    </xf>
    <xf numFmtId="15" fontId="28" fillId="0" borderId="0" xfId="0" applyNumberFormat="1" applyFont="1" applyAlignment="1">
      <alignment horizontal="right"/>
    </xf>
    <xf numFmtId="43" fontId="14" fillId="0" borderId="0" xfId="0" applyNumberFormat="1" applyFont="1" applyAlignment="1">
      <alignment horizontal="center"/>
    </xf>
    <xf numFmtId="43" fontId="28" fillId="0" borderId="0" xfId="0" applyNumberFormat="1" applyFont="1" applyAlignment="1">
      <alignment horizontal="left"/>
    </xf>
    <xf numFmtId="43" fontId="15" fillId="33" borderId="0" xfId="56" applyFont="1" applyFill="1" applyBorder="1" applyAlignment="1" applyProtection="1">
      <alignment horizontal="center" wrapText="1"/>
    </xf>
    <xf numFmtId="0" fontId="34" fillId="22" borderId="41" xfId="0" applyFont="1" applyFill="1" applyBorder="1" applyAlignment="1" applyProtection="1">
      <alignment horizontal="left" wrapText="1"/>
      <protection locked="0"/>
    </xf>
    <xf numFmtId="0" fontId="34" fillId="22" borderId="42" xfId="0" applyFont="1" applyFill="1" applyBorder="1" applyAlignment="1" applyProtection="1">
      <alignment horizontal="left" wrapText="1"/>
      <protection locked="0"/>
    </xf>
    <xf numFmtId="0" fontId="34" fillId="22" borderId="43" xfId="0" applyFont="1" applyFill="1" applyBorder="1" applyAlignment="1" applyProtection="1">
      <alignment horizontal="left" wrapText="1"/>
      <protection locked="0"/>
    </xf>
    <xf numFmtId="0" fontId="103" fillId="0" borderId="117" xfId="0" applyFont="1" applyBorder="1" applyAlignment="1">
      <alignment horizontal="left" wrapText="1"/>
    </xf>
    <xf numFmtId="0" fontId="103" fillId="0" borderId="118" xfId="0" applyFont="1" applyBorder="1" applyAlignment="1">
      <alignment horizontal="left" wrapText="1"/>
    </xf>
    <xf numFmtId="0" fontId="28" fillId="22" borderId="264" xfId="0" applyFont="1" applyFill="1" applyBorder="1" applyAlignment="1" applyProtection="1">
      <alignment horizontal="left" vertical="top" wrapText="1"/>
      <protection locked="0"/>
    </xf>
    <xf numFmtId="0" fontId="28" fillId="0" borderId="215" xfId="0" applyFont="1" applyBorder="1" applyAlignment="1">
      <alignment horizontal="left" vertical="top" wrapText="1"/>
    </xf>
    <xf numFmtId="0" fontId="28" fillId="0" borderId="265" xfId="0" applyFont="1" applyBorder="1" applyAlignment="1">
      <alignment horizontal="left" vertical="top" wrapText="1"/>
    </xf>
    <xf numFmtId="9" fontId="180" fillId="35" borderId="10" xfId="61" applyFont="1" applyFill="1" applyBorder="1" applyAlignment="1" applyProtection="1">
      <alignment horizontal="left" vertical="top" wrapText="1"/>
      <protection locked="0"/>
    </xf>
    <xf numFmtId="43" fontId="100" fillId="0" borderId="0" xfId="0" applyNumberFormat="1" applyFont="1" applyAlignment="1">
      <alignment horizontal="center"/>
    </xf>
    <xf numFmtId="0" fontId="0" fillId="0" borderId="0" xfId="0" applyAlignment="1">
      <alignment horizontal="center"/>
    </xf>
    <xf numFmtId="0" fontId="28" fillId="0" borderId="216" xfId="0" applyFont="1" applyBorder="1" applyAlignment="1">
      <alignment horizontal="left" vertical="top" wrapText="1"/>
    </xf>
    <xf numFmtId="0" fontId="180" fillId="35" borderId="41" xfId="0" applyFont="1" applyFill="1" applyBorder="1" applyAlignment="1">
      <alignment vertical="center" wrapText="1"/>
    </xf>
    <xf numFmtId="0" fontId="180" fillId="35" borderId="42" xfId="0" applyFont="1" applyFill="1" applyBorder="1" applyAlignment="1">
      <alignment vertical="center" wrapText="1"/>
    </xf>
    <xf numFmtId="0" fontId="180" fillId="35" borderId="43" xfId="0" applyFont="1" applyFill="1" applyBorder="1" applyAlignment="1">
      <alignment vertical="center" wrapText="1"/>
    </xf>
    <xf numFmtId="9" fontId="1" fillId="0" borderId="41" xfId="61" applyFont="1" applyBorder="1" applyAlignment="1" applyProtection="1">
      <alignment horizontal="center" vertical="center" wrapText="1"/>
    </xf>
    <xf numFmtId="9" fontId="1" fillId="0" borderId="42" xfId="61" applyFont="1" applyBorder="1" applyAlignment="1" applyProtection="1">
      <alignment horizontal="center" vertical="center" wrapText="1"/>
    </xf>
    <xf numFmtId="9" fontId="1" fillId="0" borderId="43" xfId="61" applyFont="1" applyBorder="1" applyAlignment="1" applyProtection="1">
      <alignment horizontal="center" vertical="center" wrapText="1"/>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9" fontId="0" fillId="22" borderId="10" xfId="61" applyFont="1" applyFill="1" applyBorder="1" applyAlignment="1" applyProtection="1">
      <alignment horizontal="left" vertical="top" wrapText="1"/>
      <protection locked="0"/>
    </xf>
    <xf numFmtId="9" fontId="1" fillId="22" borderId="10" xfId="61" applyFont="1" applyFill="1" applyBorder="1" applyAlignment="1" applyProtection="1">
      <alignment horizontal="left" vertical="top" wrapText="1"/>
      <protection locked="0"/>
    </xf>
    <xf numFmtId="9" fontId="98" fillId="0" borderId="41" xfId="61" applyFont="1" applyBorder="1" applyAlignment="1" applyProtection="1">
      <alignment horizontal="center" vertical="center" wrapText="1"/>
    </xf>
    <xf numFmtId="9" fontId="98" fillId="0" borderId="42" xfId="61" applyFont="1" applyBorder="1" applyAlignment="1" applyProtection="1">
      <alignment horizontal="center" vertical="center" wrapText="1"/>
    </xf>
    <xf numFmtId="9" fontId="98" fillId="0" borderId="43" xfId="61" applyFont="1" applyBorder="1" applyAlignment="1" applyProtection="1">
      <alignment horizontal="center" vertical="center" wrapText="1"/>
    </xf>
    <xf numFmtId="49" fontId="28" fillId="0" borderId="254" xfId="0" applyNumberFormat="1" applyFont="1" applyBorder="1" applyAlignment="1">
      <alignment horizontal="left" vertical="center" wrapText="1"/>
    </xf>
    <xf numFmtId="0" fontId="28" fillId="0" borderId="254" xfId="0" applyFont="1" applyBorder="1" applyAlignment="1">
      <alignment horizontal="left" vertical="center" wrapText="1"/>
    </xf>
    <xf numFmtId="9" fontId="36" fillId="34" borderId="41" xfId="61" applyFont="1" applyFill="1" applyBorder="1" applyAlignment="1" applyProtection="1">
      <alignment horizontal="center" vertical="center" wrapText="1"/>
    </xf>
    <xf numFmtId="9" fontId="36" fillId="34" borderId="43" xfId="61" applyFont="1" applyFill="1" applyBorder="1" applyAlignment="1" applyProtection="1">
      <alignment horizontal="center" vertical="center" wrapText="1"/>
    </xf>
    <xf numFmtId="0" fontId="180" fillId="35" borderId="41" xfId="0" applyFont="1" applyFill="1" applyBorder="1" applyAlignment="1">
      <alignment horizontal="left" vertical="center" wrapText="1"/>
    </xf>
    <xf numFmtId="0" fontId="180" fillId="35" borderId="42" xfId="0" applyFont="1" applyFill="1" applyBorder="1" applyAlignment="1">
      <alignment horizontal="left" vertical="center" wrapText="1"/>
    </xf>
    <xf numFmtId="0" fontId="180" fillId="35" borderId="43" xfId="0" applyFont="1" applyFill="1" applyBorder="1" applyAlignment="1">
      <alignment horizontal="left" vertical="center" wrapText="1"/>
    </xf>
    <xf numFmtId="0" fontId="180" fillId="35" borderId="10" xfId="0" applyFont="1" applyFill="1" applyBorder="1" applyAlignment="1">
      <alignment vertical="center" wrapText="1"/>
    </xf>
    <xf numFmtId="9" fontId="180" fillId="35" borderId="41" xfId="61" applyFont="1" applyFill="1" applyBorder="1" applyAlignment="1" applyProtection="1">
      <alignment horizontal="left" vertical="top" wrapText="1"/>
      <protection locked="0"/>
    </xf>
    <xf numFmtId="9" fontId="180" fillId="35" borderId="42" xfId="61" applyFont="1" applyFill="1" applyBorder="1" applyAlignment="1" applyProtection="1">
      <alignment horizontal="left" vertical="top" wrapText="1"/>
      <protection locked="0"/>
    </xf>
    <xf numFmtId="9" fontId="180" fillId="35" borderId="43" xfId="61" applyFont="1" applyFill="1" applyBorder="1" applyAlignment="1" applyProtection="1">
      <alignment horizontal="left" vertical="top" wrapText="1"/>
      <protection locked="0"/>
    </xf>
    <xf numFmtId="49" fontId="121" fillId="0" borderId="41" xfId="0" applyNumberFormat="1" applyFont="1" applyBorder="1" applyAlignment="1">
      <alignment horizontal="center" vertical="center" wrapText="1"/>
    </xf>
    <xf numFmtId="49" fontId="121" fillId="0" borderId="42" xfId="0" applyNumberFormat="1" applyFont="1" applyBorder="1" applyAlignment="1">
      <alignment horizontal="center" vertical="center" wrapText="1"/>
    </xf>
    <xf numFmtId="49" fontId="121" fillId="0" borderId="43" xfId="0" applyNumberFormat="1" applyFont="1" applyBorder="1" applyAlignment="1">
      <alignment horizontal="center" vertical="center" wrapText="1"/>
    </xf>
    <xf numFmtId="0" fontId="122" fillId="20" borderId="41" xfId="0" applyFont="1" applyFill="1" applyBorder="1" applyAlignment="1">
      <alignment horizontal="center" vertical="center" wrapText="1"/>
    </xf>
    <xf numFmtId="0" fontId="122" fillId="20" borderId="42" xfId="0" applyFont="1" applyFill="1" applyBorder="1" applyAlignment="1">
      <alignment horizontal="center" vertical="center" wrapText="1"/>
    </xf>
    <xf numFmtId="0" fontId="122" fillId="20" borderId="43" xfId="0" applyFont="1" applyFill="1" applyBorder="1" applyAlignment="1">
      <alignment horizontal="center" vertical="center" wrapText="1"/>
    </xf>
    <xf numFmtId="9" fontId="118" fillId="31" borderId="41" xfId="61" applyFont="1" applyFill="1" applyBorder="1" applyAlignment="1" applyProtection="1">
      <alignment horizontal="center" vertical="center" wrapText="1"/>
    </xf>
    <xf numFmtId="9" fontId="118" fillId="31" borderId="43" xfId="61" applyFont="1" applyFill="1" applyBorder="1" applyAlignment="1" applyProtection="1">
      <alignment horizontal="center" vertical="center" wrapText="1"/>
    </xf>
    <xf numFmtId="9" fontId="119" fillId="34" borderId="41" xfId="61" applyFont="1" applyFill="1" applyBorder="1" applyAlignment="1" applyProtection="1">
      <alignment horizontal="center" vertical="center" wrapText="1"/>
    </xf>
    <xf numFmtId="9" fontId="119" fillId="34" borderId="43" xfId="61" applyFont="1" applyFill="1" applyBorder="1" applyAlignment="1" applyProtection="1">
      <alignment horizontal="center" vertical="center" wrapText="1"/>
    </xf>
    <xf numFmtId="0" fontId="33" fillId="0" borderId="97" xfId="0" applyFont="1" applyBorder="1" applyAlignment="1">
      <alignment horizontal="center"/>
    </xf>
    <xf numFmtId="0" fontId="121" fillId="0" borderId="10" xfId="0" applyFont="1" applyBorder="1" applyAlignment="1">
      <alignment horizontal="center" vertical="center" wrapText="1"/>
    </xf>
    <xf numFmtId="0" fontId="34" fillId="20" borderId="120" xfId="0" applyFont="1" applyFill="1" applyBorder="1" applyAlignment="1" applyProtection="1">
      <alignment horizontal="left"/>
      <protection locked="0"/>
    </xf>
    <xf numFmtId="0" fontId="34" fillId="20" borderId="0" xfId="0" applyFont="1" applyFill="1" applyAlignment="1" applyProtection="1">
      <alignment horizontal="left"/>
      <protection locked="0"/>
    </xf>
    <xf numFmtId="0" fontId="34" fillId="20" borderId="0" xfId="0" applyFont="1" applyFill="1" applyAlignment="1">
      <alignment horizontal="left"/>
    </xf>
    <xf numFmtId="9" fontId="21" fillId="22" borderId="41" xfId="61" applyFont="1" applyFill="1" applyBorder="1" applyAlignment="1" applyProtection="1">
      <alignment horizontal="left" vertical="top" wrapText="1"/>
      <protection locked="0"/>
    </xf>
    <xf numFmtId="9" fontId="21" fillId="22" borderId="42" xfId="61" applyFont="1" applyFill="1" applyBorder="1" applyAlignment="1" applyProtection="1">
      <alignment horizontal="left" vertical="top" wrapText="1"/>
      <protection locked="0"/>
    </xf>
    <xf numFmtId="9" fontId="21" fillId="22" borderId="43" xfId="61" applyFont="1" applyFill="1" applyBorder="1" applyAlignment="1" applyProtection="1">
      <alignment horizontal="left" vertical="top" wrapText="1"/>
      <protection locked="0"/>
    </xf>
    <xf numFmtId="0" fontId="34" fillId="20" borderId="0" xfId="0" applyFont="1" applyFill="1" applyAlignment="1">
      <alignment horizontal="center" vertical="center" wrapText="1"/>
    </xf>
    <xf numFmtId="0" fontId="122" fillId="20" borderId="41" xfId="0" applyFont="1" applyFill="1" applyBorder="1" applyAlignment="1">
      <alignment vertical="center" wrapText="1"/>
    </xf>
    <xf numFmtId="0" fontId="122" fillId="20" borderId="42" xfId="0" applyFont="1" applyFill="1" applyBorder="1" applyAlignment="1">
      <alignment vertical="center" wrapText="1"/>
    </xf>
    <xf numFmtId="0" fontId="122" fillId="20" borderId="43" xfId="0" applyFont="1" applyFill="1" applyBorder="1" applyAlignment="1">
      <alignment vertical="center" wrapText="1"/>
    </xf>
    <xf numFmtId="9" fontId="98" fillId="0" borderId="41" xfId="61" applyFont="1" applyBorder="1" applyAlignment="1">
      <alignment horizontal="center" vertical="center" wrapText="1"/>
    </xf>
    <xf numFmtId="9" fontId="98" fillId="0" borderId="42" xfId="61" applyFont="1" applyBorder="1" applyAlignment="1">
      <alignment horizontal="center" vertical="center" wrapText="1"/>
    </xf>
    <xf numFmtId="9" fontId="98" fillId="0" borderId="43" xfId="61" applyFont="1" applyBorder="1" applyAlignment="1">
      <alignment horizontal="center" vertical="center" wrapText="1"/>
    </xf>
    <xf numFmtId="0" fontId="34" fillId="20" borderId="39" xfId="0" applyFont="1" applyFill="1" applyBorder="1" applyAlignment="1" applyProtection="1">
      <alignment horizontal="left"/>
      <protection locked="0"/>
    </xf>
    <xf numFmtId="0" fontId="34" fillId="20" borderId="94" xfId="0" applyFont="1" applyFill="1" applyBorder="1" applyAlignment="1">
      <alignment horizontal="left"/>
    </xf>
    <xf numFmtId="0" fontId="34" fillId="20" borderId="94" xfId="0" applyFont="1" applyFill="1" applyBorder="1" applyAlignment="1">
      <alignment horizontal="left" vertical="center" wrapText="1"/>
    </xf>
    <xf numFmtId="49" fontId="122" fillId="20" borderId="41" xfId="0" applyNumberFormat="1" applyFont="1" applyFill="1" applyBorder="1" applyAlignment="1">
      <alignment vertical="center" wrapText="1"/>
    </xf>
    <xf numFmtId="9" fontId="21" fillId="35" borderId="41" xfId="61" applyFont="1" applyFill="1" applyBorder="1" applyAlignment="1" applyProtection="1">
      <alignment horizontal="center" vertical="center" wrapText="1"/>
    </xf>
    <xf numFmtId="0" fontId="21" fillId="35" borderId="42" xfId="0" applyFont="1" applyFill="1" applyBorder="1" applyAlignment="1">
      <alignment horizontal="center" vertical="center" wrapText="1"/>
    </xf>
    <xf numFmtId="0" fontId="21" fillId="35" borderId="43" xfId="0" applyFont="1" applyFill="1" applyBorder="1" applyAlignment="1">
      <alignment horizontal="center" vertical="center" wrapText="1"/>
    </xf>
    <xf numFmtId="9" fontId="1" fillId="35" borderId="41" xfId="61" applyFont="1" applyFill="1" applyBorder="1" applyAlignment="1" applyProtection="1">
      <alignment horizontal="center" vertical="center" wrapText="1"/>
    </xf>
    <xf numFmtId="9" fontId="1" fillId="35" borderId="42" xfId="61" applyFont="1" applyFill="1" applyBorder="1" applyAlignment="1" applyProtection="1">
      <alignment horizontal="center" vertical="center" wrapText="1"/>
    </xf>
    <xf numFmtId="9" fontId="1" fillId="35" borderId="43" xfId="61" applyFont="1" applyFill="1" applyBorder="1" applyAlignment="1" applyProtection="1">
      <alignment horizontal="center" vertical="center" wrapText="1"/>
    </xf>
    <xf numFmtId="9" fontId="21" fillId="35" borderId="10" xfId="61" applyFont="1" applyFill="1" applyBorder="1" applyAlignment="1" applyProtection="1">
      <alignment horizontal="left" vertical="top" wrapText="1"/>
      <protection locked="0"/>
    </xf>
    <xf numFmtId="0" fontId="180" fillId="35" borderId="42" xfId="0" applyFont="1" applyFill="1" applyBorder="1" applyAlignment="1">
      <alignment horizontal="left" vertical="top" wrapText="1"/>
    </xf>
    <xf numFmtId="0" fontId="180" fillId="35" borderId="43" xfId="0" applyFont="1" applyFill="1" applyBorder="1" applyAlignment="1">
      <alignment horizontal="left" vertical="top" wrapText="1"/>
    </xf>
    <xf numFmtId="0" fontId="0" fillId="35" borderId="42" xfId="0" applyFill="1" applyBorder="1" applyAlignment="1">
      <alignment horizontal="center" vertical="center" wrapText="1"/>
    </xf>
    <xf numFmtId="0" fontId="0" fillId="35" borderId="43" xfId="0" applyFill="1" applyBorder="1" applyAlignment="1">
      <alignment horizontal="center" vertical="center" wrapText="1"/>
    </xf>
    <xf numFmtId="9" fontId="21" fillId="35" borderId="41" xfId="61" applyFont="1" applyFill="1" applyBorder="1" applyAlignment="1" applyProtection="1">
      <alignment horizontal="left" vertical="top" wrapText="1"/>
      <protection locked="0"/>
    </xf>
    <xf numFmtId="0" fontId="21" fillId="35" borderId="42" xfId="0" applyFont="1" applyFill="1" applyBorder="1" applyAlignment="1">
      <alignment horizontal="left" vertical="top" wrapText="1"/>
    </xf>
    <xf numFmtId="0" fontId="21" fillId="35" borderId="43" xfId="0" applyFont="1" applyFill="1" applyBorder="1" applyAlignment="1">
      <alignment horizontal="left" vertical="top" wrapText="1"/>
    </xf>
    <xf numFmtId="9" fontId="130" fillId="31" borderId="41" xfId="61" applyFont="1" applyFill="1" applyBorder="1" applyAlignment="1" applyProtection="1">
      <alignment horizontal="center" vertical="center" wrapText="1"/>
    </xf>
    <xf numFmtId="9" fontId="130" fillId="31" borderId="43" xfId="61" applyFont="1" applyFill="1" applyBorder="1" applyAlignment="1" applyProtection="1">
      <alignment horizontal="center" vertical="center" wrapText="1"/>
    </xf>
    <xf numFmtId="9" fontId="128" fillId="0" borderId="41" xfId="61" applyFont="1" applyBorder="1" applyAlignment="1" applyProtection="1">
      <alignment horizontal="center" vertical="center" wrapText="1"/>
    </xf>
    <xf numFmtId="9" fontId="128" fillId="0" borderId="42" xfId="61" applyFont="1" applyBorder="1" applyAlignment="1" applyProtection="1">
      <alignment horizontal="center" vertical="center" wrapText="1"/>
    </xf>
    <xf numFmtId="9" fontId="128" fillId="0" borderId="43" xfId="61" applyFont="1" applyBorder="1" applyAlignment="1" applyProtection="1">
      <alignment horizontal="center" vertical="center" wrapText="1"/>
    </xf>
    <xf numFmtId="9" fontId="128" fillId="35" borderId="10" xfId="61" applyFont="1" applyFill="1" applyBorder="1" applyAlignment="1" applyProtection="1">
      <alignment horizontal="left" vertical="top" wrapText="1"/>
      <protection locked="0"/>
    </xf>
    <xf numFmtId="43" fontId="15" fillId="33" borderId="0" xfId="57" applyFont="1" applyFill="1" applyBorder="1" applyAlignment="1" applyProtection="1">
      <alignment horizontal="center"/>
    </xf>
    <xf numFmtId="2" fontId="121" fillId="0" borderId="254" xfId="0" applyNumberFormat="1" applyFont="1" applyBorder="1" applyAlignment="1">
      <alignment horizontal="left" vertical="center" wrapText="1"/>
    </xf>
    <xf numFmtId="0" fontId="185" fillId="22" borderId="88" xfId="0" applyFont="1" applyFill="1" applyBorder="1" applyAlignment="1" applyProtection="1">
      <alignment horizontal="left" vertical="top" wrapText="1"/>
      <protection locked="0"/>
    </xf>
    <xf numFmtId="0" fontId="185" fillId="0" borderId="97" xfId="0" applyFont="1" applyBorder="1" applyAlignment="1">
      <alignment horizontal="left" vertical="top" wrapText="1"/>
    </xf>
    <xf numFmtId="0" fontId="182" fillId="0" borderId="97" xfId="0" applyFont="1" applyBorder="1" applyAlignment="1">
      <alignment horizontal="left" vertical="top" wrapText="1"/>
    </xf>
    <xf numFmtId="0" fontId="182" fillId="0" borderId="98" xfId="0" applyFont="1" applyBorder="1" applyAlignment="1">
      <alignment horizontal="left" vertical="top" wrapText="1"/>
    </xf>
    <xf numFmtId="0" fontId="98" fillId="22" borderId="88" xfId="0" applyFont="1" applyFill="1" applyBorder="1" applyAlignment="1" applyProtection="1">
      <alignment horizontal="left" vertical="top" wrapText="1"/>
      <protection locked="0"/>
    </xf>
    <xf numFmtId="0" fontId="98" fillId="0" borderId="97" xfId="0" applyFont="1" applyBorder="1" applyAlignment="1">
      <alignment horizontal="left" vertical="top" wrapText="1"/>
    </xf>
    <xf numFmtId="0" fontId="98" fillId="0" borderId="98" xfId="0" applyFont="1" applyBorder="1" applyAlignment="1">
      <alignment horizontal="left" vertical="top" wrapText="1"/>
    </xf>
    <xf numFmtId="0" fontId="34" fillId="0" borderId="10" xfId="0" applyFont="1" applyBorder="1" applyAlignment="1">
      <alignment horizontal="center" vertical="center" wrapText="1"/>
    </xf>
    <xf numFmtId="43" fontId="15" fillId="33" borderId="0" xfId="56" applyFont="1" applyFill="1" applyBorder="1" applyAlignment="1" applyProtection="1">
      <alignment horizontal="center" vertical="center" wrapText="1"/>
    </xf>
    <xf numFmtId="0" fontId="170" fillId="22" borderId="104" xfId="0" applyFont="1" applyFill="1" applyBorder="1" applyAlignment="1" applyProtection="1">
      <alignment horizontal="left" vertical="top" wrapText="1"/>
      <protection locked="0"/>
    </xf>
    <xf numFmtId="43" fontId="35" fillId="0" borderId="0" xfId="0" applyNumberFormat="1" applyFont="1" applyAlignment="1">
      <alignment horizontal="left" vertical="center" wrapText="1"/>
    </xf>
    <xf numFmtId="0" fontId="14" fillId="0" borderId="0" xfId="0" applyFont="1" applyAlignment="1">
      <alignment horizontal="center"/>
    </xf>
    <xf numFmtId="43" fontId="28" fillId="0" borderId="0" xfId="0" applyNumberFormat="1" applyFont="1" applyAlignment="1">
      <alignment horizontal="left" vertical="center" wrapText="1"/>
    </xf>
    <xf numFmtId="0" fontId="173" fillId="22" borderId="104" xfId="0" applyFont="1" applyFill="1" applyBorder="1" applyAlignment="1" applyProtection="1">
      <alignment horizontal="left" vertical="top" wrapText="1"/>
      <protection locked="0"/>
    </xf>
    <xf numFmtId="0" fontId="121" fillId="53" borderId="245" xfId="0" applyFont="1" applyFill="1" applyBorder="1" applyAlignment="1">
      <alignment horizontal="center" vertical="center"/>
    </xf>
    <xf numFmtId="0" fontId="121" fillId="52" borderId="243" xfId="0" applyFont="1" applyFill="1" applyBorder="1" applyAlignment="1">
      <alignment horizontal="center" vertical="center" wrapText="1"/>
    </xf>
    <xf numFmtId="0" fontId="30" fillId="22" borderId="0" xfId="0" applyFont="1" applyFill="1" applyAlignment="1" applyProtection="1">
      <alignment horizontal="left" vertical="top" wrapText="1"/>
      <protection locked="0"/>
    </xf>
    <xf numFmtId="0" fontId="30" fillId="22" borderId="0" xfId="0" applyFont="1" applyFill="1" applyAlignment="1" applyProtection="1">
      <alignment horizontal="left" vertical="top"/>
      <protection locked="0"/>
    </xf>
    <xf numFmtId="0" fontId="34" fillId="22" borderId="104" xfId="0" applyFont="1" applyFill="1" applyBorder="1" applyAlignment="1" applyProtection="1">
      <alignment horizontal="left" vertical="top" wrapText="1"/>
      <protection locked="0"/>
    </xf>
    <xf numFmtId="43" fontId="35" fillId="0" borderId="0" xfId="0" applyNumberFormat="1" applyFont="1" applyAlignment="1">
      <alignment horizontal="center" vertical="center" wrapText="1"/>
    </xf>
    <xf numFmtId="43" fontId="35" fillId="0" borderId="0" xfId="0" applyNumberFormat="1" applyFont="1" applyAlignment="1">
      <alignment horizontal="center" vertical="center"/>
    </xf>
    <xf numFmtId="0" fontId="172" fillId="22" borderId="0" xfId="0" applyFont="1" applyFill="1" applyAlignment="1" applyProtection="1">
      <alignment horizontal="left" vertical="top" wrapText="1"/>
      <protection locked="0"/>
    </xf>
    <xf numFmtId="0" fontId="184" fillId="22" borderId="215" xfId="0" applyFont="1" applyFill="1" applyBorder="1" applyAlignment="1" applyProtection="1">
      <alignment horizontal="left" vertical="top" wrapText="1"/>
      <protection locked="0"/>
    </xf>
    <xf numFmtId="0" fontId="34" fillId="22" borderId="215" xfId="0" applyFont="1" applyFill="1" applyBorder="1" applyAlignment="1" applyProtection="1">
      <alignment horizontal="left" vertical="top" wrapText="1"/>
      <protection locked="0"/>
    </xf>
    <xf numFmtId="0" fontId="21" fillId="0" borderId="218" xfId="0" applyFont="1" applyBorder="1" applyAlignment="1" applyProtection="1">
      <alignment horizontal="left"/>
      <protection locked="0"/>
    </xf>
    <xf numFmtId="0" fontId="21" fillId="0" borderId="219" xfId="0" applyFont="1" applyBorder="1" applyAlignment="1" applyProtection="1">
      <alignment horizontal="left"/>
      <protection locked="0"/>
    </xf>
    <xf numFmtId="14" fontId="21" fillId="0" borderId="202" xfId="0" applyNumberFormat="1" applyFont="1" applyBorder="1" applyAlignment="1" applyProtection="1">
      <alignment horizontal="left"/>
      <protection locked="0"/>
    </xf>
    <xf numFmtId="0" fontId="21" fillId="0" borderId="34" xfId="0" applyFont="1" applyBorder="1" applyAlignment="1" applyProtection="1">
      <alignment horizontal="left"/>
      <protection locked="0"/>
    </xf>
    <xf numFmtId="0" fontId="75" fillId="21" borderId="222" xfId="52" applyFont="1" applyFill="1" applyBorder="1" applyAlignment="1">
      <alignment horizontal="center" vertical="center" wrapText="1"/>
    </xf>
    <xf numFmtId="0" fontId="75" fillId="21" borderId="210" xfId="52" applyFont="1" applyFill="1" applyBorder="1" applyAlignment="1">
      <alignment horizontal="center" vertical="center" wrapText="1"/>
    </xf>
    <xf numFmtId="0" fontId="21" fillId="0" borderId="192" xfId="0" applyFont="1" applyBorder="1" applyAlignment="1" applyProtection="1">
      <alignment horizontal="left"/>
      <protection locked="0"/>
    </xf>
    <xf numFmtId="0" fontId="21" fillId="0" borderId="193" xfId="0" applyFont="1" applyBorder="1" applyAlignment="1" applyProtection="1">
      <alignment horizontal="left"/>
      <protection locked="0"/>
    </xf>
    <xf numFmtId="0" fontId="21" fillId="0" borderId="223" xfId="0" applyFont="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192" xfId="0" applyFont="1" applyBorder="1" applyAlignment="1" applyProtection="1">
      <alignment horizontal="left" wrapText="1"/>
      <protection locked="0"/>
    </xf>
    <xf numFmtId="0" fontId="21" fillId="0" borderId="193" xfId="0" applyFont="1" applyBorder="1" applyAlignment="1" applyProtection="1">
      <alignment horizontal="left" wrapText="1"/>
      <protection locked="0"/>
    </xf>
    <xf numFmtId="0" fontId="21" fillId="0" borderId="194" xfId="0" applyFont="1" applyBorder="1" applyAlignment="1" applyProtection="1">
      <alignment horizontal="left" wrapText="1"/>
      <protection locked="0"/>
    </xf>
    <xf numFmtId="0" fontId="21" fillId="0" borderId="195" xfId="0" applyFont="1" applyBorder="1" applyAlignment="1" applyProtection="1">
      <alignment horizontal="left" wrapText="1"/>
      <protection locked="0"/>
    </xf>
    <xf numFmtId="0" fontId="21" fillId="0" borderId="194" xfId="0" applyFont="1" applyBorder="1" applyAlignment="1" applyProtection="1">
      <alignment horizontal="left"/>
      <protection locked="0"/>
    </xf>
    <xf numFmtId="0" fontId="21" fillId="0" borderId="195" xfId="0" applyFont="1" applyBorder="1" applyAlignment="1" applyProtection="1">
      <alignment horizontal="left"/>
      <protection locked="0"/>
    </xf>
    <xf numFmtId="0" fontId="21" fillId="0" borderId="221" xfId="0" applyFont="1" applyBorder="1" applyAlignment="1" applyProtection="1">
      <alignment horizontal="left" wrapText="1"/>
      <protection locked="0"/>
    </xf>
    <xf numFmtId="0" fontId="21" fillId="0" borderId="213" xfId="0" applyFont="1" applyBorder="1" applyAlignment="1" applyProtection="1">
      <alignment horizontal="left" wrapText="1"/>
      <protection locked="0"/>
    </xf>
    <xf numFmtId="43" fontId="15" fillId="33" borderId="0" xfId="58" applyFont="1" applyFill="1" applyBorder="1" applyAlignment="1" applyProtection="1">
      <alignment horizontal="center"/>
      <protection locked="0"/>
    </xf>
    <xf numFmtId="0" fontId="75" fillId="21" borderId="206" xfId="52" applyFont="1" applyFill="1" applyBorder="1" applyAlignment="1">
      <alignment horizontal="center" vertical="center" wrapText="1"/>
    </xf>
    <xf numFmtId="0" fontId="75" fillId="21" borderId="207" xfId="52" applyFont="1" applyFill="1" applyBorder="1" applyAlignment="1">
      <alignment horizontal="center" vertical="center" wrapText="1"/>
    </xf>
    <xf numFmtId="0" fontId="21" fillId="0" borderId="128" xfId="0" applyFont="1" applyBorder="1" applyAlignment="1" applyProtection="1">
      <alignment horizontal="left" vertical="center" wrapText="1"/>
      <protection locked="0"/>
    </xf>
    <xf numFmtId="0" fontId="21" fillId="0" borderId="184" xfId="0" applyFont="1" applyBorder="1" applyAlignment="1" applyProtection="1">
      <alignment horizontal="left" vertical="center" wrapText="1"/>
      <protection locked="0"/>
    </xf>
    <xf numFmtId="0" fontId="0" fillId="22" borderId="95" xfId="0" applyFill="1" applyBorder="1" applyAlignment="1" applyProtection="1">
      <alignment horizontal="center"/>
      <protection locked="0"/>
    </xf>
    <xf numFmtId="0" fontId="0" fillId="22" borderId="94" xfId="0" applyFill="1" applyBorder="1" applyAlignment="1" applyProtection="1">
      <alignment horizontal="center"/>
      <protection locked="0"/>
    </xf>
    <xf numFmtId="0" fontId="0" fillId="22" borderId="96" xfId="0" applyFill="1" applyBorder="1" applyAlignment="1" applyProtection="1">
      <alignment horizontal="center"/>
      <protection locked="0"/>
    </xf>
    <xf numFmtId="0" fontId="0" fillId="22" borderId="88" xfId="0" applyFill="1" applyBorder="1" applyAlignment="1" applyProtection="1">
      <alignment horizontal="center"/>
      <protection locked="0"/>
    </xf>
    <xf numFmtId="0" fontId="0" fillId="22" borderId="97" xfId="0" applyFill="1" applyBorder="1" applyAlignment="1" applyProtection="1">
      <alignment horizontal="center"/>
      <protection locked="0"/>
    </xf>
    <xf numFmtId="0" fontId="0" fillId="22" borderId="98" xfId="0" applyFill="1" applyBorder="1" applyAlignment="1" applyProtection="1">
      <alignment horizontal="center"/>
      <protection locked="0"/>
    </xf>
    <xf numFmtId="0" fontId="75" fillId="21" borderId="13" xfId="52" applyFont="1" applyFill="1" applyBorder="1" applyAlignment="1">
      <alignment horizontal="center" vertical="center" wrapText="1"/>
    </xf>
    <xf numFmtId="0" fontId="75" fillId="21" borderId="183" xfId="52" applyFont="1" applyFill="1" applyBorder="1" applyAlignment="1">
      <alignment horizontal="center" vertical="center" wrapText="1"/>
    </xf>
    <xf numFmtId="14" fontId="21" fillId="0" borderId="200" xfId="0" applyNumberFormat="1" applyFont="1" applyBorder="1" applyAlignment="1" applyProtection="1">
      <alignment horizontal="left"/>
      <protection locked="0"/>
    </xf>
    <xf numFmtId="0" fontId="21" fillId="0" borderId="200" xfId="0" applyFont="1" applyBorder="1" applyAlignment="1" applyProtection="1">
      <alignment horizontal="left"/>
      <protection locked="0"/>
    </xf>
    <xf numFmtId="0" fontId="21" fillId="0" borderId="196" xfId="0" applyFont="1" applyBorder="1" applyAlignment="1" applyProtection="1">
      <alignment horizontal="left"/>
      <protection locked="0"/>
    </xf>
    <xf numFmtId="0" fontId="21" fillId="0" borderId="197" xfId="0" applyFont="1" applyBorder="1" applyAlignment="1" applyProtection="1">
      <alignment horizontal="left"/>
      <protection locked="0"/>
    </xf>
    <xf numFmtId="0" fontId="21" fillId="0" borderId="198" xfId="0" applyFont="1" applyBorder="1" applyAlignment="1" applyProtection="1">
      <alignment horizontal="left"/>
      <protection locked="0"/>
    </xf>
    <xf numFmtId="0" fontId="21" fillId="0" borderId="190" xfId="0" applyFont="1" applyBorder="1" applyAlignment="1" applyProtection="1">
      <alignment horizontal="left"/>
      <protection locked="0"/>
    </xf>
    <xf numFmtId="0" fontId="21" fillId="0" borderId="144" xfId="0" applyFont="1" applyBorder="1" applyAlignment="1" applyProtection="1">
      <alignment horizontal="left"/>
      <protection locked="0"/>
    </xf>
    <xf numFmtId="0" fontId="21" fillId="0" borderId="191" xfId="0" applyFont="1" applyBorder="1" applyAlignment="1" applyProtection="1">
      <alignment horizontal="left"/>
      <protection locked="0"/>
    </xf>
    <xf numFmtId="0" fontId="21" fillId="0" borderId="196" xfId="0" applyFont="1" applyBorder="1" applyAlignment="1" applyProtection="1">
      <alignment horizontal="left" wrapText="1"/>
      <protection locked="0"/>
    </xf>
    <xf numFmtId="0" fontId="21" fillId="0" borderId="197" xfId="0" applyFont="1" applyBorder="1" applyAlignment="1" applyProtection="1">
      <alignment horizontal="left" wrapText="1"/>
      <protection locked="0"/>
    </xf>
    <xf numFmtId="0" fontId="21" fillId="0" borderId="190" xfId="0" applyFont="1" applyBorder="1" applyAlignment="1" applyProtection="1">
      <alignment horizontal="left" wrapText="1"/>
      <protection locked="0"/>
    </xf>
    <xf numFmtId="0" fontId="21" fillId="0" borderId="144" xfId="0" applyFont="1" applyBorder="1" applyAlignment="1" applyProtection="1">
      <alignment horizontal="left" wrapText="1"/>
      <protection locked="0"/>
    </xf>
    <xf numFmtId="0" fontId="21" fillId="0" borderId="198" xfId="0" applyFont="1" applyBorder="1" applyAlignment="1" applyProtection="1">
      <alignment horizontal="left" wrapText="1"/>
      <protection locked="0"/>
    </xf>
    <xf numFmtId="0" fontId="21" fillId="0" borderId="191" xfId="0" applyFont="1" applyBorder="1" applyAlignment="1" applyProtection="1">
      <alignment horizontal="left" wrapText="1"/>
      <protection locked="0"/>
    </xf>
    <xf numFmtId="14" fontId="21" fillId="0" borderId="218" xfId="0" applyNumberFormat="1" applyFont="1" applyBorder="1" applyAlignment="1" applyProtection="1">
      <alignment horizontal="left"/>
      <protection locked="0"/>
    </xf>
    <xf numFmtId="0" fontId="21" fillId="0" borderId="212" xfId="0" applyFont="1" applyBorder="1" applyAlignment="1" applyProtection="1">
      <alignment horizontal="left"/>
      <protection locked="0"/>
    </xf>
    <xf numFmtId="0" fontId="93" fillId="21" borderId="203" xfId="0" applyFont="1" applyFill="1" applyBorder="1" applyAlignment="1">
      <alignment horizontal="center" vertical="center" textRotation="90" wrapText="1"/>
    </xf>
    <xf numFmtId="0" fontId="93" fillId="21" borderId="204" xfId="0" applyFont="1" applyFill="1" applyBorder="1" applyAlignment="1">
      <alignment horizontal="center" vertical="center" textRotation="90" wrapText="1"/>
    </xf>
    <xf numFmtId="0" fontId="93" fillId="21" borderId="205" xfId="0" applyFont="1" applyFill="1" applyBorder="1" applyAlignment="1">
      <alignment horizontal="center" vertical="center" textRotation="90" wrapText="1"/>
    </xf>
    <xf numFmtId="0" fontId="75" fillId="21" borderId="208" xfId="52" applyFont="1" applyFill="1" applyBorder="1" applyAlignment="1">
      <alignment horizontal="center" vertical="center" wrapText="1"/>
    </xf>
    <xf numFmtId="0" fontId="21" fillId="0" borderId="209" xfId="0" applyFont="1" applyBorder="1" applyAlignment="1" applyProtection="1">
      <alignment horizontal="left" wrapText="1"/>
      <protection locked="0"/>
    </xf>
    <xf numFmtId="0" fontId="21" fillId="0" borderId="200" xfId="0" applyFont="1" applyBorder="1" applyAlignment="1" applyProtection="1">
      <alignment horizontal="left" wrapText="1"/>
      <protection locked="0"/>
    </xf>
    <xf numFmtId="0" fontId="21" fillId="0" borderId="211" xfId="0" applyFont="1" applyBorder="1" applyAlignment="1" applyProtection="1">
      <alignment horizontal="left" wrapText="1"/>
      <protection locked="0"/>
    </xf>
    <xf numFmtId="0" fontId="21" fillId="0" borderId="212" xfId="0" applyFont="1" applyBorder="1" applyAlignment="1" applyProtection="1">
      <alignment horizontal="left" wrapText="1"/>
      <protection locked="0"/>
    </xf>
    <xf numFmtId="0" fontId="21" fillId="0" borderId="187" xfId="0" applyFont="1" applyBorder="1" applyAlignment="1" applyProtection="1">
      <alignment horizontal="left" vertical="top" wrapText="1"/>
      <protection locked="0"/>
    </xf>
    <xf numFmtId="0" fontId="21" fillId="0" borderId="188" xfId="0" applyFont="1" applyBorder="1" applyAlignment="1" applyProtection="1">
      <alignment horizontal="left" vertical="top" wrapText="1"/>
      <protection locked="0"/>
    </xf>
    <xf numFmtId="0" fontId="21" fillId="0" borderId="213" xfId="0" applyFont="1" applyBorder="1" applyAlignment="1" applyProtection="1">
      <alignment horizontal="left" vertical="top" wrapText="1"/>
      <protection locked="0"/>
    </xf>
    <xf numFmtId="0" fontId="21" fillId="0" borderId="190" xfId="0" applyFont="1" applyBorder="1" applyAlignment="1" applyProtection="1">
      <alignment horizontal="left" vertical="top" wrapText="1"/>
      <protection locked="0"/>
    </xf>
    <xf numFmtId="0" fontId="21" fillId="0" borderId="144" xfId="0" applyFont="1" applyBorder="1" applyAlignment="1" applyProtection="1">
      <alignment horizontal="left" vertical="top" wrapText="1"/>
      <protection locked="0"/>
    </xf>
    <xf numFmtId="0" fontId="21" fillId="0" borderId="195" xfId="0" applyFont="1" applyBorder="1" applyAlignment="1" applyProtection="1">
      <alignment horizontal="left" vertical="top" wrapText="1"/>
      <protection locked="0"/>
    </xf>
    <xf numFmtId="0" fontId="21" fillId="0" borderId="214" xfId="0" applyFont="1" applyBorder="1" applyAlignment="1" applyProtection="1">
      <alignment horizontal="left"/>
      <protection locked="0"/>
    </xf>
    <xf numFmtId="0" fontId="21" fillId="0" borderId="215" xfId="0" applyFont="1" applyBorder="1" applyAlignment="1" applyProtection="1">
      <alignment horizontal="left"/>
      <protection locked="0"/>
    </xf>
    <xf numFmtId="0" fontId="21" fillId="0" borderId="217" xfId="0" applyFont="1" applyBorder="1" applyAlignment="1" applyProtection="1">
      <alignment horizontal="left"/>
      <protection locked="0"/>
    </xf>
    <xf numFmtId="0" fontId="21" fillId="0" borderId="185" xfId="0" applyFont="1" applyBorder="1" applyAlignment="1" applyProtection="1">
      <alignment horizontal="left" vertical="center" wrapText="1"/>
      <protection locked="0"/>
    </xf>
    <xf numFmtId="0" fontId="21" fillId="0" borderId="186" xfId="0" applyFont="1" applyBorder="1" applyAlignment="1" applyProtection="1">
      <alignment horizontal="left" vertical="center" wrapText="1"/>
      <protection locked="0"/>
    </xf>
    <xf numFmtId="0" fontId="21" fillId="0" borderId="187" xfId="0" applyFont="1" applyBorder="1" applyAlignment="1" applyProtection="1">
      <alignment horizontal="left" wrapText="1"/>
      <protection locked="0"/>
    </xf>
    <xf numFmtId="0" fontId="21" fillId="0" borderId="188" xfId="0" applyFont="1" applyBorder="1" applyAlignment="1" applyProtection="1">
      <alignment horizontal="left" wrapText="1"/>
      <protection locked="0"/>
    </xf>
    <xf numFmtId="0" fontId="21" fillId="0" borderId="189" xfId="0" applyFont="1" applyBorder="1" applyAlignment="1" applyProtection="1">
      <alignment horizontal="left" wrapText="1"/>
      <protection locked="0"/>
    </xf>
    <xf numFmtId="0" fontId="93" fillId="21" borderId="90" xfId="0" applyFont="1" applyFill="1" applyBorder="1" applyAlignment="1">
      <alignment horizontal="center" vertical="center" textRotation="90"/>
    </xf>
    <xf numFmtId="0" fontId="0" fillId="21" borderId="72" xfId="0" applyFill="1" applyBorder="1" applyAlignment="1">
      <alignment horizontal="center" vertical="center" textRotation="90"/>
    </xf>
    <xf numFmtId="0" fontId="0" fillId="21" borderId="87" xfId="0" applyFill="1" applyBorder="1" applyAlignment="1">
      <alignment horizontal="center" vertical="center" textRotation="90"/>
    </xf>
    <xf numFmtId="0" fontId="21" fillId="0" borderId="220" xfId="0" applyFont="1" applyBorder="1" applyAlignment="1" applyProtection="1">
      <alignment horizontal="left" wrapText="1"/>
      <protection locked="0"/>
    </xf>
    <xf numFmtId="0" fontId="21" fillId="0" borderId="34" xfId="0" applyFont="1" applyBorder="1" applyAlignment="1" applyProtection="1">
      <alignment horizontal="left" wrapText="1"/>
      <protection locked="0"/>
    </xf>
    <xf numFmtId="0" fontId="21" fillId="0" borderId="196" xfId="0" applyFont="1" applyBorder="1" applyAlignment="1" applyProtection="1">
      <alignment horizontal="left" vertical="top" wrapText="1"/>
      <protection locked="0"/>
    </xf>
    <xf numFmtId="0" fontId="21" fillId="0" borderId="197" xfId="0" applyFont="1" applyBorder="1" applyAlignment="1" applyProtection="1">
      <alignment horizontal="left" vertical="top" wrapText="1"/>
      <protection locked="0"/>
    </xf>
    <xf numFmtId="0" fontId="21" fillId="0" borderId="198" xfId="0" applyFont="1" applyBorder="1" applyAlignment="1" applyProtection="1">
      <alignment horizontal="left" vertical="top" wrapText="1"/>
      <protection locked="0"/>
    </xf>
    <xf numFmtId="0" fontId="21" fillId="0" borderId="191" xfId="0" applyFont="1" applyBorder="1" applyAlignment="1" applyProtection="1">
      <alignment horizontal="left" vertical="top" wrapText="1"/>
      <protection locked="0"/>
    </xf>
    <xf numFmtId="0" fontId="75" fillId="21" borderId="199" xfId="52" applyFont="1" applyFill="1" applyBorder="1" applyAlignment="1">
      <alignment horizontal="center" vertical="center" wrapText="1"/>
    </xf>
    <xf numFmtId="0" fontId="21" fillId="0" borderId="201" xfId="0" applyFont="1" applyBorder="1" applyAlignment="1" applyProtection="1">
      <alignment horizontal="left"/>
      <protection locked="0"/>
    </xf>
    <xf numFmtId="0" fontId="21" fillId="0" borderId="218" xfId="0" applyFont="1" applyBorder="1" applyAlignment="1" applyProtection="1">
      <alignment horizontal="left" wrapText="1"/>
      <protection locked="0"/>
    </xf>
    <xf numFmtId="14" fontId="21" fillId="0" borderId="34" xfId="0" applyNumberFormat="1" applyFont="1" applyBorder="1" applyAlignment="1" applyProtection="1">
      <alignment horizontal="left"/>
      <protection locked="0"/>
    </xf>
    <xf numFmtId="9" fontId="2" fillId="0" borderId="174" xfId="61" applyFont="1" applyFill="1" applyBorder="1" applyAlignment="1" applyProtection="1">
      <alignment horizontal="left" vertical="center" wrapText="1"/>
    </xf>
    <xf numFmtId="0" fontId="2" fillId="0" borderId="175" xfId="61" applyNumberFormat="1" applyFont="1" applyFill="1" applyBorder="1" applyAlignment="1" applyProtection="1">
      <alignment horizontal="left" vertical="center" wrapText="1"/>
    </xf>
    <xf numFmtId="0" fontId="2" fillId="0" borderId="176" xfId="61" applyNumberFormat="1" applyFont="1" applyFill="1" applyBorder="1" applyAlignment="1" applyProtection="1">
      <alignment horizontal="left" vertical="center" wrapText="1"/>
    </xf>
    <xf numFmtId="0" fontId="59" fillId="22" borderId="177" xfId="0" applyFont="1" applyFill="1" applyBorder="1" applyAlignment="1">
      <alignment horizontal="center" vertical="center"/>
    </xf>
    <xf numFmtId="0" fontId="59" fillId="22" borderId="178" xfId="0" applyFont="1" applyFill="1" applyBorder="1" applyAlignment="1">
      <alignment horizontal="center" vertical="center"/>
    </xf>
    <xf numFmtId="0" fontId="59" fillId="22" borderId="179" xfId="0" applyFont="1" applyFill="1" applyBorder="1" applyAlignment="1">
      <alignment horizontal="center" vertical="center"/>
    </xf>
    <xf numFmtId="9" fontId="2" fillId="0" borderId="152" xfId="61" applyFont="1" applyFill="1" applyBorder="1" applyAlignment="1" applyProtection="1">
      <alignment horizontal="left" vertical="center" wrapText="1"/>
    </xf>
    <xf numFmtId="0" fontId="2" fillId="0" borderId="128" xfId="61" applyNumberFormat="1" applyFont="1" applyFill="1" applyBorder="1" applyAlignment="1" applyProtection="1">
      <alignment horizontal="left" vertical="center" wrapText="1"/>
    </xf>
    <xf numFmtId="0" fontId="2" fillId="0" borderId="153" xfId="61" applyNumberFormat="1" applyFont="1" applyFill="1" applyBorder="1" applyAlignment="1" applyProtection="1">
      <alignment horizontal="left" vertical="center" wrapText="1"/>
    </xf>
    <xf numFmtId="0" fontId="78" fillId="0" borderId="180" xfId="0" applyFont="1" applyBorder="1" applyAlignment="1">
      <alignment horizontal="left" vertical="center" wrapText="1"/>
    </xf>
    <xf numFmtId="0" fontId="78" fillId="0" borderId="181" xfId="0" applyFont="1" applyBorder="1" applyAlignment="1">
      <alignment horizontal="left" vertical="center" wrapText="1"/>
    </xf>
    <xf numFmtId="0" fontId="78" fillId="0" borderId="182" xfId="0" applyFont="1" applyBorder="1" applyAlignment="1">
      <alignment horizontal="left" vertical="center" wrapText="1"/>
    </xf>
    <xf numFmtId="0" fontId="2" fillId="22" borderId="121" xfId="0" applyFont="1" applyFill="1" applyBorder="1" applyAlignment="1" applyProtection="1">
      <alignment horizontal="center" vertical="top" wrapText="1"/>
      <protection locked="0"/>
    </xf>
    <xf numFmtId="0" fontId="2" fillId="22" borderId="122" xfId="0" applyFont="1" applyFill="1" applyBorder="1" applyAlignment="1" applyProtection="1">
      <alignment horizontal="center" vertical="top" wrapText="1"/>
      <protection locked="0"/>
    </xf>
    <xf numFmtId="0" fontId="2" fillId="22" borderId="123" xfId="0" applyFont="1" applyFill="1" applyBorder="1" applyAlignment="1" applyProtection="1">
      <alignment horizontal="center" vertical="top" wrapText="1"/>
      <protection locked="0"/>
    </xf>
    <xf numFmtId="0" fontId="2" fillId="22" borderId="131" xfId="0" applyFont="1" applyFill="1" applyBorder="1" applyAlignment="1" applyProtection="1">
      <alignment horizontal="center" vertical="top" wrapText="1"/>
      <protection locked="0"/>
    </xf>
    <xf numFmtId="0" fontId="2" fillId="22" borderId="132" xfId="0" applyFont="1" applyFill="1" applyBorder="1" applyAlignment="1" applyProtection="1">
      <alignment horizontal="center" vertical="top" wrapText="1"/>
      <protection locked="0"/>
    </xf>
    <xf numFmtId="0" fontId="2" fillId="22" borderId="133" xfId="0" applyFont="1" applyFill="1" applyBorder="1" applyAlignment="1" applyProtection="1">
      <alignment horizontal="center" vertical="top" wrapText="1"/>
      <protection locked="0"/>
    </xf>
    <xf numFmtId="0" fontId="2" fillId="22" borderId="121" xfId="0" applyFont="1" applyFill="1" applyBorder="1" applyAlignment="1" applyProtection="1">
      <alignment horizontal="left" vertical="top" wrapText="1"/>
      <protection locked="0"/>
    </xf>
    <xf numFmtId="0" fontId="2" fillId="22" borderId="122" xfId="0" applyFont="1" applyFill="1" applyBorder="1" applyAlignment="1" applyProtection="1">
      <alignment horizontal="left" vertical="top" wrapText="1"/>
      <protection locked="0"/>
    </xf>
    <xf numFmtId="0" fontId="2" fillId="22" borderId="123" xfId="0" applyFont="1" applyFill="1" applyBorder="1" applyAlignment="1" applyProtection="1">
      <alignment horizontal="left" vertical="top" wrapText="1"/>
      <protection locked="0"/>
    </xf>
    <xf numFmtId="0" fontId="2" fillId="0" borderId="152" xfId="61" applyNumberFormat="1" applyFont="1" applyFill="1" applyBorder="1" applyAlignment="1" applyProtection="1">
      <alignment horizontal="left" vertical="center" wrapText="1"/>
    </xf>
    <xf numFmtId="0" fontId="78" fillId="0" borderId="171" xfId="0" applyFont="1" applyBorder="1" applyAlignment="1">
      <alignment horizontal="left" vertical="top" wrapText="1"/>
    </xf>
    <xf numFmtId="0" fontId="78" fillId="0" borderId="172" xfId="0" applyFont="1" applyBorder="1" applyAlignment="1">
      <alignment horizontal="left" vertical="top" wrapText="1"/>
    </xf>
    <xf numFmtId="0" fontId="78" fillId="0" borderId="173" xfId="0" applyFont="1" applyBorder="1" applyAlignment="1">
      <alignment horizontal="left" vertical="top" wrapText="1"/>
    </xf>
    <xf numFmtId="0" fontId="77" fillId="19" borderId="12" xfId="0" applyFont="1" applyFill="1" applyBorder="1" applyAlignment="1">
      <alignment horizontal="center" vertical="center"/>
    </xf>
    <xf numFmtId="0" fontId="78" fillId="0" borderId="124" xfId="0" applyFont="1" applyBorder="1" applyAlignment="1">
      <alignment horizontal="left" vertical="top" wrapText="1"/>
    </xf>
    <xf numFmtId="0" fontId="78" fillId="0" borderId="125" xfId="0" applyFont="1" applyBorder="1" applyAlignment="1">
      <alignment horizontal="left" vertical="top" wrapText="1"/>
    </xf>
    <xf numFmtId="0" fontId="78" fillId="0" borderId="160" xfId="0" applyFont="1" applyBorder="1" applyAlignment="1">
      <alignment horizontal="left" vertical="top" wrapText="1"/>
    </xf>
    <xf numFmtId="0" fontId="2" fillId="25" borderId="154" xfId="0" applyFont="1" applyFill="1" applyBorder="1" applyAlignment="1" applyProtection="1">
      <alignment horizontal="left" vertical="top" wrapText="1"/>
      <protection locked="0"/>
    </xf>
    <xf numFmtId="0" fontId="2" fillId="25" borderId="155" xfId="0" applyFont="1" applyFill="1" applyBorder="1" applyAlignment="1" applyProtection="1">
      <alignment horizontal="left" vertical="top" wrapText="1"/>
      <protection locked="0"/>
    </xf>
    <xf numFmtId="0" fontId="2" fillId="25" borderId="156" xfId="0" applyFont="1" applyFill="1" applyBorder="1" applyAlignment="1" applyProtection="1">
      <alignment horizontal="left" vertical="top" wrapText="1"/>
      <protection locked="0"/>
    </xf>
    <xf numFmtId="0" fontId="2" fillId="22" borderId="168" xfId="0" applyFont="1" applyFill="1" applyBorder="1" applyAlignment="1" applyProtection="1">
      <alignment horizontal="center" vertical="top" wrapText="1"/>
      <protection locked="0"/>
    </xf>
    <xf numFmtId="0" fontId="2" fillId="22" borderId="169" xfId="0" applyFont="1" applyFill="1" applyBorder="1" applyAlignment="1" applyProtection="1">
      <alignment horizontal="center" vertical="top" wrapText="1"/>
      <protection locked="0"/>
    </xf>
    <xf numFmtId="0" fontId="2" fillId="22" borderId="170" xfId="0" applyFont="1" applyFill="1" applyBorder="1" applyAlignment="1" applyProtection="1">
      <alignment horizontal="center" vertical="top" wrapText="1"/>
      <protection locked="0"/>
    </xf>
    <xf numFmtId="0" fontId="59" fillId="26" borderId="134" xfId="0" applyFont="1" applyFill="1" applyBorder="1" applyAlignment="1">
      <alignment horizontal="center" vertical="center"/>
    </xf>
    <xf numFmtId="0" fontId="59" fillId="26" borderId="135" xfId="0" applyFont="1" applyFill="1" applyBorder="1" applyAlignment="1">
      <alignment horizontal="center" vertical="center"/>
    </xf>
    <xf numFmtId="0" fontId="59" fillId="26" borderId="136" xfId="0" applyFont="1" applyFill="1" applyBorder="1" applyAlignment="1">
      <alignment horizontal="center" vertical="center"/>
    </xf>
    <xf numFmtId="0" fontId="78" fillId="0" borderId="14" xfId="0" applyFont="1" applyBorder="1" applyAlignment="1">
      <alignment horizontal="left" vertical="top" wrapText="1"/>
    </xf>
    <xf numFmtId="0" fontId="78" fillId="0" borderId="137" xfId="0" applyFont="1" applyBorder="1" applyAlignment="1">
      <alignment horizontal="left" vertical="top" wrapText="1"/>
    </xf>
    <xf numFmtId="0" fontId="78" fillId="0" borderId="138" xfId="0" applyFont="1" applyBorder="1" applyAlignment="1">
      <alignment horizontal="left" vertical="top" wrapText="1"/>
    </xf>
    <xf numFmtId="0" fontId="78" fillId="0" borderId="139" xfId="0" applyFont="1" applyBorder="1" applyAlignment="1">
      <alignment horizontal="left" vertical="top" wrapText="1"/>
    </xf>
    <xf numFmtId="0" fontId="78" fillId="0" borderId="140" xfId="0" applyFont="1" applyBorder="1" applyAlignment="1">
      <alignment horizontal="left" vertical="top" wrapText="1"/>
    </xf>
    <xf numFmtId="49" fontId="2" fillId="26" borderId="141" xfId="0" applyNumberFormat="1" applyFont="1" applyFill="1" applyBorder="1" applyAlignment="1" applyProtection="1">
      <alignment horizontal="center" vertical="center"/>
      <protection locked="0"/>
    </xf>
    <xf numFmtId="49" fontId="2" fillId="26" borderId="14" xfId="0" applyNumberFormat="1" applyFont="1" applyFill="1" applyBorder="1" applyAlignment="1" applyProtection="1">
      <alignment horizontal="center" vertical="center"/>
      <protection locked="0"/>
    </xf>
    <xf numFmtId="49" fontId="2" fillId="26" borderId="137" xfId="0" applyNumberFormat="1" applyFont="1" applyFill="1" applyBorder="1" applyAlignment="1" applyProtection="1">
      <alignment horizontal="center" vertical="center"/>
      <protection locked="0"/>
    </xf>
    <xf numFmtId="0" fontId="76" fillId="0" borderId="0" xfId="0" applyFont="1" applyAlignment="1">
      <alignment horizontal="center"/>
    </xf>
    <xf numFmtId="0" fontId="76" fillId="0" borderId="142" xfId="0" applyFont="1" applyBorder="1" applyAlignment="1">
      <alignment horizontal="center"/>
    </xf>
    <xf numFmtId="49" fontId="2" fillId="26" borderId="143" xfId="0" applyNumberFormat="1" applyFont="1" applyFill="1" applyBorder="1" applyAlignment="1" applyProtection="1">
      <alignment horizontal="center" vertical="center"/>
      <protection locked="0"/>
    </xf>
    <xf numFmtId="49" fontId="2" fillId="26" borderId="144" xfId="0" applyNumberFormat="1" applyFont="1" applyFill="1" applyBorder="1" applyAlignment="1" applyProtection="1">
      <alignment horizontal="center" vertical="center"/>
      <protection locked="0"/>
    </xf>
    <xf numFmtId="49" fontId="2" fillId="26" borderId="145" xfId="0" applyNumberFormat="1" applyFont="1" applyFill="1" applyBorder="1" applyAlignment="1" applyProtection="1">
      <alignment horizontal="center" vertical="center"/>
      <protection locked="0"/>
    </xf>
    <xf numFmtId="0" fontId="76" fillId="0" borderId="164" xfId="0" applyFont="1" applyBorder="1" applyAlignment="1">
      <alignment horizontal="center"/>
    </xf>
    <xf numFmtId="0" fontId="2" fillId="25" borderId="165" xfId="0" applyFont="1" applyFill="1" applyBorder="1" applyAlignment="1" applyProtection="1">
      <alignment horizontal="left" vertical="top" wrapText="1"/>
      <protection locked="0"/>
    </xf>
    <xf numFmtId="0" fontId="2" fillId="25" borderId="166" xfId="0" applyFont="1" applyFill="1" applyBorder="1" applyAlignment="1" applyProtection="1">
      <alignment horizontal="left" vertical="top" wrapText="1"/>
      <protection locked="0"/>
    </xf>
    <xf numFmtId="0" fontId="2" fillId="25" borderId="167" xfId="0" applyFont="1" applyFill="1" applyBorder="1" applyAlignment="1" applyProtection="1">
      <alignment horizontal="left" vertical="top" wrapText="1"/>
      <protection locked="0"/>
    </xf>
    <xf numFmtId="0" fontId="78" fillId="0" borderId="126" xfId="0" applyFont="1" applyBorder="1" applyAlignment="1">
      <alignment horizontal="left" vertical="top" wrapText="1"/>
    </xf>
    <xf numFmtId="49" fontId="2" fillId="26" borderId="127" xfId="0" applyNumberFormat="1" applyFont="1" applyFill="1" applyBorder="1" applyAlignment="1" applyProtection="1">
      <alignment horizontal="center" vertical="center"/>
      <protection locked="0"/>
    </xf>
    <xf numFmtId="49" fontId="2" fillId="26" borderId="128" xfId="0" applyNumberFormat="1" applyFont="1" applyFill="1" applyBorder="1" applyAlignment="1" applyProtection="1">
      <alignment horizontal="center" vertical="center"/>
      <protection locked="0"/>
    </xf>
    <xf numFmtId="49" fontId="2" fillId="26" borderId="129" xfId="0" applyNumberFormat="1" applyFont="1" applyFill="1" applyBorder="1" applyAlignment="1" applyProtection="1">
      <alignment horizontal="center" vertical="center"/>
      <protection locked="0"/>
    </xf>
    <xf numFmtId="0" fontId="78" fillId="0" borderId="0" xfId="0" applyFont="1" applyAlignment="1">
      <alignment horizontal="left" vertical="top" wrapText="1"/>
    </xf>
    <xf numFmtId="0" fontId="78" fillId="0" borderId="130" xfId="0" applyFont="1" applyBorder="1" applyAlignment="1">
      <alignment horizontal="left" vertical="top" wrapText="1"/>
    </xf>
    <xf numFmtId="0" fontId="107" fillId="25" borderId="146" xfId="0" applyFont="1" applyFill="1" applyBorder="1" applyAlignment="1">
      <alignment horizontal="center" vertical="center"/>
    </xf>
    <xf numFmtId="0" fontId="107" fillId="25" borderId="147" xfId="0" applyFont="1" applyFill="1"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107" fillId="25" borderId="149" xfId="0" applyFont="1" applyFill="1" applyBorder="1" applyAlignment="1">
      <alignment horizontal="center" vertical="center"/>
    </xf>
    <xf numFmtId="0" fontId="107" fillId="25" borderId="150" xfId="0" applyFont="1" applyFill="1" applyBorder="1" applyAlignment="1">
      <alignment horizontal="center" vertical="center"/>
    </xf>
    <xf numFmtId="0" fontId="107" fillId="25" borderId="151" xfId="0" applyFont="1" applyFill="1" applyBorder="1" applyAlignment="1">
      <alignment horizontal="center" vertical="center"/>
    </xf>
    <xf numFmtId="0" fontId="78" fillId="0" borderId="157" xfId="0" applyFont="1" applyBorder="1" applyAlignment="1">
      <alignment horizontal="left" vertical="top" wrapText="1"/>
    </xf>
    <xf numFmtId="0" fontId="78" fillId="0" borderId="158" xfId="0" applyFont="1" applyBorder="1" applyAlignment="1">
      <alignment horizontal="left" vertical="top" wrapText="1"/>
    </xf>
    <xf numFmtId="0" fontId="78" fillId="0" borderId="159" xfId="0" applyFont="1" applyBorder="1" applyAlignment="1">
      <alignment horizontal="left" vertical="top" wrapText="1"/>
    </xf>
    <xf numFmtId="0" fontId="2" fillId="25" borderId="161" xfId="0" applyFont="1" applyFill="1" applyBorder="1" applyAlignment="1" applyProtection="1">
      <alignment horizontal="left" vertical="top" wrapText="1"/>
      <protection locked="0"/>
    </xf>
    <xf numFmtId="0" fontId="2" fillId="25" borderId="162" xfId="0" applyFont="1" applyFill="1" applyBorder="1" applyAlignment="1" applyProtection="1">
      <alignment horizontal="left" vertical="top" wrapText="1"/>
      <protection locked="0"/>
    </xf>
    <xf numFmtId="0" fontId="2" fillId="25" borderId="163" xfId="0" applyFont="1" applyFill="1" applyBorder="1" applyAlignment="1" applyProtection="1">
      <alignment horizontal="left" vertical="top" wrapText="1"/>
      <protection locked="0"/>
    </xf>
    <xf numFmtId="0" fontId="33" fillId="0" borderId="0" xfId="0" applyFont="1" applyAlignment="1">
      <alignment horizontal="center"/>
    </xf>
    <xf numFmtId="0" fontId="0" fillId="0" borderId="0" xfId="0" applyAlignment="1"/>
    <xf numFmtId="0" fontId="14" fillId="0" borderId="109" xfId="0" applyFont="1" applyBorder="1" applyAlignment="1"/>
    <xf numFmtId="0" fontId="0" fillId="0" borderId="38" xfId="0" applyBorder="1" applyAlignment="1"/>
  </cellXfs>
  <cellStyles count="174">
    <cellStyle name="???????????" xfId="92" xr:uid="{00000000-0005-0000-0000-000000000000}"/>
    <cellStyle name="????????????? ???????????" xfId="93" xr:uid="{00000000-0005-0000-0000-000001000000}"/>
    <cellStyle name="_TB_Calc_number" xfId="69" xr:uid="{00000000-0005-0000-0000-000002000000}"/>
    <cellStyle name="_TB_Calc_percent" xfId="70" xr:uid="{00000000-0005-0000-0000-000003000000}"/>
    <cellStyle name="_TB_def_number" xfId="71" xr:uid="{00000000-0005-0000-0000-000004000000}"/>
    <cellStyle name="_TB_def_percent" xfId="72" xr:uid="{00000000-0005-0000-0000-000005000000}"/>
    <cellStyle name="_TB_results1" xfId="89" xr:uid="{00000000-0005-0000-0000-000006000000}"/>
    <cellStyle name="_TB_subtitle2" xfId="73" xr:uid="{00000000-0005-0000-0000-000007000000}"/>
    <cellStyle name="_TB_textunprotect" xfId="90" xr:uid="{00000000-0005-0000-0000-000008000000}"/>
    <cellStyle name="_TB_years" xfId="91" xr:uid="{00000000-0005-0000-0000-000009000000}"/>
    <cellStyle name="20% - Accent1" xfId="1" xr:uid="{00000000-0005-0000-0000-00000A000000}"/>
    <cellStyle name="20% - Accent2" xfId="2" xr:uid="{00000000-0005-0000-0000-00000B000000}"/>
    <cellStyle name="20% - Accent3" xfId="3" xr:uid="{00000000-0005-0000-0000-00000C000000}"/>
    <cellStyle name="20% - Accent4" xfId="4" xr:uid="{00000000-0005-0000-0000-00000D000000}"/>
    <cellStyle name="20% - Accent5" xfId="5" xr:uid="{00000000-0005-0000-0000-00000E000000}"/>
    <cellStyle name="20% - Accent6" xfId="6" xr:uid="{00000000-0005-0000-0000-00000F000000}"/>
    <cellStyle name="20% - Акцент1 2" xfId="94" xr:uid="{00000000-0005-0000-0000-000010000000}"/>
    <cellStyle name="20% - Акцент2 2" xfId="95" xr:uid="{00000000-0005-0000-0000-000011000000}"/>
    <cellStyle name="20% - Акцент3 2" xfId="96" xr:uid="{00000000-0005-0000-0000-000012000000}"/>
    <cellStyle name="20% - Акцент4 2" xfId="97" xr:uid="{00000000-0005-0000-0000-000013000000}"/>
    <cellStyle name="20% - Акцент5 2" xfId="98" xr:uid="{00000000-0005-0000-0000-000014000000}"/>
    <cellStyle name="20% - Акцент6 2" xfId="99" xr:uid="{00000000-0005-0000-0000-000015000000}"/>
    <cellStyle name="40% - Accent1" xfId="7" xr:uid="{00000000-0005-0000-0000-000016000000}"/>
    <cellStyle name="40% - Accent2" xfId="8" xr:uid="{00000000-0005-0000-0000-000017000000}"/>
    <cellStyle name="40% - Accent3" xfId="9" xr:uid="{00000000-0005-0000-0000-000018000000}"/>
    <cellStyle name="40% - Accent4" xfId="10" xr:uid="{00000000-0005-0000-0000-000019000000}"/>
    <cellStyle name="40% - Accent5" xfId="11" xr:uid="{00000000-0005-0000-0000-00001A000000}"/>
    <cellStyle name="40% - Accent6" xfId="12" xr:uid="{00000000-0005-0000-0000-00001B000000}"/>
    <cellStyle name="40% - Акцент1 2" xfId="100" xr:uid="{00000000-0005-0000-0000-00001C000000}"/>
    <cellStyle name="40% - Акцент2 2" xfId="101" xr:uid="{00000000-0005-0000-0000-00001D000000}"/>
    <cellStyle name="40% - Акцент3 2" xfId="102" xr:uid="{00000000-0005-0000-0000-00001E000000}"/>
    <cellStyle name="40% - Акцент4 2" xfId="103" xr:uid="{00000000-0005-0000-0000-00001F000000}"/>
    <cellStyle name="40% - Акцент5 2" xfId="104" xr:uid="{00000000-0005-0000-0000-000020000000}"/>
    <cellStyle name="40% - Акцент6 2" xfId="105" xr:uid="{00000000-0005-0000-0000-000021000000}"/>
    <cellStyle name="60% - Accent1" xfId="13" xr:uid="{00000000-0005-0000-0000-000022000000}"/>
    <cellStyle name="60% - Accent2" xfId="14" xr:uid="{00000000-0005-0000-0000-000023000000}"/>
    <cellStyle name="60% - Accent3" xfId="15" xr:uid="{00000000-0005-0000-0000-000024000000}"/>
    <cellStyle name="60% - Accent4" xfId="16" xr:uid="{00000000-0005-0000-0000-000025000000}"/>
    <cellStyle name="60% - Accent5" xfId="17" xr:uid="{00000000-0005-0000-0000-000026000000}"/>
    <cellStyle name="60% - Accent6" xfId="18" xr:uid="{00000000-0005-0000-0000-000027000000}"/>
    <cellStyle name="60% - Акцент1 2" xfId="106" xr:uid="{00000000-0005-0000-0000-000028000000}"/>
    <cellStyle name="60% - Акцент2 2" xfId="107" xr:uid="{00000000-0005-0000-0000-000029000000}"/>
    <cellStyle name="60% - Акцент3 2" xfId="108" xr:uid="{00000000-0005-0000-0000-00002A000000}"/>
    <cellStyle name="60% - Акцент4 2" xfId="109" xr:uid="{00000000-0005-0000-0000-00002B000000}"/>
    <cellStyle name="60% - Акцент5 2" xfId="110" xr:uid="{00000000-0005-0000-0000-00002C000000}"/>
    <cellStyle name="60% - Акцент6 2" xfId="111" xr:uid="{00000000-0005-0000-0000-00002D000000}"/>
    <cellStyle name="Accent1" xfId="19" xr:uid="{00000000-0005-0000-0000-00002E000000}"/>
    <cellStyle name="Accent2" xfId="20" xr:uid="{00000000-0005-0000-0000-00002F000000}"/>
    <cellStyle name="Accent3" xfId="21" xr:uid="{00000000-0005-0000-0000-000030000000}"/>
    <cellStyle name="Accent4" xfId="22" xr:uid="{00000000-0005-0000-0000-000031000000}"/>
    <cellStyle name="Accent5" xfId="23" xr:uid="{00000000-0005-0000-0000-000032000000}"/>
    <cellStyle name="Accent6" xfId="24" xr:uid="{00000000-0005-0000-0000-000033000000}"/>
    <cellStyle name="Activity" xfId="173" xr:uid="{00000000-0005-0000-0000-000034000000}"/>
    <cellStyle name="Ãèïåðññûëêà" xfId="112" xr:uid="{00000000-0005-0000-0000-000035000000}"/>
    <cellStyle name="Bad" xfId="25" xr:uid="{00000000-0005-0000-0000-000036000000}"/>
    <cellStyle name="Calculation" xfId="26" xr:uid="{00000000-0005-0000-0000-000037000000}"/>
    <cellStyle name="Check Cell" xfId="27" xr:uid="{00000000-0005-0000-0000-000038000000}"/>
    <cellStyle name="Comma" xfId="62" builtinId="3"/>
    <cellStyle name="Comma 2" xfId="82" xr:uid="{00000000-0005-0000-0000-000039000000}"/>
    <cellStyle name="Comma 2 2" xfId="68" xr:uid="{00000000-0005-0000-0000-00003A000000}"/>
    <cellStyle name="Comma 2 3" xfId="85" xr:uid="{00000000-0005-0000-0000-00003B000000}"/>
    <cellStyle name="Comma 3" xfId="87" xr:uid="{00000000-0005-0000-0000-00003C000000}"/>
    <cellStyle name="Comma 4" xfId="113" xr:uid="{00000000-0005-0000-0000-00003D000000}"/>
    <cellStyle name="Comma 5" xfId="114" xr:uid="{00000000-0005-0000-0000-00003E000000}"/>
    <cellStyle name="Euro" xfId="28" xr:uid="{00000000-0005-0000-0000-00003F000000}"/>
    <cellStyle name="Euro 2" xfId="115" xr:uid="{00000000-0005-0000-0000-000040000000}"/>
    <cellStyle name="Explanatory Text" xfId="29" xr:uid="{00000000-0005-0000-0000-000041000000}"/>
    <cellStyle name="Good" xfId="30" xr:uid="{00000000-0005-0000-0000-000042000000}"/>
    <cellStyle name="Heading 1" xfId="31" xr:uid="{00000000-0005-0000-0000-000043000000}"/>
    <cellStyle name="Heading 2" xfId="32" xr:uid="{00000000-0005-0000-0000-000044000000}"/>
    <cellStyle name="Heading 3" xfId="33" xr:uid="{00000000-0005-0000-0000-000045000000}"/>
    <cellStyle name="Heading 4" xfId="34" xr:uid="{00000000-0005-0000-0000-000046000000}"/>
    <cellStyle name="Hyperlink 2" xfId="74" xr:uid="{00000000-0005-0000-0000-000047000000}"/>
    <cellStyle name="Hyperlink 3" xfId="116" xr:uid="{00000000-0005-0000-0000-000048000000}"/>
    <cellStyle name="info" xfId="117" xr:uid="{00000000-0005-0000-0000-000049000000}"/>
    <cellStyle name="Input" xfId="35" xr:uid="{00000000-0005-0000-0000-00004A000000}"/>
    <cellStyle name="Îòêðûâàâøàÿñÿ ãèïåðññûëêà" xfId="118" xr:uid="{00000000-0005-0000-0000-00004B000000}"/>
    <cellStyle name="Linked Cell" xfId="36" xr:uid="{00000000-0005-0000-0000-00004C000000}"/>
    <cellStyle name="ListData" xfId="119" xr:uid="{00000000-0005-0000-0000-00004D000000}"/>
    <cellStyle name="Millares 2" xfId="37" xr:uid="{00000000-0005-0000-0000-00004E000000}"/>
    <cellStyle name="Normal" xfId="0" builtinId="0"/>
    <cellStyle name="Normal 10" xfId="120" xr:uid="{00000000-0005-0000-0000-00004F000000}"/>
    <cellStyle name="Normal 11" xfId="121" xr:uid="{00000000-0005-0000-0000-000050000000}"/>
    <cellStyle name="Normal 12" xfId="172" xr:uid="{00000000-0005-0000-0000-000051000000}"/>
    <cellStyle name="Normal 2" xfId="38" xr:uid="{00000000-0005-0000-0000-000052000000}"/>
    <cellStyle name="Normal 2 2" xfId="39" xr:uid="{00000000-0005-0000-0000-000053000000}"/>
    <cellStyle name="Normal 2 2 2" xfId="84" xr:uid="{00000000-0005-0000-0000-000054000000}"/>
    <cellStyle name="Normal 2 3" xfId="40" xr:uid="{00000000-0005-0000-0000-000055000000}"/>
    <cellStyle name="Normal 2 4" xfId="41" xr:uid="{00000000-0005-0000-0000-000056000000}"/>
    <cellStyle name="Normal 2 5" xfId="42" xr:uid="{00000000-0005-0000-0000-000057000000}"/>
    <cellStyle name="Normal 2 6" xfId="43" xr:uid="{00000000-0005-0000-0000-000058000000}"/>
    <cellStyle name="Normal 2 7" xfId="44" xr:uid="{00000000-0005-0000-0000-000059000000}"/>
    <cellStyle name="Normal 2 8" xfId="45" xr:uid="{00000000-0005-0000-0000-00005A000000}"/>
    <cellStyle name="Normal 2 9" xfId="65" xr:uid="{00000000-0005-0000-0000-00005B000000}"/>
    <cellStyle name="Normal 2_Dashboard ver 2.2 ES" xfId="46" xr:uid="{00000000-0005-0000-0000-00005C000000}"/>
    <cellStyle name="Normal 2_Prototipo" xfId="47" xr:uid="{00000000-0005-0000-0000-00005D000000}"/>
    <cellStyle name="Normal 3" xfId="48" xr:uid="{00000000-0005-0000-0000-00005E000000}"/>
    <cellStyle name="Normal 3 2" xfId="75" xr:uid="{00000000-0005-0000-0000-00005F000000}"/>
    <cellStyle name="Normal 4" xfId="49" xr:uid="{00000000-0005-0000-0000-000060000000}"/>
    <cellStyle name="Normal 4 2" xfId="76" xr:uid="{00000000-0005-0000-0000-000061000000}"/>
    <cellStyle name="Normal 5" xfId="50" xr:uid="{00000000-0005-0000-0000-000062000000}"/>
    <cellStyle name="Normal 5 2" xfId="78" xr:uid="{00000000-0005-0000-0000-000063000000}"/>
    <cellStyle name="Normal 5 3" xfId="77" xr:uid="{00000000-0005-0000-0000-000064000000}"/>
    <cellStyle name="Normal 6" xfId="51" xr:uid="{00000000-0005-0000-0000-000065000000}"/>
    <cellStyle name="Normal 6 2" xfId="79" xr:uid="{00000000-0005-0000-0000-000066000000}"/>
    <cellStyle name="Normal 7" xfId="64" xr:uid="{00000000-0005-0000-0000-000067000000}"/>
    <cellStyle name="Normal 7 2" xfId="122" xr:uid="{00000000-0005-0000-0000-000068000000}"/>
    <cellStyle name="Normal 8" xfId="123" xr:uid="{00000000-0005-0000-0000-000069000000}"/>
    <cellStyle name="Normal 8 2" xfId="124" xr:uid="{00000000-0005-0000-0000-00006A000000}"/>
    <cellStyle name="Normal 9" xfId="125" xr:uid="{00000000-0005-0000-0000-00006B000000}"/>
    <cellStyle name="Normal_TZ_R3HIV_Phase_2_21_August_08" xfId="52" xr:uid="{00000000-0005-0000-0000-00006C000000}"/>
    <cellStyle name="Note" xfId="53" xr:uid="{00000000-0005-0000-0000-00006D000000}"/>
    <cellStyle name="Output" xfId="54" xr:uid="{00000000-0005-0000-0000-00006E000000}"/>
    <cellStyle name="Per cent" xfId="61" builtinId="5"/>
    <cellStyle name="Percent 2" xfId="66" xr:uid="{00000000-0005-0000-0000-00006F000000}"/>
    <cellStyle name="Percent 3" xfId="67" xr:uid="{00000000-0005-0000-0000-000070000000}"/>
    <cellStyle name="Percent 4" xfId="88" xr:uid="{00000000-0005-0000-0000-000071000000}"/>
    <cellStyle name="Percent 5" xfId="126" xr:uid="{00000000-0005-0000-0000-000072000000}"/>
    <cellStyle name="Percent 6" xfId="127" xr:uid="{00000000-0005-0000-0000-000073000000}"/>
    <cellStyle name="Percent 7" xfId="128" xr:uid="{00000000-0005-0000-0000-000074000000}"/>
    <cellStyle name="Percent 8" xfId="129" xr:uid="{00000000-0005-0000-0000-000075000000}"/>
    <cellStyle name="SheetHeader" xfId="130" xr:uid="{00000000-0005-0000-0000-000076000000}"/>
    <cellStyle name="TableHeader" xfId="131" xr:uid="{00000000-0005-0000-0000-000077000000}"/>
    <cellStyle name="Title" xfId="55" xr:uid="{00000000-0005-0000-0000-000078000000}"/>
    <cellStyle name="Título 3 3" xfId="56" xr:uid="{00000000-0005-0000-0000-000079000000}"/>
    <cellStyle name="Título 3 3_Prototipo" xfId="57" xr:uid="{00000000-0005-0000-0000-00007A000000}"/>
    <cellStyle name="Título 3 3_PrototipoRep1" xfId="58" xr:uid="{00000000-0005-0000-0000-00007B000000}"/>
    <cellStyle name="Título 3 7" xfId="59" xr:uid="{00000000-0005-0000-0000-00007C000000}"/>
    <cellStyle name="Warning Text" xfId="60" xr:uid="{00000000-0005-0000-0000-00007D000000}"/>
    <cellStyle name="Акцент1 2" xfId="132" xr:uid="{00000000-0005-0000-0000-00007E000000}"/>
    <cellStyle name="Акцент2 2" xfId="133" xr:uid="{00000000-0005-0000-0000-00007F000000}"/>
    <cellStyle name="Акцент3 2" xfId="134" xr:uid="{00000000-0005-0000-0000-000080000000}"/>
    <cellStyle name="Акцент4 2" xfId="135" xr:uid="{00000000-0005-0000-0000-000081000000}"/>
    <cellStyle name="Акцент5 2" xfId="136" xr:uid="{00000000-0005-0000-0000-000082000000}"/>
    <cellStyle name="Акцент6 2" xfId="137" xr:uid="{00000000-0005-0000-0000-000083000000}"/>
    <cellStyle name="Ввод  2" xfId="138" xr:uid="{00000000-0005-0000-0000-000084000000}"/>
    <cellStyle name="Вывод 2" xfId="139" xr:uid="{00000000-0005-0000-0000-000085000000}"/>
    <cellStyle name="Вычисление 2" xfId="140" xr:uid="{00000000-0005-0000-0000-000086000000}"/>
    <cellStyle name="Гиперссылка 2" xfId="141" xr:uid="{00000000-0005-0000-0000-000087000000}"/>
    <cellStyle name="Гиперссылка 3" xfId="142" xr:uid="{00000000-0005-0000-0000-000088000000}"/>
    <cellStyle name="Заголовок 1 2" xfId="143" xr:uid="{00000000-0005-0000-0000-000089000000}"/>
    <cellStyle name="Заголовок 2 2" xfId="144" xr:uid="{00000000-0005-0000-0000-00008A000000}"/>
    <cellStyle name="Заголовок 3 2" xfId="145" xr:uid="{00000000-0005-0000-0000-00008B000000}"/>
    <cellStyle name="Заголовок 4 2" xfId="146" xr:uid="{00000000-0005-0000-0000-00008C000000}"/>
    <cellStyle name="Итог 2" xfId="147" xr:uid="{00000000-0005-0000-0000-00008D000000}"/>
    <cellStyle name="Контрольная ячейка 2" xfId="148" xr:uid="{00000000-0005-0000-0000-00008E000000}"/>
    <cellStyle name="Название 2" xfId="149" xr:uid="{00000000-0005-0000-0000-00008F000000}"/>
    <cellStyle name="Нейтральный 2" xfId="150" xr:uid="{00000000-0005-0000-0000-000090000000}"/>
    <cellStyle name="Обычный 2" xfId="80" xr:uid="{00000000-0005-0000-0000-000092000000}"/>
    <cellStyle name="Обычный 2 2" xfId="151" xr:uid="{00000000-0005-0000-0000-000093000000}"/>
    <cellStyle name="Обычный 2 3" xfId="152" xr:uid="{00000000-0005-0000-0000-000094000000}"/>
    <cellStyle name="Обычный 3" xfId="81" xr:uid="{00000000-0005-0000-0000-000095000000}"/>
    <cellStyle name="Обычный 4" xfId="153" xr:uid="{00000000-0005-0000-0000-000096000000}"/>
    <cellStyle name="Обычный 4 2" xfId="154" xr:uid="{00000000-0005-0000-0000-000097000000}"/>
    <cellStyle name="Обычный 4_KGZ Rnd 7 budget HIV" xfId="155" xr:uid="{00000000-0005-0000-0000-000098000000}"/>
    <cellStyle name="Обычный 5" xfId="156" xr:uid="{00000000-0005-0000-0000-000099000000}"/>
    <cellStyle name="Обычный 6" xfId="157" xr:uid="{00000000-0005-0000-0000-00009A000000}"/>
    <cellStyle name="Обычный 7" xfId="63" xr:uid="{00000000-0005-0000-0000-00009B000000}"/>
    <cellStyle name="Плохой 2" xfId="158" xr:uid="{00000000-0005-0000-0000-00009C000000}"/>
    <cellStyle name="Пояснение 2" xfId="159" xr:uid="{00000000-0005-0000-0000-00009D000000}"/>
    <cellStyle name="Примечание 2" xfId="160" xr:uid="{00000000-0005-0000-0000-00009E000000}"/>
    <cellStyle name="Процентный 2" xfId="161" xr:uid="{00000000-0005-0000-0000-0000A0000000}"/>
    <cellStyle name="Процентный 3" xfId="83" xr:uid="{00000000-0005-0000-0000-0000A1000000}"/>
    <cellStyle name="Связанная ячейка 2" xfId="162" xr:uid="{00000000-0005-0000-0000-0000A2000000}"/>
    <cellStyle name="Текст предупреждения 2" xfId="163" xr:uid="{00000000-0005-0000-0000-0000A3000000}"/>
    <cellStyle name="Финансовый 2" xfId="164" xr:uid="{00000000-0005-0000-0000-0000A5000000}"/>
    <cellStyle name="Финансовый 2 2" xfId="165" xr:uid="{00000000-0005-0000-0000-0000A6000000}"/>
    <cellStyle name="Финансовый 3" xfId="166" xr:uid="{00000000-0005-0000-0000-0000A7000000}"/>
    <cellStyle name="Финансовый 4" xfId="167" xr:uid="{00000000-0005-0000-0000-0000A8000000}"/>
    <cellStyle name="Финансовый 5" xfId="168" xr:uid="{00000000-0005-0000-0000-0000A9000000}"/>
    <cellStyle name="Финансовый 6" xfId="169" xr:uid="{00000000-0005-0000-0000-0000AA000000}"/>
    <cellStyle name="Финансовый 7" xfId="86" xr:uid="{00000000-0005-0000-0000-0000AB000000}"/>
    <cellStyle name="Хороший 2" xfId="171" xr:uid="{00000000-0005-0000-0000-0000AC000000}"/>
    <cellStyle name="Хороший 3" xfId="170" xr:uid="{00000000-0005-0000-0000-0000AD000000}"/>
  </cellStyles>
  <dxfs count="47">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rgb="FFFF0000"/>
        </patternFill>
      </fill>
    </dxf>
    <dxf>
      <fill>
        <patternFill>
          <bgColor rgb="FFFFFF00"/>
        </patternFill>
      </fill>
    </dxf>
    <dxf>
      <fill>
        <patternFill>
          <bgColor rgb="FF00FF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rgb="FF99FF33"/>
        </patternFill>
      </fill>
    </dxf>
    <dxf>
      <fill>
        <patternFill>
          <bgColor rgb="FFFF505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8"/>
        </patternFill>
      </fill>
    </dxf>
    <dxf>
      <font>
        <condense val="0"/>
        <extend val="0"/>
        <color indexed="9"/>
      </font>
      <fill>
        <patternFill>
          <bgColor indexed="8"/>
        </patternFill>
      </fill>
    </dxf>
    <dxf>
      <fill>
        <patternFill>
          <bgColor rgb="FF66FF33"/>
        </patternFill>
      </fill>
    </dxf>
    <dxf>
      <fill>
        <patternFill>
          <bgColor indexed="42"/>
        </patternFill>
      </fill>
    </dxf>
    <dxf>
      <fill>
        <patternFill>
          <bgColor indexed="42"/>
        </patternFill>
      </fill>
    </dxf>
    <dxf>
      <font>
        <condense val="0"/>
        <extend val="0"/>
        <color indexed="9"/>
      </font>
      <fill>
        <patternFill>
          <bgColor indexed="63"/>
        </patternFill>
      </fill>
    </dxf>
    <dxf>
      <fill>
        <patternFill>
          <bgColor indexed="42"/>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1305"/>
        </c:manualLayout>
      </c:layout>
      <c:barChart>
        <c:barDir val="col"/>
        <c:grouping val="clustered"/>
        <c:varyColors val="0"/>
        <c:ser>
          <c:idx val="0"/>
          <c:order val="0"/>
          <c:tx>
            <c:strRef>
              <c:f>'Ввод данных'!$A$33</c:f>
              <c:strCache>
                <c:ptCount val="1"/>
                <c:pt idx="0">
                  <c:v>Общий бюджет</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'Ввод данных'!$B$33:$M$33</c:f>
              <c:numCache>
                <c:formatCode>#,##0</c:formatCode>
                <c:ptCount val="12"/>
                <c:pt idx="0">
                  <c:v>10781955</c:v>
                </c:pt>
                <c:pt idx="1">
                  <c:v>21174110.819120947</c:v>
                </c:pt>
              </c:numCache>
            </c:numRef>
          </c:val>
          <c:extLst>
            <c:ext xmlns:c16="http://schemas.microsoft.com/office/drawing/2014/chart" uri="{C3380CC4-5D6E-409C-BE32-E72D297353CC}">
              <c16:uniqueId val="{00000000-0A43-47EE-8EF9-5704D8A78677}"/>
            </c:ext>
          </c:extLst>
        </c:ser>
        <c:ser>
          <c:idx val="1"/>
          <c:order val="1"/>
          <c:tx>
            <c:strRef>
              <c:f>'Ввод данных'!$A$34</c:f>
              <c:strCache>
                <c:ptCount val="1"/>
                <c:pt idx="0">
                  <c:v>Общая сумма выплат</c:v>
                </c:pt>
              </c:strCache>
            </c:strRef>
          </c:tx>
          <c:spPr>
            <a:solidFill>
              <a:srgbClr val="0070C0"/>
            </a:solidFill>
            <a:ln w="3175">
              <a:solidFill>
                <a:srgbClr val="000000"/>
              </a:solidFill>
              <a:prstDash val="solid"/>
            </a:ln>
            <a:effectLst>
              <a:outerShdw blurRad="50800" dist="50800" dir="5400000" algn="ctr" rotWithShape="0">
                <a:schemeClr val="tx1"/>
              </a:outerShdw>
            </a:effectLst>
          </c:spPr>
          <c:invertIfNegative val="0"/>
          <c:val>
            <c:numRef>
              <c:f>'Ввод данных'!$B$34:$M$34</c:f>
              <c:numCache>
                <c:formatCode>#,##0</c:formatCode>
                <c:ptCount val="12"/>
                <c:pt idx="0">
                  <c:v>18761018</c:v>
                </c:pt>
                <c:pt idx="1">
                  <c:v>21957907.009999998</c:v>
                </c:pt>
              </c:numCache>
            </c:numRef>
          </c:val>
          <c:extLst>
            <c:ext xmlns:c16="http://schemas.microsoft.com/office/drawing/2014/chart" uri="{C3380CC4-5D6E-409C-BE32-E72D297353CC}">
              <c16:uniqueId val="{00000001-0A43-47EE-8EF9-5704D8A78677}"/>
            </c:ext>
          </c:extLst>
        </c:ser>
        <c:dLbls>
          <c:showLegendKey val="0"/>
          <c:showVal val="0"/>
          <c:showCatName val="0"/>
          <c:showSerName val="0"/>
          <c:showPercent val="0"/>
          <c:showBubbleSize val="0"/>
        </c:dLbls>
        <c:gapWidth val="70"/>
        <c:axId val="1388296480"/>
        <c:axId val="1388287232"/>
      </c:barChart>
      <c:catAx>
        <c:axId val="138829648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ru-RU"/>
                  <a:t>Отчетный период</a:t>
                </a:r>
              </a:p>
            </c:rich>
          </c:tx>
          <c:layout>
            <c:manualLayout>
              <c:xMode val="edge"/>
              <c:yMode val="edge"/>
              <c:x val="0.48066291713535836"/>
              <c:y val="0.78695641210787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388287232"/>
        <c:crosses val="autoZero"/>
        <c:auto val="1"/>
        <c:lblAlgn val="ctr"/>
        <c:lblOffset val="100"/>
        <c:tickLblSkip val="1"/>
        <c:tickMarkSkip val="1"/>
        <c:noMultiLvlLbl val="0"/>
      </c:catAx>
      <c:valAx>
        <c:axId val="13882872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38829648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9.0909090909091023E-2"/>
          <c:y val="0.88209606986899558"/>
          <c:w val="0.84415584415584444"/>
          <c:h val="0.10480349344978168"/>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85501950377748"/>
          <c:y val="8.7064591064048028E-2"/>
          <c:w val="0.60327318841303279"/>
          <c:h val="0.55248767828383549"/>
        </c:manualLayout>
      </c:layout>
      <c:barChart>
        <c:barDir val="bar"/>
        <c:grouping val="percentStacked"/>
        <c:varyColors val="0"/>
        <c:ser>
          <c:idx val="1"/>
          <c:order val="0"/>
          <c:tx>
            <c:v>Получено</c:v>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0EC-4E35-BA7D-5D43EEA8A9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'Ввод данных'!$A$110:$A$114</c:f>
              <c:strCache>
                <c:ptCount val="5"/>
                <c:pt idx="1">
                  <c:v>Отчеты ССР для СР ВИЧ/СПИД</c:v>
                </c:pt>
                <c:pt idx="2">
                  <c:v>Отчеты СР для ОР ВИЧ СПИД</c:v>
                </c:pt>
                <c:pt idx="3">
                  <c:v>Отчеты ССР для СР ТБ</c:v>
                </c:pt>
                <c:pt idx="4">
                  <c:v>Отчеты СР для ОР ТБ</c:v>
                </c:pt>
              </c:strCache>
            </c:strRef>
          </c:cat>
          <c:val>
            <c:numRef>
              <c:f>'Ввод данных'!$C$110:$C$114</c:f>
              <c:numCache>
                <c:formatCode>0</c:formatCode>
                <c:ptCount val="5"/>
                <c:pt idx="0" formatCode="General">
                  <c:v>0</c:v>
                </c:pt>
                <c:pt idx="1">
                  <c:v>0</c:v>
                </c:pt>
                <c:pt idx="2">
                  <c:v>35</c:v>
                </c:pt>
                <c:pt idx="4">
                  <c:v>7</c:v>
                </c:pt>
              </c:numCache>
            </c:numRef>
          </c:val>
          <c:extLst>
            <c:ext xmlns:c16="http://schemas.microsoft.com/office/drawing/2014/chart" uri="{C3380CC4-5D6E-409C-BE32-E72D297353CC}">
              <c16:uniqueId val="{00000001-10EC-4E35-BA7D-5D43EEA8A97D}"/>
            </c:ext>
          </c:extLst>
        </c:ser>
        <c:ser>
          <c:idx val="2"/>
          <c:order val="1"/>
          <c:tx>
            <c:v>Ожидаемых к получению</c:v>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0EC-4E35-BA7D-5D43EEA8A9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'Ввод данных'!$A$110:$A$114</c:f>
              <c:strCache>
                <c:ptCount val="5"/>
                <c:pt idx="1">
                  <c:v>Отчеты ССР для СР ВИЧ/СПИД</c:v>
                </c:pt>
                <c:pt idx="2">
                  <c:v>Отчеты СР для ОР ВИЧ СПИД</c:v>
                </c:pt>
                <c:pt idx="3">
                  <c:v>Отчеты ССР для СР ТБ</c:v>
                </c:pt>
                <c:pt idx="4">
                  <c:v>Отчеты СР для ОР ТБ</c:v>
                </c:pt>
              </c:strCache>
            </c:strRef>
          </c:cat>
          <c:val>
            <c:numRef>
              <c:f>'Ввод данных'!$D$110:$D$114</c:f>
              <c:numCache>
                <c:formatCode>0</c:formatCode>
                <c:ptCount val="5"/>
                <c:pt idx="0" formatCode="General">
                  <c:v>0</c:v>
                </c:pt>
                <c:pt idx="1">
                  <c:v>0</c:v>
                </c:pt>
                <c:pt idx="2">
                  <c:v>0</c:v>
                </c:pt>
                <c:pt idx="3">
                  <c:v>0</c:v>
                </c:pt>
                <c:pt idx="4">
                  <c:v>0</c:v>
                </c:pt>
              </c:numCache>
            </c:numRef>
          </c:val>
          <c:extLst>
            <c:ext xmlns:c16="http://schemas.microsoft.com/office/drawing/2014/chart" uri="{C3380CC4-5D6E-409C-BE32-E72D297353CC}">
              <c16:uniqueId val="{00000003-10EC-4E35-BA7D-5D43EEA8A97D}"/>
            </c:ext>
          </c:extLst>
        </c:ser>
        <c:dLbls>
          <c:showLegendKey val="0"/>
          <c:showVal val="0"/>
          <c:showCatName val="0"/>
          <c:showSerName val="0"/>
          <c:showPercent val="0"/>
          <c:showBubbleSize val="0"/>
        </c:dLbls>
        <c:gapWidth val="150"/>
        <c:overlap val="100"/>
        <c:axId val="1388293216"/>
        <c:axId val="1388288320"/>
      </c:barChart>
      <c:catAx>
        <c:axId val="138829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88320"/>
        <c:crosses val="autoZero"/>
        <c:auto val="1"/>
        <c:lblAlgn val="ctr"/>
        <c:lblOffset val="100"/>
        <c:noMultiLvlLbl val="0"/>
      </c:catAx>
      <c:valAx>
        <c:axId val="13882883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93216"/>
        <c:crosses val="max"/>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29364558711928962"/>
          <c:y val="0.80823145428488985"/>
          <c:w val="0.45690772078904501"/>
          <c:h val="0.104651844154626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1" l="0.75000000000000033" r="0.75000000000000033"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0-9E67-4D7D-BE0E-C99C3E701244}"/>
            </c:ext>
          </c:extLst>
        </c:ser>
        <c:ser>
          <c:idx val="1"/>
          <c:order val="1"/>
          <c:tx>
            <c:strRef>
              <c:f>'Ввод данных'!$C$88</c:f>
              <c:strCache>
                <c:ptCount val="1"/>
                <c:pt idx="0">
                  <c:v>Выполненные</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Ref>
              <c:f>'Ввод данных'!$C$89:$C$92</c:f>
              <c:numCache>
                <c:formatCode>0</c:formatCode>
                <c:ptCount val="4"/>
                <c:pt idx="0">
                  <c:v>0</c:v>
                </c:pt>
                <c:pt idx="1">
                  <c:v>0</c:v>
                </c:pt>
                <c:pt idx="2">
                  <c:v>0</c:v>
                </c:pt>
                <c:pt idx="3">
                  <c:v>0</c:v>
                </c:pt>
              </c:numCache>
            </c:numRef>
          </c:val>
          <c:extLst>
            <c:ext xmlns:c16="http://schemas.microsoft.com/office/drawing/2014/chart" uri="{C3380CC4-5D6E-409C-BE32-E72D297353CC}">
              <c16:uniqueId val="{00000001-9E67-4D7D-BE0E-C99C3E701244}"/>
            </c:ext>
          </c:extLst>
        </c:ser>
        <c:ser>
          <c:idx val="2"/>
          <c:order val="2"/>
          <c:tx>
            <c:strRef>
              <c:f>'Ввод данных'!$D$88</c:f>
              <c:strCache>
                <c:ptCount val="1"/>
                <c:pt idx="0">
                  <c:v>Невыполненные, но непросроченные</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Ref>
              <c:f>'Ввод данных'!$D$89:$D$92</c:f>
              <c:numCache>
                <c:formatCode>0</c:formatCode>
                <c:ptCount val="4"/>
                <c:pt idx="0">
                  <c:v>0</c:v>
                </c:pt>
                <c:pt idx="1">
                  <c:v>0</c:v>
                </c:pt>
                <c:pt idx="2">
                  <c:v>0</c:v>
                </c:pt>
                <c:pt idx="3">
                  <c:v>0</c:v>
                </c:pt>
              </c:numCache>
            </c:numRef>
          </c:val>
          <c:extLst>
            <c:ext xmlns:c16="http://schemas.microsoft.com/office/drawing/2014/chart" uri="{C3380CC4-5D6E-409C-BE32-E72D297353CC}">
              <c16:uniqueId val="{00000002-9E67-4D7D-BE0E-C99C3E701244}"/>
            </c:ext>
          </c:extLst>
        </c:ser>
        <c:ser>
          <c:idx val="3"/>
          <c:order val="3"/>
          <c:tx>
            <c:v>Невыполненные и просроченные</c:v>
          </c:tx>
          <c:spPr>
            <a:solidFill>
              <a:schemeClr val="accent1">
                <a:lumMod val="60000"/>
              </a:schemeClr>
            </a:solidFill>
            <a:ln>
              <a:noFill/>
            </a:ln>
            <a:effectLst/>
          </c:spPr>
          <c:invertIfNegative val="0"/>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3-9E67-4D7D-BE0E-C99C3E701244}"/>
            </c:ext>
          </c:extLst>
        </c:ser>
        <c:dLbls>
          <c:showLegendKey val="0"/>
          <c:showVal val="0"/>
          <c:showCatName val="0"/>
          <c:showSerName val="0"/>
          <c:showPercent val="0"/>
          <c:showBubbleSize val="0"/>
        </c:dLbls>
        <c:gapWidth val="55"/>
        <c:overlap val="100"/>
        <c:axId val="1511067088"/>
        <c:axId val="1511068720"/>
      </c:barChart>
      <c:catAx>
        <c:axId val="1511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8720"/>
        <c:crosses val="autoZero"/>
        <c:auto val="1"/>
        <c:lblAlgn val="ctr"/>
        <c:lblOffset val="100"/>
        <c:tickLblSkip val="1"/>
        <c:tickMarkSkip val="1"/>
        <c:noMultiLvlLbl val="0"/>
      </c:catAx>
      <c:valAx>
        <c:axId val="151106872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11067088"/>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'Ввод данных'!$A$98</c:f>
              <c:strCache>
                <c:ptCount val="1"/>
                <c:pt idx="0">
                  <c:v>ВИЧ/СПИД</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данных'!$B$104:$F$104</c:f>
              <c:strCache>
                <c:ptCount val="5"/>
                <c:pt idx="0">
                  <c:v>Определеные</c:v>
                </c:pt>
                <c:pt idx="1">
                  <c:v>Прошедшие оценку</c:v>
                </c:pt>
                <c:pt idx="2">
                  <c:v>Одобренные</c:v>
                </c:pt>
                <c:pt idx="3">
                  <c:v>Подписавшие соглашение</c:v>
                </c:pt>
                <c:pt idx="4">
                  <c:v>Получающие финансирование</c:v>
                </c:pt>
              </c:strCache>
            </c:strRef>
          </c:cat>
          <c:val>
            <c:numRef>
              <c:f>'Ввод данных'!$B$105:$F$105</c:f>
              <c:numCache>
                <c:formatCode>General</c:formatCode>
                <c:ptCount val="5"/>
                <c:pt idx="0">
                  <c:v>22</c:v>
                </c:pt>
                <c:pt idx="1">
                  <c:v>22</c:v>
                </c:pt>
                <c:pt idx="2">
                  <c:v>22</c:v>
                </c:pt>
                <c:pt idx="3">
                  <c:v>22</c:v>
                </c:pt>
                <c:pt idx="4">
                  <c:v>22</c:v>
                </c:pt>
              </c:numCache>
            </c:numRef>
          </c:val>
          <c:extLst>
            <c:ext xmlns:c16="http://schemas.microsoft.com/office/drawing/2014/chart" uri="{C3380CC4-5D6E-409C-BE32-E72D297353CC}">
              <c16:uniqueId val="{00000000-3C2F-4B91-B11C-0BA014ED291D}"/>
            </c:ext>
          </c:extLst>
        </c:ser>
        <c:ser>
          <c:idx val="1"/>
          <c:order val="1"/>
          <c:tx>
            <c:strRef>
              <c:f>'Ввод данных'!$A$100</c:f>
              <c:strCache>
                <c:ptCount val="1"/>
                <c:pt idx="0">
                  <c:v>Общее (оба компонента)</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данных'!$B$104:$F$104</c:f>
              <c:strCache>
                <c:ptCount val="5"/>
                <c:pt idx="0">
                  <c:v>Определеные</c:v>
                </c:pt>
                <c:pt idx="1">
                  <c:v>Прошедшие оценку</c:v>
                </c:pt>
                <c:pt idx="2">
                  <c:v>Одобренные</c:v>
                </c:pt>
                <c:pt idx="3">
                  <c:v>Подписавшие соглашение</c:v>
                </c:pt>
                <c:pt idx="4">
                  <c:v>Получающие финансирование</c:v>
                </c:pt>
              </c:strCache>
            </c:strRef>
          </c:cat>
          <c:val>
            <c:numRef>
              <c:f>'Ввод данных'!$B$106:$F$106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C2F-4B91-B11C-0BA014ED291D}"/>
            </c:ext>
          </c:extLst>
        </c:ser>
        <c:dLbls>
          <c:showLegendKey val="0"/>
          <c:showVal val="1"/>
          <c:showCatName val="0"/>
          <c:showSerName val="0"/>
          <c:showPercent val="0"/>
          <c:showBubbleSize val="0"/>
        </c:dLbls>
        <c:gapWidth val="150"/>
        <c:overlap val="-25"/>
        <c:axId val="1511067632"/>
        <c:axId val="1511058928"/>
      </c:barChart>
      <c:catAx>
        <c:axId val="151106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8928"/>
        <c:crosses val="autoZero"/>
        <c:auto val="1"/>
        <c:lblAlgn val="ctr"/>
        <c:lblOffset val="100"/>
        <c:noMultiLvlLbl val="0"/>
      </c:catAx>
      <c:valAx>
        <c:axId val="1511058928"/>
        <c:scaling>
          <c:orientation val="minMax"/>
        </c:scaling>
        <c:delete val="1"/>
        <c:axPos val="l"/>
        <c:numFmt formatCode="General" sourceLinked="1"/>
        <c:majorTickMark val="none"/>
        <c:minorTickMark val="none"/>
        <c:tickLblPos val="nextTo"/>
        <c:crossAx val="151106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'Ввод данных'!$A$122</c:f>
              <c:strCache>
                <c:ptCount val="1"/>
                <c:pt idx="0">
                  <c:v>Совокупный утвердженный бюджет*</c:v>
                </c:pt>
              </c:strCache>
            </c:strRef>
          </c:tx>
          <c:spPr>
            <a:solidFill>
              <a:schemeClr val="accent1"/>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данных'!$B$122:$F$122</c:f>
              <c:numCache>
                <c:formatCode>#,##0</c:formatCode>
                <c:ptCount val="5"/>
                <c:pt idx="0">
                  <c:v>5182783</c:v>
                </c:pt>
                <c:pt idx="1">
                  <c:v>10527237.947745766</c:v>
                </c:pt>
              </c:numCache>
            </c:numRef>
          </c:val>
          <c:extLst>
            <c:ext xmlns:c16="http://schemas.microsoft.com/office/drawing/2014/chart" uri="{C3380CC4-5D6E-409C-BE32-E72D297353CC}">
              <c16:uniqueId val="{00000000-D5DF-4B11-9CD6-1C5401548576}"/>
            </c:ext>
          </c:extLst>
        </c:ser>
        <c:ser>
          <c:idx val="1"/>
          <c:order val="1"/>
          <c:tx>
            <c:strRef>
              <c:f>'Ввод данных'!$A$123</c:f>
              <c:strCache>
                <c:ptCount val="1"/>
                <c:pt idx="0">
                  <c:v>Общий объем финансовых обязательств</c:v>
                </c:pt>
              </c:strCache>
            </c:strRef>
          </c:tx>
          <c:spPr>
            <a:solidFill>
              <a:schemeClr val="accent2"/>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данных'!$B$123:$F$123</c:f>
              <c:numCache>
                <c:formatCode>#,##0</c:formatCode>
                <c:ptCount val="5"/>
                <c:pt idx="0">
                  <c:v>2445797</c:v>
                </c:pt>
                <c:pt idx="1">
                  <c:v>4134253.8999999994</c:v>
                </c:pt>
              </c:numCache>
            </c:numRef>
          </c:val>
          <c:extLst>
            <c:ext xmlns:c16="http://schemas.microsoft.com/office/drawing/2014/chart" uri="{C3380CC4-5D6E-409C-BE32-E72D297353CC}">
              <c16:uniqueId val="{00000001-D5DF-4B11-9CD6-1C5401548576}"/>
            </c:ext>
          </c:extLst>
        </c:ser>
        <c:ser>
          <c:idx val="2"/>
          <c:order val="2"/>
          <c:tx>
            <c:strRef>
              <c:f>'Ввод данных'!$A$124</c:f>
              <c:strCache>
                <c:ptCount val="1"/>
                <c:pt idx="0">
                  <c:v>Общий объем расходов</c:v>
                </c:pt>
              </c:strCache>
            </c:strRef>
          </c:tx>
          <c:spPr>
            <a:solidFill>
              <a:schemeClr val="accent3"/>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данных'!$B$124:$F$124</c:f>
              <c:numCache>
                <c:formatCode>#,##0</c:formatCode>
                <c:ptCount val="5"/>
                <c:pt idx="0">
                  <c:v>1718390</c:v>
                </c:pt>
                <c:pt idx="1">
                  <c:v>6653148.5100000007</c:v>
                </c:pt>
              </c:numCache>
            </c:numRef>
          </c:val>
          <c:extLst>
            <c:ext xmlns:c16="http://schemas.microsoft.com/office/drawing/2014/chart" uri="{C3380CC4-5D6E-409C-BE32-E72D297353CC}">
              <c16:uniqueId val="{00000002-D5DF-4B11-9CD6-1C5401548576}"/>
            </c:ext>
          </c:extLst>
        </c:ser>
        <c:dLbls>
          <c:showLegendKey val="0"/>
          <c:showVal val="0"/>
          <c:showCatName val="0"/>
          <c:showSerName val="0"/>
          <c:showPercent val="0"/>
          <c:showBubbleSize val="0"/>
        </c:dLbls>
        <c:gapWidth val="219"/>
        <c:overlap val="-27"/>
        <c:axId val="390931016"/>
        <c:axId val="390927408"/>
      </c:barChart>
      <c:catAx>
        <c:axId val="39093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27408"/>
        <c:crosses val="autoZero"/>
        <c:auto val="1"/>
        <c:lblAlgn val="ctr"/>
        <c:lblOffset val="100"/>
        <c:noMultiLvlLbl val="0"/>
      </c:catAx>
      <c:valAx>
        <c:axId val="39092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31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'Ввод данных'!$A$98</c:f>
              <c:strCache>
                <c:ptCount val="1"/>
                <c:pt idx="0">
                  <c:v>ВИЧ/СПИД</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данных'!$B$98:$D$98</c:f>
              <c:numCache>
                <c:formatCode>0</c:formatCode>
                <c:ptCount val="3"/>
                <c:pt idx="0">
                  <c:v>5</c:v>
                </c:pt>
                <c:pt idx="1">
                  <c:v>5</c:v>
                </c:pt>
                <c:pt idx="2">
                  <c:v>0</c:v>
                </c:pt>
              </c:numCache>
            </c:numRef>
          </c:val>
          <c:extLst>
            <c:ext xmlns:c16="http://schemas.microsoft.com/office/drawing/2014/chart" uri="{C3380CC4-5D6E-409C-BE32-E72D297353CC}">
              <c16:uniqueId val="{00000000-A73B-4FB5-940A-8CCE9EAD75A2}"/>
            </c:ext>
          </c:extLst>
        </c:ser>
        <c:ser>
          <c:idx val="0"/>
          <c:order val="1"/>
          <c:tx>
            <c:strRef>
              <c:f>'Ввод данных'!$A$99</c:f>
              <c:strCache>
                <c:ptCount val="1"/>
                <c:pt idx="0">
                  <c:v>ТБ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данных'!$B$99:$D$99</c:f>
              <c:numCache>
                <c:formatCode>0</c:formatCode>
                <c:ptCount val="3"/>
                <c:pt idx="0" formatCode="General">
                  <c:v>2</c:v>
                </c:pt>
                <c:pt idx="1">
                  <c:v>2</c:v>
                </c:pt>
                <c:pt idx="2">
                  <c:v>0</c:v>
                </c:pt>
              </c:numCache>
            </c:numRef>
          </c:val>
          <c:extLst>
            <c:ext xmlns:c16="http://schemas.microsoft.com/office/drawing/2014/chart" uri="{C3380CC4-5D6E-409C-BE32-E72D297353CC}">
              <c16:uniqueId val="{00000001-A73B-4FB5-940A-8CCE9EAD75A2}"/>
            </c:ext>
          </c:extLst>
        </c:ser>
        <c:ser>
          <c:idx val="2"/>
          <c:order val="2"/>
          <c:tx>
            <c:strRef>
              <c:f>'Ввод данных'!$A$100</c:f>
              <c:strCache>
                <c:ptCount val="1"/>
                <c:pt idx="0">
                  <c:v>Общее (оба компонента)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данных'!$B$100:$D$100</c:f>
              <c:numCache>
                <c:formatCode>0</c:formatCode>
                <c:ptCount val="3"/>
                <c:pt idx="0" formatCode="General">
                  <c:v>17</c:v>
                </c:pt>
                <c:pt idx="1">
                  <c:v>17</c:v>
                </c:pt>
                <c:pt idx="2">
                  <c:v>0</c:v>
                </c:pt>
              </c:numCache>
            </c:numRef>
          </c:val>
          <c:extLst>
            <c:ext xmlns:c16="http://schemas.microsoft.com/office/drawing/2014/chart" uri="{C3380CC4-5D6E-409C-BE32-E72D297353CC}">
              <c16:uniqueId val="{00000002-A73B-4FB5-940A-8CCE9EAD75A2}"/>
            </c:ext>
          </c:extLst>
        </c:ser>
        <c:dLbls>
          <c:showLegendKey val="0"/>
          <c:showVal val="1"/>
          <c:showCatName val="0"/>
          <c:showSerName val="0"/>
          <c:showPercent val="0"/>
          <c:showBubbleSize val="0"/>
        </c:dLbls>
        <c:gapWidth val="150"/>
        <c:overlap val="-25"/>
        <c:axId val="1511063280"/>
        <c:axId val="1511061648"/>
      </c:barChart>
      <c:catAx>
        <c:axId val="151106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1648"/>
        <c:crosses val="autoZero"/>
        <c:auto val="1"/>
        <c:lblAlgn val="ctr"/>
        <c:lblOffset val="100"/>
        <c:noMultiLvlLbl val="0"/>
      </c:catAx>
      <c:valAx>
        <c:axId val="1511061648"/>
        <c:scaling>
          <c:orientation val="minMax"/>
        </c:scaling>
        <c:delete val="1"/>
        <c:axPos val="l"/>
        <c:numFmt formatCode="0" sourceLinked="1"/>
        <c:majorTickMark val="none"/>
        <c:minorTickMark val="none"/>
        <c:tickLblPos val="nextTo"/>
        <c:crossAx val="1511063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'Ввод данных'!$A$33</c:f>
              <c:strCache>
                <c:ptCount val="1"/>
                <c:pt idx="0">
                  <c:v>Общий бюджет</c:v>
                </c:pt>
              </c:strCache>
            </c:strRef>
          </c:tx>
          <c:spPr>
            <a:solidFill>
              <a:srgbClr val="339966"/>
            </a:solidFill>
            <a:ln w="12700">
              <a:solidFill>
                <a:srgbClr val="000000"/>
              </a:solidFill>
              <a:prstDash val="solid"/>
            </a:ln>
          </c:spPr>
          <c:cat>
            <c:strRef>
              <c:f>'Ввод данных'!$B$30:$L$30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'Ввод данных'!$B$33:$L$33</c:f>
              <c:numCache>
                <c:formatCode>#,##0</c:formatCode>
                <c:ptCount val="11"/>
                <c:pt idx="0">
                  <c:v>10781955</c:v>
                </c:pt>
                <c:pt idx="1">
                  <c:v>21174110.819120947</c:v>
                </c:pt>
              </c:numCache>
            </c:numRef>
          </c:val>
          <c:extLst>
            <c:ext xmlns:c16="http://schemas.microsoft.com/office/drawing/2014/chart" uri="{C3380CC4-5D6E-409C-BE32-E72D297353CC}">
              <c16:uniqueId val="{00000000-745B-4750-98B5-D01D83B5846C}"/>
            </c:ext>
          </c:extLst>
        </c:ser>
        <c:ser>
          <c:idx val="1"/>
          <c:order val="1"/>
          <c:tx>
            <c:strRef>
              <c:f>'Ввод данных'!$A$34</c:f>
              <c:strCache>
                <c:ptCount val="1"/>
                <c:pt idx="0">
                  <c:v>Общая сумма выплат</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'Ввод данных'!$B$30:$L$30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'Ввод данных'!$B$34:$L$34</c:f>
              <c:numCache>
                <c:formatCode>#,##0</c:formatCode>
                <c:ptCount val="11"/>
                <c:pt idx="0">
                  <c:v>18761018</c:v>
                </c:pt>
                <c:pt idx="1">
                  <c:v>21957907.009999998</c:v>
                </c:pt>
              </c:numCache>
            </c:numRef>
          </c:val>
          <c:extLst>
            <c:ext xmlns:c16="http://schemas.microsoft.com/office/drawing/2014/chart" uri="{C3380CC4-5D6E-409C-BE32-E72D297353CC}">
              <c16:uniqueId val="{00000001-745B-4750-98B5-D01D83B5846C}"/>
            </c:ext>
          </c:extLst>
        </c:ser>
        <c:dLbls>
          <c:showLegendKey val="0"/>
          <c:showVal val="0"/>
          <c:showCatName val="0"/>
          <c:showSerName val="0"/>
          <c:showPercent val="0"/>
          <c:showBubbleSize val="0"/>
        </c:dLbls>
        <c:dropLines>
          <c:spPr>
            <a:ln w="3175">
              <a:solidFill>
                <a:srgbClr val="000000"/>
              </a:solidFill>
              <a:prstDash val="solid"/>
            </a:ln>
          </c:spPr>
        </c:dropLines>
        <c:axId val="1512269664"/>
        <c:axId val="1512270208"/>
      </c:areaChart>
      <c:catAx>
        <c:axId val="151226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512270208"/>
        <c:crosses val="autoZero"/>
        <c:auto val="1"/>
        <c:lblAlgn val="ctr"/>
        <c:lblOffset val="100"/>
        <c:tickLblSkip val="8"/>
        <c:tickMarkSkip val="1"/>
        <c:noMultiLvlLbl val="0"/>
      </c:catAx>
      <c:valAx>
        <c:axId val="1512270208"/>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51226966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7684682629"/>
          <c:y val="3.9455782312925194E-2"/>
          <c:w val="0.84029484029484081"/>
          <c:h val="0.53469387755102082"/>
        </c:manualLayout>
      </c:layout>
      <c:barChart>
        <c:barDir val="col"/>
        <c:grouping val="clustered"/>
        <c:varyColors val="0"/>
        <c:ser>
          <c:idx val="0"/>
          <c:order val="0"/>
          <c:tx>
            <c:strRef>
              <c:f>Финансирование!$B$34</c:f>
              <c:strCache>
                <c:ptCount val="1"/>
                <c:pt idx="0">
                  <c:v>Совокупный бюджет</c:v>
                </c:pt>
              </c:strCache>
            </c:strRef>
          </c:tx>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'Ввод данных'!$A$39:$A$63</c:f>
              <c:strCache>
                <c:ptCount val="24"/>
                <c:pt idx="0">
                  <c:v>Снижение рисков для программ по заболеваниям</c:v>
                </c:pt>
                <c:pt idx="1">
                  <c:v>Диагностика и тестирование COVID</c:v>
                </c:pt>
                <c:pt idx="2">
                  <c:v>Смягчение негативных воздействий для программ по ВИЧ</c:v>
                </c:pt>
                <c:pt idx="3">
                  <c:v>Устранение препятствий к услугам, связанных с правами человека и гендерными факторами</c:v>
                </c:pt>
                <c:pt idx="4">
                  <c:v>Кейс-менеджмент, клинические операции и лечение</c:v>
                </c:pt>
                <c:pt idx="5">
                  <c:v>Профилактика инфекций, контроль и защита медицинских работников</c:v>
                </c:pt>
                <c:pt idx="6">
                  <c:v>Лабораторные системы</c:v>
                </c:pt>
                <c:pt idx="7">
                  <c:v>Смягчение негативных воздействий для программ по ТБ</c:v>
                </c:pt>
                <c:pt idx="8">
                  <c:v>Мероприятия по изменению поведения</c:v>
                </c:pt>
                <c:pt idx="9">
                  <c:v>Программы обмена игл и шприцев</c:v>
                </c:pt>
                <c:pt idx="10">
                  <c:v>Опиоидная заместительная терапия и другое лечение наркозависимости с медицинской помощью</c:v>
                </c:pt>
                <c:pt idx="11">
                  <c:v>Лечение (МЛУ ТБ)</c:v>
                </c:pt>
                <c:pt idx="12">
                  <c:v>Выявление и диагностика случаев (МЛУ-ТБ)</c:v>
                </c:pt>
                <c:pt idx="13">
                  <c:v>Оказание помощи при МЛУ-ТБ по месту жительства</c:v>
                </c:pt>
                <c:pt idx="14">
                  <c:v>Дифференцированное предоставление услуг АРВТ и помощь при ВИЧ</c:v>
                </c:pt>
                <c:pt idx="15">
                  <c:v>Консультации и психосоциальная поддержка</c:v>
                </c:pt>
                <c:pt idx="16">
                  <c:v>Тестирование в учреждениях</c:v>
                </c:pt>
                <c:pt idx="17">
                  <c:v>Тестирование в сообществах</c:v>
                </c:pt>
                <c:pt idx="18">
                  <c:v>Мобилизация сообщества и адвокация (ВИЧ / ТБ)</c:v>
                </c:pt>
                <c:pt idx="19">
                  <c:v>Снижение стигмы и дискриминации (ВИЧ / ТБ)</c:v>
                </c:pt>
                <c:pt idx="20">
                  <c:v>Юридические услуги по ВИЧ и ВИЧ/ТБ</c:v>
                </c:pt>
                <c:pt idx="21">
                  <c:v>Системы менеджмента качества и аккредитация</c:v>
                </c:pt>
                <c:pt idx="22">
                  <c:v>Регулярная отчетность</c:v>
                </c:pt>
                <c:pt idx="23">
                  <c:v>Управление грантом</c:v>
                </c:pt>
              </c:strCache>
            </c:strRef>
          </c:cat>
          <c:val>
            <c:numRef>
              <c:f>'Ввод данных'!$B$39:$B$63</c:f>
              <c:numCache>
                <c:formatCode>_(* #,##0.00_);_(* \(#,##0.00\);_(* "-"??_);_(@_)</c:formatCode>
                <c:ptCount val="25"/>
                <c:pt idx="0">
                  <c:v>0</c:v>
                </c:pt>
                <c:pt idx="1">
                  <c:v>0</c:v>
                </c:pt>
                <c:pt idx="2">
                  <c:v>218748.91159819</c:v>
                </c:pt>
                <c:pt idx="3">
                  <c:v>74682.263514659498</c:v>
                </c:pt>
                <c:pt idx="4">
                  <c:v>0</c:v>
                </c:pt>
                <c:pt idx="5">
                  <c:v>0</c:v>
                </c:pt>
                <c:pt idx="6">
                  <c:v>0</c:v>
                </c:pt>
                <c:pt idx="7">
                  <c:v>15004.284736301701</c:v>
                </c:pt>
                <c:pt idx="8">
                  <c:v>434963.770493883</c:v>
                </c:pt>
                <c:pt idx="9">
                  <c:v>363743.34763112402</c:v>
                </c:pt>
                <c:pt idx="10">
                  <c:v>295366.39554648101</c:v>
                </c:pt>
                <c:pt idx="11">
                  <c:v>3650092.4207691401</c:v>
                </c:pt>
                <c:pt idx="12">
                  <c:v>1268616.10988331</c:v>
                </c:pt>
                <c:pt idx="13">
                  <c:v>324420.93204097799</c:v>
                </c:pt>
                <c:pt idx="14">
                  <c:v>822772.512551983</c:v>
                </c:pt>
                <c:pt idx="15">
                  <c:v>231700.25610135801</c:v>
                </c:pt>
                <c:pt idx="16">
                  <c:v>34308.006426944303</c:v>
                </c:pt>
                <c:pt idx="17">
                  <c:v>165311.33711141601</c:v>
                </c:pt>
                <c:pt idx="18">
                  <c:v>120487.724743345</c:v>
                </c:pt>
                <c:pt idx="19">
                  <c:v>81924.341552521306</c:v>
                </c:pt>
                <c:pt idx="20">
                  <c:v>121425.716958117</c:v>
                </c:pt>
                <c:pt idx="21">
                  <c:v>80886.398344118905</c:v>
                </c:pt>
                <c:pt idx="22">
                  <c:v>41773.605506423301</c:v>
                </c:pt>
                <c:pt idx="23">
                  <c:v>2045927.4836106501</c:v>
                </c:pt>
              </c:numCache>
            </c:numRef>
          </c:val>
          <c:extLst>
            <c:ext xmlns:c16="http://schemas.microsoft.com/office/drawing/2014/chart" uri="{C3380CC4-5D6E-409C-BE32-E72D297353CC}">
              <c16:uniqueId val="{00000000-9781-4CCF-A4C6-D7FD3E46F947}"/>
            </c:ext>
          </c:extLst>
        </c:ser>
        <c:ser>
          <c:idx val="1"/>
          <c:order val="1"/>
          <c:tx>
            <c:strRef>
              <c:f>Финансирование!$B$36</c:f>
              <c:strCache>
                <c:ptCount val="1"/>
                <c:pt idx="0">
                  <c:v>Совокупные расходы</c:v>
                </c:pt>
              </c:strCache>
            </c:strRef>
          </c:tx>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'Ввод данных'!$A$39:$A$63</c:f>
              <c:strCache>
                <c:ptCount val="24"/>
                <c:pt idx="0">
                  <c:v>Снижение рисков для программ по заболеваниям</c:v>
                </c:pt>
                <c:pt idx="1">
                  <c:v>Диагностика и тестирование COVID</c:v>
                </c:pt>
                <c:pt idx="2">
                  <c:v>Смягчение негативных воздействий для программ по ВИЧ</c:v>
                </c:pt>
                <c:pt idx="3">
                  <c:v>Устранение препятствий к услугам, связанных с правами человека и гендерными факторами</c:v>
                </c:pt>
                <c:pt idx="4">
                  <c:v>Кейс-менеджмент, клинические операции и лечение</c:v>
                </c:pt>
                <c:pt idx="5">
                  <c:v>Профилактика инфекций, контроль и защита медицинских работников</c:v>
                </c:pt>
                <c:pt idx="6">
                  <c:v>Лабораторные системы</c:v>
                </c:pt>
                <c:pt idx="7">
                  <c:v>Смягчение негативных воздействий для программ по ТБ</c:v>
                </c:pt>
                <c:pt idx="8">
                  <c:v>Мероприятия по изменению поведения</c:v>
                </c:pt>
                <c:pt idx="9">
                  <c:v>Программы обмена игл и шприцев</c:v>
                </c:pt>
                <c:pt idx="10">
                  <c:v>Опиоидная заместительная терапия и другое лечение наркозависимости с медицинской помощью</c:v>
                </c:pt>
                <c:pt idx="11">
                  <c:v>Лечение (МЛУ ТБ)</c:v>
                </c:pt>
                <c:pt idx="12">
                  <c:v>Выявление и диагностика случаев (МЛУ-ТБ)</c:v>
                </c:pt>
                <c:pt idx="13">
                  <c:v>Оказание помощи при МЛУ-ТБ по месту жительства</c:v>
                </c:pt>
                <c:pt idx="14">
                  <c:v>Дифференцированное предоставление услуг АРВТ и помощь при ВИЧ</c:v>
                </c:pt>
                <c:pt idx="15">
                  <c:v>Консультации и психосоциальная поддержка</c:v>
                </c:pt>
                <c:pt idx="16">
                  <c:v>Тестирование в учреждениях</c:v>
                </c:pt>
                <c:pt idx="17">
                  <c:v>Тестирование в сообществах</c:v>
                </c:pt>
                <c:pt idx="18">
                  <c:v>Мобилизация сообщества и адвокация (ВИЧ / ТБ)</c:v>
                </c:pt>
                <c:pt idx="19">
                  <c:v>Снижение стигмы и дискриминации (ВИЧ / ТБ)</c:v>
                </c:pt>
                <c:pt idx="20">
                  <c:v>Юридические услуги по ВИЧ и ВИЧ/ТБ</c:v>
                </c:pt>
                <c:pt idx="21">
                  <c:v>Системы менеджмента качества и аккредитация</c:v>
                </c:pt>
                <c:pt idx="22">
                  <c:v>Регулярная отчетность</c:v>
                </c:pt>
                <c:pt idx="23">
                  <c:v>Управление грантом</c:v>
                </c:pt>
              </c:strCache>
            </c:strRef>
          </c:cat>
          <c:val>
            <c:numRef>
              <c:f>'Ввод данных'!$C$39:$C$63</c:f>
              <c:numCache>
                <c:formatCode>_(* #,##0.00_);_(* \(#,##0.00\);_(* "-"??_);_(@_)</c:formatCode>
                <c:ptCount val="25"/>
                <c:pt idx="0">
                  <c:v>0</c:v>
                </c:pt>
                <c:pt idx="1">
                  <c:v>348698.32999999996</c:v>
                </c:pt>
                <c:pt idx="2">
                  <c:v>191650.10268436573</c:v>
                </c:pt>
                <c:pt idx="3">
                  <c:v>27416.569999999996</c:v>
                </c:pt>
                <c:pt idx="4">
                  <c:v>1874354.8400000003</c:v>
                </c:pt>
                <c:pt idx="5">
                  <c:v>329407.03000000003</c:v>
                </c:pt>
                <c:pt idx="6">
                  <c:v>386759.2</c:v>
                </c:pt>
                <c:pt idx="7">
                  <c:v>25905.469999999998</c:v>
                </c:pt>
                <c:pt idx="8">
                  <c:v>516425.29882291943</c:v>
                </c:pt>
                <c:pt idx="9">
                  <c:v>513118.87823331455</c:v>
                </c:pt>
                <c:pt idx="10">
                  <c:v>316173.92</c:v>
                </c:pt>
                <c:pt idx="11">
                  <c:v>1279895.1199531604</c:v>
                </c:pt>
                <c:pt idx="12">
                  <c:v>836557.7799999998</c:v>
                </c:pt>
                <c:pt idx="13">
                  <c:v>148190.38095675266</c:v>
                </c:pt>
                <c:pt idx="14">
                  <c:v>450114.37723018322</c:v>
                </c:pt>
                <c:pt idx="15">
                  <c:v>128887.08524753027</c:v>
                </c:pt>
                <c:pt idx="16">
                  <c:v>1165.1100000000001</c:v>
                </c:pt>
                <c:pt idx="17">
                  <c:v>192798.68</c:v>
                </c:pt>
                <c:pt idx="18">
                  <c:v>157833.61486147303</c:v>
                </c:pt>
                <c:pt idx="19">
                  <c:v>100429.83876786153</c:v>
                </c:pt>
                <c:pt idx="20">
                  <c:v>134746.91999999998</c:v>
                </c:pt>
                <c:pt idx="21">
                  <c:v>69401.66831930753</c:v>
                </c:pt>
                <c:pt idx="22">
                  <c:v>57323.579979878443</c:v>
                </c:pt>
                <c:pt idx="23">
                  <c:v>2287339.0292510302</c:v>
                </c:pt>
              </c:numCache>
            </c:numRef>
          </c:val>
          <c:extLst>
            <c:ext xmlns:c16="http://schemas.microsoft.com/office/drawing/2014/chart" uri="{C3380CC4-5D6E-409C-BE32-E72D297353CC}">
              <c16:uniqueId val="{00000001-9781-4CCF-A4C6-D7FD3E46F947}"/>
            </c:ext>
          </c:extLst>
        </c:ser>
        <c:dLbls>
          <c:showLegendKey val="0"/>
          <c:showVal val="0"/>
          <c:showCatName val="0"/>
          <c:showSerName val="0"/>
          <c:showPercent val="0"/>
          <c:showBubbleSize val="0"/>
        </c:dLbls>
        <c:gapWidth val="150"/>
        <c:axId val="1388297024"/>
        <c:axId val="1388292128"/>
      </c:barChart>
      <c:catAx>
        <c:axId val="138829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88292128"/>
        <c:crosses val="autoZero"/>
        <c:auto val="1"/>
        <c:lblAlgn val="ctr"/>
        <c:lblOffset val="100"/>
        <c:tickMarkSkip val="1"/>
        <c:noMultiLvlLbl val="0"/>
      </c:catAx>
      <c:valAx>
        <c:axId val="13882921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388297024"/>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1323416452564"/>
          <c:y val="8.1447963800904979E-2"/>
          <c:w val="0.73584990401346972"/>
          <c:h val="0.61085972850678782"/>
        </c:manualLayout>
      </c:layout>
      <c:barChart>
        <c:barDir val="col"/>
        <c:grouping val="stacked"/>
        <c:varyColors val="0"/>
        <c:ser>
          <c:idx val="0"/>
          <c:order val="0"/>
          <c:spPr>
            <a:solidFill>
              <a:srgbClr val="4F81BD"/>
            </a:solidFill>
            <a:ln w="12700">
              <a:solidFill>
                <a:srgbClr val="000000"/>
              </a:solidFill>
              <a:prstDash val="solid"/>
            </a:ln>
          </c:spPr>
          <c:invertIfNegative val="0"/>
          <c:cat>
            <c:strRef>
              <c:f>'Ввод данных'!$A$69:$A$72</c:f>
              <c:strCache>
                <c:ptCount val="4"/>
                <c:pt idx="0">
                  <c:v>Выплачено Глобальным фондом</c:v>
                </c:pt>
                <c:pt idx="1">
                  <c:v>Расходы и платежи ОР</c:v>
                </c:pt>
                <c:pt idx="2">
                  <c:v>Выплачено субреципиентам</c:v>
                </c:pt>
                <c:pt idx="3">
                  <c:v>Расходы субреципиентов</c:v>
                </c:pt>
              </c:strCache>
            </c:strRef>
          </c:cat>
          <c:val>
            <c:numRef>
              <c:f>'Ввод данных'!$B$69:$B$72</c:f>
              <c:numCache>
                <c:formatCode>#,##0</c:formatCode>
                <c:ptCount val="4"/>
                <c:pt idx="0">
                  <c:v>18761018</c:v>
                </c:pt>
                <c:pt idx="1">
                  <c:v>3823161.8665999998</c:v>
                </c:pt>
                <c:pt idx="2">
                  <c:v>1971062.97</c:v>
                </c:pt>
                <c:pt idx="3">
                  <c:v>1894610.58</c:v>
                </c:pt>
              </c:numCache>
            </c:numRef>
          </c:val>
          <c:extLst>
            <c:ext xmlns:c16="http://schemas.microsoft.com/office/drawing/2014/chart" uri="{C3380CC4-5D6E-409C-BE32-E72D297353CC}">
              <c16:uniqueId val="{00000000-5069-486C-9143-BDD348A3A87F}"/>
            </c:ext>
          </c:extLst>
        </c:ser>
        <c:ser>
          <c:idx val="1"/>
          <c:order val="1"/>
          <c:spPr>
            <a:solidFill>
              <a:srgbClr val="C6D9F1"/>
            </a:solidFill>
            <a:ln w="12700">
              <a:solidFill>
                <a:srgbClr val="000000"/>
              </a:solidFill>
              <a:prstDash val="solid"/>
            </a:ln>
          </c:spPr>
          <c:invertIfNegative val="0"/>
          <c:cat>
            <c:strRef>
              <c:f>'Ввод данных'!$A$69:$A$72</c:f>
              <c:strCache>
                <c:ptCount val="4"/>
                <c:pt idx="0">
                  <c:v>Выплачено Глобальным фондом</c:v>
                </c:pt>
                <c:pt idx="1">
                  <c:v>Расходы и платежи ОР</c:v>
                </c:pt>
                <c:pt idx="2">
                  <c:v>Выплачено субреципиентам</c:v>
                </c:pt>
                <c:pt idx="3">
                  <c:v>Расходы субреципиентов</c:v>
                </c:pt>
              </c:strCache>
            </c:strRef>
          </c:cat>
          <c:val>
            <c:numRef>
              <c:f>'Ввод данных'!$C$69:$C$72</c:f>
              <c:numCache>
                <c:formatCode>#,##0</c:formatCode>
                <c:ptCount val="4"/>
                <c:pt idx="0">
                  <c:v>3196889.01</c:v>
                </c:pt>
                <c:pt idx="1">
                  <c:v>8335820.5322433552</c:v>
                </c:pt>
                <c:pt idx="2">
                  <c:v>2184700.7200000007</c:v>
                </c:pt>
                <c:pt idx="3">
                  <c:v>2038772.2920644176</c:v>
                </c:pt>
              </c:numCache>
            </c:numRef>
          </c:val>
          <c:extLst>
            <c:ext xmlns:c16="http://schemas.microsoft.com/office/drawing/2014/chart" uri="{C3380CC4-5D6E-409C-BE32-E72D297353CC}">
              <c16:uniqueId val="{00000001-5069-486C-9143-BDD348A3A87F}"/>
            </c:ext>
          </c:extLst>
        </c:ser>
        <c:dLbls>
          <c:showLegendKey val="0"/>
          <c:showVal val="0"/>
          <c:showCatName val="0"/>
          <c:showSerName val="0"/>
          <c:showPercent val="0"/>
          <c:showBubbleSize val="0"/>
        </c:dLbls>
        <c:gapWidth val="150"/>
        <c:overlap val="100"/>
        <c:axId val="1388286688"/>
        <c:axId val="1388282880"/>
      </c:barChart>
      <c:catAx>
        <c:axId val="1388286688"/>
        <c:scaling>
          <c:orientation val="minMax"/>
        </c:scaling>
        <c:delete val="0"/>
        <c:axPos val="b"/>
        <c:numFmt formatCode="General" sourceLinked="1"/>
        <c:majorTickMark val="none"/>
        <c:minorTickMark val="none"/>
        <c:tickLblPos val="nextTo"/>
        <c:crossAx val="1388282880"/>
        <c:crosses val="autoZero"/>
        <c:auto val="1"/>
        <c:lblAlgn val="ctr"/>
        <c:lblOffset val="100"/>
        <c:noMultiLvlLbl val="0"/>
      </c:catAx>
      <c:valAx>
        <c:axId val="1388282880"/>
        <c:scaling>
          <c:orientation val="minMax"/>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388286688"/>
        <c:crosses val="autoZero"/>
        <c:crossBetween val="between"/>
      </c:valAx>
      <c:dTable>
        <c:showHorzBorder val="1"/>
        <c:showVertBorder val="1"/>
        <c:showOutline val="1"/>
        <c:showKeys val="1"/>
        <c:txPr>
          <a:bodyPr/>
          <a:lstStyle/>
          <a:p>
            <a:pPr rtl="0">
              <a:defRPr sz="500" baseline="0"/>
            </a:pPr>
            <a:endParaRPr lang="en-US"/>
          </a:p>
        </c:txPr>
      </c:dTable>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KP-1d⁽ᴹ⁾ </a:t>
            </a:r>
            <a:r>
              <a:rPr lang="az-Cyrl-AZ" sz="1000"/>
              <a:t>Процент ЛУИН, охваченных программами по профилактике ВИЧ - минимальный пакет услуг			</a:t>
            </a:r>
          </a:p>
        </c:rich>
      </c:tx>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'Ввод данных'!$D$199</c:f>
              <c:strCache>
                <c:ptCount val="1"/>
                <c:pt idx="0">
                  <c:v>Целевой показатель</c:v>
                </c:pt>
              </c:strCache>
            </c:strRef>
          </c:tx>
          <c:spPr>
            <a:solidFill>
              <a:schemeClr val="accent1"/>
            </a:solidFill>
            <a:ln>
              <a:noFill/>
            </a:ln>
            <a:effectLst/>
          </c:spPr>
          <c:invertIfNegative val="0"/>
          <c:dLbls>
            <c:dLbl>
              <c:idx val="0"/>
              <c:tx>
                <c:rich>
                  <a:bodyPr/>
                  <a:lstStyle/>
                  <a:p>
                    <a:r>
                      <a:rPr lang="en-US"/>
                      <a:t>70%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D89-4376-83F7-F3EBD3D5E08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данных'!$E$198:$F$198</c:f>
              <c:strCache>
                <c:ptCount val="2"/>
                <c:pt idx="0">
                  <c:v>P1</c:v>
                </c:pt>
                <c:pt idx="1">
                  <c:v>P2</c:v>
                </c:pt>
              </c:strCache>
            </c:strRef>
          </c:cat>
          <c:val>
            <c:numRef>
              <c:f>'Ввод данных'!$E$199:$F$199</c:f>
              <c:numCache>
                <c:formatCode>0%</c:formatCode>
                <c:ptCount val="2"/>
                <c:pt idx="0">
                  <c:v>0.7</c:v>
                </c:pt>
                <c:pt idx="1">
                  <c:v>0.72</c:v>
                </c:pt>
              </c:numCache>
            </c:numRef>
          </c:val>
          <c:extLst>
            <c:ext xmlns:c16="http://schemas.microsoft.com/office/drawing/2014/chart" uri="{C3380CC4-5D6E-409C-BE32-E72D297353CC}">
              <c16:uniqueId val="{00000000-F4FA-4784-8E5F-61D375F426FC}"/>
            </c:ext>
          </c:extLst>
        </c:ser>
        <c:ser>
          <c:idx val="1"/>
          <c:order val="1"/>
          <c:tx>
            <c:strRef>
              <c:f>'Ввод данных'!$D$200</c:f>
              <c:strCache>
                <c:ptCount val="1"/>
                <c:pt idx="0">
                  <c:v>Достигнуто </c:v>
                </c:pt>
              </c:strCache>
            </c:strRef>
          </c:tx>
          <c:spPr>
            <a:solidFill>
              <a:schemeClr val="accent2"/>
            </a:solidFill>
            <a:ln>
              <a:noFill/>
            </a:ln>
            <a:effectLst/>
          </c:spPr>
          <c:invertIfNegative val="0"/>
          <c:dLbls>
            <c:dLbl>
              <c:idx val="0"/>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D89-4376-83F7-F3EBD3D5E0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данных'!$E$198:$F$198</c:f>
              <c:strCache>
                <c:ptCount val="2"/>
                <c:pt idx="0">
                  <c:v>P1</c:v>
                </c:pt>
                <c:pt idx="1">
                  <c:v>P2</c:v>
                </c:pt>
              </c:strCache>
            </c:strRef>
          </c:cat>
          <c:val>
            <c:numRef>
              <c:f>'Ввод данных'!$E$200:$F$200</c:f>
              <c:numCache>
                <c:formatCode>0.00%</c:formatCode>
                <c:ptCount val="2"/>
                <c:pt idx="0" formatCode="0%">
                  <c:v>0.68</c:v>
                </c:pt>
                <c:pt idx="1">
                  <c:v>0.69520000000000004</c:v>
                </c:pt>
              </c:numCache>
            </c:numRef>
          </c:val>
          <c:extLst>
            <c:ext xmlns:c16="http://schemas.microsoft.com/office/drawing/2014/chart" uri="{C3380CC4-5D6E-409C-BE32-E72D297353CC}">
              <c16:uniqueId val="{00000000-5E2C-4D8B-9303-E6825A744889}"/>
            </c:ext>
          </c:extLst>
        </c:ser>
        <c:dLbls>
          <c:showLegendKey val="0"/>
          <c:showVal val="1"/>
          <c:showCatName val="0"/>
          <c:showSerName val="0"/>
          <c:showPercent val="0"/>
          <c:showBubbleSize val="0"/>
        </c:dLbls>
        <c:gapWidth val="150"/>
        <c:overlap val="-25"/>
        <c:axId val="1511059472"/>
        <c:axId val="1511063824"/>
      </c:barChart>
      <c:catAx>
        <c:axId val="151105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3824"/>
        <c:crosses val="autoZero"/>
        <c:auto val="1"/>
        <c:lblAlgn val="ctr"/>
        <c:lblOffset val="100"/>
        <c:noMultiLvlLbl val="0"/>
      </c:catAx>
      <c:valAx>
        <c:axId val="1511063824"/>
        <c:scaling>
          <c:orientation val="minMax"/>
        </c:scaling>
        <c:delete val="1"/>
        <c:axPos val="l"/>
        <c:numFmt formatCode="0%" sourceLinked="1"/>
        <c:majorTickMark val="none"/>
        <c:minorTickMark val="none"/>
        <c:tickLblPos val="nextTo"/>
        <c:crossAx val="1511059472"/>
        <c:crosses val="autoZero"/>
        <c:crossBetween val="between"/>
      </c:valAx>
      <c:spPr>
        <a:noFill/>
        <a:ln>
          <a:noFill/>
        </a:ln>
        <a:effectLst/>
      </c:spPr>
    </c:plotArea>
    <c:legend>
      <c:legendPos val="t"/>
      <c:layout>
        <c:manualLayout>
          <c:xMode val="edge"/>
          <c:yMode val="edge"/>
          <c:x val="0.16948667135520623"/>
          <c:y val="0.14742951907131011"/>
          <c:w val="0.51638426283155525"/>
          <c:h val="8.88531969928702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a:t>HTS-5 </a:t>
            </a:r>
            <a:r>
              <a:rPr lang="az-Cyrl-AZ"/>
              <a:t>Процент людей с впервые выявленным ВИЧ, начавших АРТ					</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'Ввод данных'!$D$201</c:f>
              <c:strCache>
                <c:ptCount val="1"/>
                <c:pt idx="0">
                  <c:v>Целевой показатель</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данных'!$E$201:$F$201</c:f>
              <c:numCache>
                <c:formatCode>0%</c:formatCode>
                <c:ptCount val="2"/>
                <c:pt idx="0">
                  <c:v>0.9</c:v>
                </c:pt>
                <c:pt idx="1">
                  <c:v>0.9</c:v>
                </c:pt>
              </c:numCache>
            </c:numRef>
          </c:val>
          <c:extLst>
            <c:ext xmlns:c16="http://schemas.microsoft.com/office/drawing/2014/chart" uri="{C3380CC4-5D6E-409C-BE32-E72D297353CC}">
              <c16:uniqueId val="{00000000-5B30-4091-B18A-6AC4751D1127}"/>
            </c:ext>
          </c:extLst>
        </c:ser>
        <c:ser>
          <c:idx val="0"/>
          <c:order val="1"/>
          <c:tx>
            <c:strRef>
              <c:f>'Ввод данных'!$D$202</c:f>
              <c:strCache>
                <c:ptCount val="1"/>
                <c:pt idx="0">
                  <c:v>Достигнуто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данных'!$E$202:$F$202</c:f>
              <c:numCache>
                <c:formatCode>0.00%</c:formatCode>
                <c:ptCount val="2"/>
                <c:pt idx="0" formatCode="0%">
                  <c:v>0.88</c:v>
                </c:pt>
                <c:pt idx="1">
                  <c:v>0.92</c:v>
                </c:pt>
              </c:numCache>
            </c:numRef>
          </c:val>
          <c:extLst>
            <c:ext xmlns:c16="http://schemas.microsoft.com/office/drawing/2014/chart" uri="{C3380CC4-5D6E-409C-BE32-E72D297353CC}">
              <c16:uniqueId val="{00000001-CBEF-44A4-AA78-3F1EBD06D11B}"/>
            </c:ext>
          </c:extLst>
        </c:ser>
        <c:dLbls>
          <c:showLegendKey val="0"/>
          <c:showVal val="1"/>
          <c:showCatName val="0"/>
          <c:showSerName val="0"/>
          <c:showPercent val="0"/>
          <c:showBubbleSize val="0"/>
        </c:dLbls>
        <c:gapWidth val="150"/>
        <c:overlap val="-25"/>
        <c:axId val="1511070352"/>
        <c:axId val="1511060560"/>
      </c:barChart>
      <c:catAx>
        <c:axId val="151107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0560"/>
        <c:crosses val="autoZero"/>
        <c:auto val="1"/>
        <c:lblAlgn val="ctr"/>
        <c:lblOffset val="100"/>
        <c:noMultiLvlLbl val="0"/>
      </c:catAx>
      <c:valAx>
        <c:axId val="1511060560"/>
        <c:scaling>
          <c:orientation val="minMax"/>
        </c:scaling>
        <c:delete val="1"/>
        <c:axPos val="l"/>
        <c:numFmt formatCode="0%" sourceLinked="1"/>
        <c:majorTickMark val="none"/>
        <c:minorTickMark val="none"/>
        <c:tickLblPos val="nextTo"/>
        <c:crossAx val="1511070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a:t>TCS-1.1⁽ᴹ⁾ </a:t>
            </a:r>
            <a:r>
              <a:rPr lang="az-Cyrl-AZ"/>
              <a:t>Процент людей, получающих АРТ, среди всех людей, живущих с ВИЧ, на конец отчетного периода					</a:t>
            </a:r>
          </a:p>
        </c:rich>
      </c:tx>
      <c:layout>
        <c:manualLayout>
          <c:xMode val="edge"/>
          <c:yMode val="edge"/>
          <c:x val="9.7200540445663577E-2"/>
          <c:y val="3.1620553359683792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1607165244810873E-2"/>
          <c:y val="0.41958879750515099"/>
          <c:w val="0.95654014778838503"/>
          <c:h val="0.47126236863080889"/>
        </c:manualLayout>
      </c:layout>
      <c:barChart>
        <c:barDir val="col"/>
        <c:grouping val="clustered"/>
        <c:varyColors val="0"/>
        <c:ser>
          <c:idx val="0"/>
          <c:order val="0"/>
          <c:tx>
            <c:strRef>
              <c:f>'Ввод данных'!$D$203</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данных'!$E$203:$F$203</c:f>
              <c:numCache>
                <c:formatCode>0.00%</c:formatCode>
                <c:ptCount val="2"/>
                <c:pt idx="0" formatCode="0%">
                  <c:v>0.72</c:v>
                </c:pt>
                <c:pt idx="1">
                  <c:v>0.81330000000000002</c:v>
                </c:pt>
              </c:numCache>
            </c:numRef>
          </c:val>
          <c:extLst>
            <c:ext xmlns:c16="http://schemas.microsoft.com/office/drawing/2014/chart" uri="{C3380CC4-5D6E-409C-BE32-E72D297353CC}">
              <c16:uniqueId val="{00000000-8E36-4759-95E6-C1FD3F67DC3B}"/>
            </c:ext>
          </c:extLst>
        </c:ser>
        <c:ser>
          <c:idx val="1"/>
          <c:order val="1"/>
          <c:tx>
            <c:strRef>
              <c:f>'Ввод данных'!$D$204</c:f>
              <c:strCache>
                <c:ptCount val="1"/>
                <c:pt idx="0">
                  <c:v>Достигнуто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данных'!$E$204:$F$204</c:f>
              <c:numCache>
                <c:formatCode>0.00%</c:formatCode>
                <c:ptCount val="2"/>
                <c:pt idx="0" formatCode="0.0%">
                  <c:v>0.54</c:v>
                </c:pt>
                <c:pt idx="1">
                  <c:v>0.57469999999999999</c:v>
                </c:pt>
              </c:numCache>
            </c:numRef>
          </c:val>
          <c:extLst>
            <c:ext xmlns:c16="http://schemas.microsoft.com/office/drawing/2014/chart" uri="{C3380CC4-5D6E-409C-BE32-E72D297353CC}">
              <c16:uniqueId val="{00000001-41C3-4460-A67D-C690C6047B8A}"/>
            </c:ext>
          </c:extLst>
        </c:ser>
        <c:dLbls>
          <c:showLegendKey val="0"/>
          <c:showVal val="1"/>
          <c:showCatName val="0"/>
          <c:showSerName val="0"/>
          <c:showPercent val="0"/>
          <c:showBubbleSize val="0"/>
        </c:dLbls>
        <c:gapWidth val="150"/>
        <c:overlap val="-25"/>
        <c:axId val="1511065456"/>
        <c:axId val="1511062736"/>
      </c:barChart>
      <c:catAx>
        <c:axId val="151106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2736"/>
        <c:crosses val="autoZero"/>
        <c:auto val="1"/>
        <c:lblAlgn val="ctr"/>
        <c:lblOffset val="100"/>
        <c:noMultiLvlLbl val="0"/>
      </c:catAx>
      <c:valAx>
        <c:axId val="1511062736"/>
        <c:scaling>
          <c:orientation val="minMax"/>
        </c:scaling>
        <c:delete val="1"/>
        <c:axPos val="l"/>
        <c:numFmt formatCode="0%" sourceLinked="1"/>
        <c:majorTickMark val="none"/>
        <c:minorTickMark val="none"/>
        <c:tickLblPos val="nextTo"/>
        <c:crossAx val="1511065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TB-6: </a:t>
            </a:r>
            <a:r>
              <a:rPr lang="az-Cyrl-AZ" sz="1000" b="0" i="0" u="none" strike="noStrike" baseline="0">
                <a:effectLst/>
              </a:rPr>
              <a:t>Процент ТБ пациентов с результатом ТЛЧ как минимум к рифампицину среди общего количества зарегистрированных (новых и ранее леченных) случаев том же году</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'Ввод данных'!$D$209</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данных'!$E$209:$I$209</c:f>
              <c:numCache>
                <c:formatCode>0%</c:formatCode>
                <c:ptCount val="5"/>
                <c:pt idx="0">
                  <c:v>0.97</c:v>
                </c:pt>
                <c:pt idx="1">
                  <c:v>0.98</c:v>
                </c:pt>
              </c:numCache>
            </c:numRef>
          </c:val>
          <c:extLst>
            <c:ext xmlns:c16="http://schemas.microsoft.com/office/drawing/2014/chart" uri="{C3380CC4-5D6E-409C-BE32-E72D297353CC}">
              <c16:uniqueId val="{00000000-3B9B-49FD-BF6F-70EC39C3254D}"/>
            </c:ext>
          </c:extLst>
        </c:ser>
        <c:ser>
          <c:idx val="1"/>
          <c:order val="1"/>
          <c:tx>
            <c:strRef>
              <c:f>'Ввод данных'!$D$210</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данных'!$E$210:$I$210</c:f>
              <c:numCache>
                <c:formatCode>0%</c:formatCode>
                <c:ptCount val="5"/>
                <c:pt idx="0">
                  <c:v>0.94</c:v>
                </c:pt>
                <c:pt idx="1">
                  <c:v>0.95</c:v>
                </c:pt>
              </c:numCache>
            </c:numRef>
          </c:val>
          <c:extLst>
            <c:ext xmlns:c16="http://schemas.microsoft.com/office/drawing/2014/chart" uri="{C3380CC4-5D6E-409C-BE32-E72D297353CC}">
              <c16:uniqueId val="{00000001-3B9B-49FD-BF6F-70EC39C3254D}"/>
            </c:ext>
          </c:extLst>
        </c:ser>
        <c:dLbls>
          <c:showLegendKey val="0"/>
          <c:showVal val="1"/>
          <c:showCatName val="0"/>
          <c:showSerName val="0"/>
          <c:showPercent val="0"/>
          <c:showBubbleSize val="0"/>
        </c:dLbls>
        <c:gapWidth val="150"/>
        <c:overlap val="-25"/>
        <c:axId val="1511056208"/>
        <c:axId val="1511056752"/>
      </c:barChart>
      <c:catAx>
        <c:axId val="151105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6752"/>
        <c:crosses val="autoZero"/>
        <c:auto val="1"/>
        <c:lblAlgn val="ctr"/>
        <c:lblOffset val="100"/>
        <c:noMultiLvlLbl val="0"/>
      </c:catAx>
      <c:valAx>
        <c:axId val="1511056752"/>
        <c:scaling>
          <c:orientation val="minMax"/>
        </c:scaling>
        <c:delete val="1"/>
        <c:axPos val="l"/>
        <c:numFmt formatCode="0%" sourceLinked="1"/>
        <c:majorTickMark val="none"/>
        <c:minorTickMark val="none"/>
        <c:tickLblPos val="nextTo"/>
        <c:crossAx val="15110562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TB-3: </a:t>
            </a:r>
            <a:r>
              <a:rPr lang="az-Cyrl-AZ" sz="1000" b="0" i="0" u="none" strike="noStrike" baseline="0">
                <a:effectLst/>
              </a:rPr>
              <a:t>Количество случаев с РУ/МЛУ ТБ, начавших лечение препаратами второго ряда</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'Ввод данных'!$D$213</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данных'!$E$213:$I$213</c:f>
              <c:numCache>
                <c:formatCode>#,##0</c:formatCode>
                <c:ptCount val="5"/>
                <c:pt idx="0">
                  <c:v>1612</c:v>
                </c:pt>
                <c:pt idx="1">
                  <c:v>1832</c:v>
                </c:pt>
              </c:numCache>
            </c:numRef>
          </c:val>
          <c:extLst>
            <c:ext xmlns:c16="http://schemas.microsoft.com/office/drawing/2014/chart" uri="{C3380CC4-5D6E-409C-BE32-E72D297353CC}">
              <c16:uniqueId val="{00000000-0FA3-483E-9E00-1641FC511067}"/>
            </c:ext>
          </c:extLst>
        </c:ser>
        <c:ser>
          <c:idx val="1"/>
          <c:order val="1"/>
          <c:tx>
            <c:strRef>
              <c:f>'Ввод данных'!$D$214</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данных'!$E$214:$I$214</c:f>
              <c:numCache>
                <c:formatCode>#,##0</c:formatCode>
                <c:ptCount val="5"/>
                <c:pt idx="0">
                  <c:v>934</c:v>
                </c:pt>
                <c:pt idx="1">
                  <c:v>904</c:v>
                </c:pt>
              </c:numCache>
            </c:numRef>
          </c:val>
          <c:extLst>
            <c:ext xmlns:c16="http://schemas.microsoft.com/office/drawing/2014/chart" uri="{C3380CC4-5D6E-409C-BE32-E72D297353CC}">
              <c16:uniqueId val="{00000002-FBD6-4CFD-9ADD-E54BF7FE3C9B}"/>
            </c:ext>
          </c:extLst>
        </c:ser>
        <c:dLbls>
          <c:showLegendKey val="0"/>
          <c:showVal val="1"/>
          <c:showCatName val="0"/>
          <c:showSerName val="0"/>
          <c:showPercent val="0"/>
          <c:showBubbleSize val="0"/>
        </c:dLbls>
        <c:gapWidth val="150"/>
        <c:overlap val="-25"/>
        <c:axId val="1512274016"/>
        <c:axId val="1512273472"/>
      </c:barChart>
      <c:catAx>
        <c:axId val="151227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73472"/>
        <c:crosses val="autoZero"/>
        <c:auto val="1"/>
        <c:lblAlgn val="ctr"/>
        <c:lblOffset val="100"/>
        <c:noMultiLvlLbl val="0"/>
      </c:catAx>
      <c:valAx>
        <c:axId val="1512273472"/>
        <c:scaling>
          <c:orientation val="minMax"/>
        </c:scaling>
        <c:delete val="1"/>
        <c:axPos val="l"/>
        <c:numFmt formatCode="#,##0" sourceLinked="1"/>
        <c:majorTickMark val="none"/>
        <c:minorTickMark val="none"/>
        <c:tickLblPos val="nextTo"/>
        <c:crossAx val="15122740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TB-7: </a:t>
            </a:r>
            <a:r>
              <a:rPr lang="az-Cyrl-AZ" sz="1000" b="0" i="0" u="none" strike="noStrike" baseline="0">
                <a:effectLst/>
              </a:rPr>
              <a:t>Процент подтвержденных МЛУ-ТБ случаев, протестированных на чувствительность к препаратам второго ряда</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6907577767137161E-2"/>
          <c:y val="0.28708574224016331"/>
          <c:w val="0.97309242223286285"/>
          <c:h val="0.59200153327338678"/>
        </c:manualLayout>
      </c:layout>
      <c:barChart>
        <c:barDir val="col"/>
        <c:grouping val="clustered"/>
        <c:varyColors val="0"/>
        <c:ser>
          <c:idx val="0"/>
          <c:order val="0"/>
          <c:tx>
            <c:strRef>
              <c:f>'Ввод данных'!$D$215</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данных'!$E$215:$I$215</c:f>
              <c:numCache>
                <c:formatCode>0%</c:formatCode>
                <c:ptCount val="5"/>
                <c:pt idx="0">
                  <c:v>0.72</c:v>
                </c:pt>
                <c:pt idx="1">
                  <c:v>0.75</c:v>
                </c:pt>
              </c:numCache>
            </c:numRef>
          </c:val>
          <c:extLst>
            <c:ext xmlns:c16="http://schemas.microsoft.com/office/drawing/2014/chart" uri="{C3380CC4-5D6E-409C-BE32-E72D297353CC}">
              <c16:uniqueId val="{00000000-C5F8-4F29-8519-CACFFDA40A9D}"/>
            </c:ext>
          </c:extLst>
        </c:ser>
        <c:ser>
          <c:idx val="1"/>
          <c:order val="1"/>
          <c:tx>
            <c:strRef>
              <c:f>'Ввод данных'!$D$216</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данных'!$E$208:$I$208</c:f>
              <c:strCache>
                <c:ptCount val="5"/>
                <c:pt idx="0">
                  <c:v>Р1</c:v>
                </c:pt>
                <c:pt idx="1">
                  <c:v>Р2</c:v>
                </c:pt>
                <c:pt idx="2">
                  <c:v>P3</c:v>
                </c:pt>
                <c:pt idx="3">
                  <c:v>P4</c:v>
                </c:pt>
                <c:pt idx="4">
                  <c:v>P5</c:v>
                </c:pt>
              </c:strCache>
            </c:strRef>
          </c:cat>
          <c:val>
            <c:numRef>
              <c:f>'Ввод данных'!$E$216:$I$216</c:f>
              <c:numCache>
                <c:formatCode>0%</c:formatCode>
                <c:ptCount val="5"/>
                <c:pt idx="0">
                  <c:v>0.79</c:v>
                </c:pt>
                <c:pt idx="1">
                  <c:v>0.86699999999999999</c:v>
                </c:pt>
              </c:numCache>
            </c:numRef>
          </c:val>
          <c:extLst>
            <c:ext xmlns:c16="http://schemas.microsoft.com/office/drawing/2014/chart" uri="{C3380CC4-5D6E-409C-BE32-E72D297353CC}">
              <c16:uniqueId val="{00000001-2990-4390-BC04-5B6D0F1A34CC}"/>
            </c:ext>
          </c:extLst>
        </c:ser>
        <c:dLbls>
          <c:showLegendKey val="0"/>
          <c:showVal val="1"/>
          <c:showCatName val="0"/>
          <c:showSerName val="0"/>
          <c:showPercent val="0"/>
          <c:showBubbleSize val="0"/>
        </c:dLbls>
        <c:gapWidth val="150"/>
        <c:overlap val="-25"/>
        <c:axId val="1512272384"/>
        <c:axId val="1512268032"/>
      </c:barChart>
      <c:catAx>
        <c:axId val="151227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68032"/>
        <c:crosses val="autoZero"/>
        <c:auto val="1"/>
        <c:lblAlgn val="ctr"/>
        <c:lblOffset val="100"/>
        <c:noMultiLvlLbl val="0"/>
      </c:catAx>
      <c:valAx>
        <c:axId val="1512268032"/>
        <c:scaling>
          <c:orientation val="minMax"/>
        </c:scaling>
        <c:delete val="1"/>
        <c:axPos val="l"/>
        <c:numFmt formatCode="0%" sourceLinked="1"/>
        <c:majorTickMark val="none"/>
        <c:minorTickMark val="none"/>
        <c:tickLblPos val="nextTo"/>
        <c:crossAx val="1512272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ecommendations!A1"/><Relationship Id="rId13" Type="http://schemas.openxmlformats.org/officeDocument/2006/relationships/hyperlink" Target="#'Data Entry'!A1"/><Relationship Id="rId3" Type="http://schemas.openxmlformats.org/officeDocument/2006/relationships/hyperlink" Target="#Finance!A1"/><Relationship Id="rId7" Type="http://schemas.openxmlformats.org/officeDocument/2006/relationships/hyperlink" Target="#&#1059;&#1087;&#1088;&#1072;&#1074;&#1083;&#1077;&#1085;&#1080;&#1077;!A1"/><Relationship Id="rId12" Type="http://schemas.openxmlformats.org/officeDocument/2006/relationships/hyperlink" Target="#&#1055;&#1086;&#1082;&#1072;&#1079;&#1072;&#1090;&#1077;&#1083;&#1080;!A1"/><Relationship Id="rId17" Type="http://schemas.openxmlformats.org/officeDocument/2006/relationships/image" Target="../media/image5.png"/><Relationship Id="rId2" Type="http://schemas.openxmlformats.org/officeDocument/2006/relationships/image" Target="../media/image2.png"/><Relationship Id="rId16"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hyperlink" Target="#Management!A1"/><Relationship Id="rId11" Type="http://schemas.openxmlformats.org/officeDocument/2006/relationships/hyperlink" Target="#'&#1057;&#1074;&#1077;&#1076;&#1077;&#1085;&#1080;&#1103; &#1086; &#1075;&#1088;&#1072;&#1085;&#1090;&#1077;'!A1"/><Relationship Id="rId5" Type="http://schemas.openxmlformats.org/officeDocument/2006/relationships/hyperlink" Target="#&#1055;&#1088;&#1086;&#1075;&#1088;&#1072;&#1084;&#1084;&#1072;!A1"/><Relationship Id="rId15" Type="http://schemas.openxmlformats.org/officeDocument/2006/relationships/image" Target="../media/image3.png"/><Relationship Id="rId10" Type="http://schemas.openxmlformats.org/officeDocument/2006/relationships/hyperlink" Target="#&#1044;&#1077;&#1081;&#1089;&#1090;&#1074;&#1080;&#1103;!A1"/><Relationship Id="rId4" Type="http://schemas.openxmlformats.org/officeDocument/2006/relationships/hyperlink" Target="#&#1060;&#1080;&#1085;&#1072;&#1085;&#1089;&#1080;&#1088;&#1086;&#1074;&#1072;&#1085;&#1080;&#1077;!A1"/><Relationship Id="rId9" Type="http://schemas.openxmlformats.org/officeDocument/2006/relationships/hyperlink" Target="#&#1056;&#1077;&#1082;&#1086;&#1084;&#1077;&#1085;&#1076;&#1072;&#1094;&#1080;&#1080;!A1"/><Relationship Id="rId14" Type="http://schemas.openxmlformats.org/officeDocument/2006/relationships/hyperlink" Target="#'&#1042;&#1074;&#1086;&#1076; &#1044;&#1072;&#1085;&#1085;&#1099;&#1093;'!A1"/></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hyperlink" Target="#&#1052;&#1077;&#1085;&#1102;!A1"/></Relationships>
</file>

<file path=xl/drawings/_rels/drawing3.xml.rels><?xml version="1.0" encoding="UTF-8" standalone="yes"?>
<Relationships xmlns="http://schemas.openxmlformats.org/package/2006/relationships"><Relationship Id="rId1" Type="http://schemas.openxmlformats.org/officeDocument/2006/relationships/hyperlink" Target="#&#1052;&#1077;&#1085;&#1102;!A1"/></Relationships>
</file>

<file path=xl/drawings/_rels/drawing4.xml.rels><?xml version="1.0" encoding="UTF-8" standalone="yes"?>
<Relationships xmlns="http://schemas.openxmlformats.org/package/2006/relationships"><Relationship Id="rId2" Type="http://schemas.openxmlformats.org/officeDocument/2006/relationships/hyperlink" Target="#&#1052;&#1077;&#1085;&#1102;!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1052;&#1077;&#1085;&#1102;!A1"/><Relationship Id="rId1" Type="http://schemas.openxmlformats.org/officeDocument/2006/relationships/chart" Target="../charts/chart1.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hyperlink" Target="#&#1052;&#1077;&#1085;&#1102;!A1"/><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hyperlink" Target="#&#1052;&#1077;&#1085;&#1102;!A1"/><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hyperlink" Target="#&#1052;&#1077;&#1085;&#1102;!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hyperlink" Target="#&#1052;&#1077;&#1085;&#1102;!A1"/></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5</xdr:row>
      <xdr:rowOff>180975</xdr:rowOff>
    </xdr:from>
    <xdr:to>
      <xdr:col>12</xdr:col>
      <xdr:colOff>9525</xdr:colOff>
      <xdr:row>20</xdr:row>
      <xdr:rowOff>142875</xdr:rowOff>
    </xdr:to>
    <xdr:pic>
      <xdr:nvPicPr>
        <xdr:cNvPr id="3930518" name="Picture 2">
          <a:extLst>
            <a:ext uri="{FF2B5EF4-FFF2-40B4-BE49-F238E27FC236}">
              <a16:creationId xmlns:a16="http://schemas.microsoft.com/office/drawing/2014/main" id="{00000000-0008-0000-0000-000096F93B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133350" y="1609725"/>
          <a:ext cx="765810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3930519" name="Picture 824">
          <a:extLst>
            <a:ext uri="{FF2B5EF4-FFF2-40B4-BE49-F238E27FC236}">
              <a16:creationId xmlns:a16="http://schemas.microsoft.com/office/drawing/2014/main" id="{00000000-0008-0000-0000-000097F93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1857375"/>
          <a:ext cx="225742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3930520" name="AutoShape 27">
          <a:extLst>
            <a:ext uri="{FF2B5EF4-FFF2-40B4-BE49-F238E27FC236}">
              <a16:creationId xmlns:a16="http://schemas.microsoft.com/office/drawing/2014/main" id="{00000000-0008-0000-0000-000098F93B00}"/>
            </a:ext>
          </a:extLst>
        </xdr:cNvPr>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133350</xdr:colOff>
      <xdr:row>10</xdr:row>
      <xdr:rowOff>9525</xdr:rowOff>
    </xdr:from>
    <xdr:to>
      <xdr:col>6</xdr:col>
      <xdr:colOff>657225</xdr:colOff>
      <xdr:row>12</xdr:row>
      <xdr:rowOff>38100</xdr:rowOff>
    </xdr:to>
    <xdr:grpSp>
      <xdr:nvGrpSpPr>
        <xdr:cNvPr id="3930521" name="Group 25">
          <a:hlinkClick xmlns:r="http://schemas.openxmlformats.org/officeDocument/2006/relationships" r:id="rId3"/>
          <a:extLst>
            <a:ext uri="{FF2B5EF4-FFF2-40B4-BE49-F238E27FC236}">
              <a16:creationId xmlns:a16="http://schemas.microsoft.com/office/drawing/2014/main" id="{00000000-0008-0000-0000-000099F93B00}"/>
            </a:ext>
          </a:extLst>
        </xdr:cNvPr>
        <xdr:cNvGrpSpPr>
          <a:grpSpLocks/>
        </xdr:cNvGrpSpPr>
      </xdr:nvGrpSpPr>
      <xdr:grpSpPr bwMode="auto">
        <a:xfrm>
          <a:off x="3257550" y="2324100"/>
          <a:ext cx="1285875" cy="390525"/>
          <a:chOff x="1200" y="1912"/>
          <a:chExt cx="3456" cy="774"/>
        </a:xfrm>
      </xdr:grpSpPr>
      <xdr:sp macro="" textlink="">
        <xdr:nvSpPr>
          <xdr:cNvPr id="3930565" name="AutoShape 26">
            <a:extLst>
              <a:ext uri="{FF2B5EF4-FFF2-40B4-BE49-F238E27FC236}">
                <a16:creationId xmlns:a16="http://schemas.microsoft.com/office/drawing/2014/main" id="{00000000-0008-0000-0000-0000C5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2" name="AutoShape 27">
            <a:hlinkClick xmlns:r="http://schemas.openxmlformats.org/officeDocument/2006/relationships" r:id="rId4"/>
            <a:extLst>
              <a:ext uri="{FF2B5EF4-FFF2-40B4-BE49-F238E27FC236}">
                <a16:creationId xmlns:a16="http://schemas.microsoft.com/office/drawing/2014/main" id="{00000000-0008-0000-0000-000016000000}"/>
              </a:ext>
            </a:extLst>
          </xdr:cNvPr>
          <xdr:cNvSpPr>
            <a:spLocks noChangeArrowheads="1"/>
          </xdr:cNvSpPr>
        </xdr:nvSpPr>
        <xdr:spPr bwMode="gray">
          <a:xfrm>
            <a:off x="1277" y="1984"/>
            <a:ext cx="3277" cy="630"/>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Финансирование</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02" y="2020"/>
            <a:ext cx="358" cy="32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133350</xdr:colOff>
      <xdr:row>15</xdr:row>
      <xdr:rowOff>123825</xdr:rowOff>
    </xdr:from>
    <xdr:to>
      <xdr:col>6</xdr:col>
      <xdr:colOff>685800</xdr:colOff>
      <xdr:row>17</xdr:row>
      <xdr:rowOff>114300</xdr:rowOff>
    </xdr:to>
    <xdr:grpSp>
      <xdr:nvGrpSpPr>
        <xdr:cNvPr id="3930522" name="Group 25">
          <a:extLst>
            <a:ext uri="{FF2B5EF4-FFF2-40B4-BE49-F238E27FC236}">
              <a16:creationId xmlns:a16="http://schemas.microsoft.com/office/drawing/2014/main" id="{00000000-0008-0000-0000-00009AF93B00}"/>
            </a:ext>
          </a:extLst>
        </xdr:cNvPr>
        <xdr:cNvGrpSpPr>
          <a:grpSpLocks/>
        </xdr:cNvGrpSpPr>
      </xdr:nvGrpSpPr>
      <xdr:grpSpPr bwMode="auto">
        <a:xfrm>
          <a:off x="3257550" y="3343275"/>
          <a:ext cx="1314450" cy="352425"/>
          <a:chOff x="1200" y="1912"/>
          <a:chExt cx="3456" cy="774"/>
        </a:xfrm>
      </xdr:grpSpPr>
      <xdr:sp macro="" textlink="">
        <xdr:nvSpPr>
          <xdr:cNvPr id="3930562" name="AutoShape 26">
            <a:extLst>
              <a:ext uri="{FF2B5EF4-FFF2-40B4-BE49-F238E27FC236}">
                <a16:creationId xmlns:a16="http://schemas.microsoft.com/office/drawing/2014/main" id="{00000000-0008-0000-0000-0000C2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6" name="AutoShape 27">
            <a:hlinkClick xmlns:r="http://schemas.openxmlformats.org/officeDocument/2006/relationships" r:id="rId5"/>
            <a:extLst>
              <a:ext uri="{FF2B5EF4-FFF2-40B4-BE49-F238E27FC236}">
                <a16:creationId xmlns:a16="http://schemas.microsoft.com/office/drawing/2014/main" id="{00000000-0008-0000-0000-00001A000000}"/>
              </a:ext>
            </a:extLst>
          </xdr:cNvPr>
          <xdr:cNvSpPr>
            <a:spLocks noChangeArrowheads="1"/>
          </xdr:cNvSpPr>
        </xdr:nvSpPr>
        <xdr:spPr bwMode="gray">
          <a:xfrm>
            <a:off x="1300" y="1991"/>
            <a:ext cx="3306"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Программа</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0" y="2011"/>
            <a:ext cx="351"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123825</xdr:colOff>
      <xdr:row>12</xdr:row>
      <xdr:rowOff>161925</xdr:rowOff>
    </xdr:from>
    <xdr:to>
      <xdr:col>6</xdr:col>
      <xdr:colOff>676275</xdr:colOff>
      <xdr:row>14</xdr:row>
      <xdr:rowOff>171450</xdr:rowOff>
    </xdr:to>
    <xdr:grpSp>
      <xdr:nvGrpSpPr>
        <xdr:cNvPr id="3930523" name="Group 25">
          <a:hlinkClick xmlns:r="http://schemas.openxmlformats.org/officeDocument/2006/relationships" r:id="rId6"/>
          <a:extLst>
            <a:ext uri="{FF2B5EF4-FFF2-40B4-BE49-F238E27FC236}">
              <a16:creationId xmlns:a16="http://schemas.microsoft.com/office/drawing/2014/main" id="{00000000-0008-0000-0000-00009BF93B00}"/>
            </a:ext>
          </a:extLst>
        </xdr:cNvPr>
        <xdr:cNvGrpSpPr>
          <a:grpSpLocks/>
        </xdr:cNvGrpSpPr>
      </xdr:nvGrpSpPr>
      <xdr:grpSpPr bwMode="auto">
        <a:xfrm>
          <a:off x="3248025" y="2838450"/>
          <a:ext cx="1314450" cy="371475"/>
          <a:chOff x="1200" y="1912"/>
          <a:chExt cx="3456" cy="774"/>
        </a:xfrm>
      </xdr:grpSpPr>
      <xdr:sp macro="" textlink="">
        <xdr:nvSpPr>
          <xdr:cNvPr id="3930559" name="AutoShape 26">
            <a:extLst>
              <a:ext uri="{FF2B5EF4-FFF2-40B4-BE49-F238E27FC236}">
                <a16:creationId xmlns:a16="http://schemas.microsoft.com/office/drawing/2014/main" id="{00000000-0008-0000-0000-0000BF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07941" name="AutoShape 27">
            <a:hlinkClick xmlns:r="http://schemas.openxmlformats.org/officeDocument/2006/relationships" r:id="rId7"/>
            <a:extLst>
              <a:ext uri="{FF2B5EF4-FFF2-40B4-BE49-F238E27FC236}">
                <a16:creationId xmlns:a16="http://schemas.microsoft.com/office/drawing/2014/main" id="{00000000-0008-0000-0000-0000452C0300}"/>
              </a:ext>
            </a:extLst>
          </xdr:cNvPr>
          <xdr:cNvSpPr>
            <a:spLocks noChangeArrowheads="1"/>
          </xdr:cNvSpPr>
        </xdr:nvSpPr>
        <xdr:spPr bwMode="gray">
          <a:xfrm>
            <a:off x="1300" y="1988"/>
            <a:ext cx="3306" cy="623"/>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ru-RU" sz="1000" b="0" i="0" strike="noStrike">
                <a:solidFill>
                  <a:srgbClr val="FFFFFF"/>
                </a:solidFill>
                <a:latin typeface="Arial"/>
                <a:cs typeface="Arial"/>
              </a:rPr>
              <a:t>Управление</a:t>
            </a:r>
            <a:endParaRPr lang="en-US" sz="1000" b="0" i="0" strike="noStrike">
              <a:solidFill>
                <a:srgbClr val="FFFFFF"/>
              </a:solidFill>
              <a:latin typeface="Arial"/>
              <a:cs typeface="Arial"/>
            </a:endParaRP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0" y="2006"/>
            <a:ext cx="351" cy="340"/>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3</xdr:col>
      <xdr:colOff>647700</xdr:colOff>
      <xdr:row>5</xdr:row>
      <xdr:rowOff>0</xdr:rowOff>
    </xdr:from>
    <xdr:to>
      <xdr:col>8</xdr:col>
      <xdr:colOff>200025</xdr:colOff>
      <xdr:row>6</xdr:row>
      <xdr:rowOff>47625</xdr:rowOff>
    </xdr:to>
    <xdr:sp macro="" textlink="">
      <xdr:nvSpPr>
        <xdr:cNvPr id="3175758" name="Rectangle 803">
          <a:extLst>
            <a:ext uri="{FF2B5EF4-FFF2-40B4-BE49-F238E27FC236}">
              <a16:creationId xmlns:a16="http://schemas.microsoft.com/office/drawing/2014/main" id="{00000000-0008-0000-0000-00004E753000}"/>
            </a:ext>
          </a:extLst>
        </xdr:cNvPr>
        <xdr:cNvSpPr>
          <a:spLocks noChangeArrowheads="1"/>
        </xdr:cNvSpPr>
      </xdr:nvSpPr>
      <xdr:spPr bwMode="auto">
        <a:xfrm>
          <a:off x="2247900" y="1428750"/>
          <a:ext cx="3362325" cy="238125"/>
        </a:xfrm>
        <a:prstGeom prst="rect">
          <a:avLst/>
        </a:prstGeom>
        <a:noFill/>
        <a:ln>
          <a:noFill/>
        </a:ln>
      </xdr:spPr>
      <xdr:txBody>
        <a:bodyPr vertOverflow="clip" wrap="square" lIns="27432" tIns="27432" rIns="27432" bIns="0" anchor="t"/>
        <a:lstStyle/>
        <a:p>
          <a:pPr algn="ctr" rtl="0">
            <a:defRPr sz="1000"/>
          </a:pPr>
          <a:r>
            <a:rPr lang="az-Cyrl-AZ" sz="1100" b="1" i="1" u="none" strike="noStrike" baseline="0">
              <a:solidFill>
                <a:srgbClr val="000000"/>
              </a:solidFill>
              <a:latin typeface="Calibri"/>
              <a:cs typeface="Calibri"/>
            </a:rPr>
            <a:t>Выберите интересующий вас раздел:</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3930525" name="Group 832">
          <a:hlinkClick xmlns:r="http://schemas.openxmlformats.org/officeDocument/2006/relationships" r:id="rId8"/>
          <a:extLst>
            <a:ext uri="{FF2B5EF4-FFF2-40B4-BE49-F238E27FC236}">
              <a16:creationId xmlns:a16="http://schemas.microsoft.com/office/drawing/2014/main" id="{00000000-0008-0000-0000-00009DF93B00}"/>
            </a:ext>
          </a:extLst>
        </xdr:cNvPr>
        <xdr:cNvGrpSpPr>
          <a:grpSpLocks/>
        </xdr:cNvGrpSpPr>
      </xdr:nvGrpSpPr>
      <xdr:grpSpPr bwMode="auto">
        <a:xfrm>
          <a:off x="5705475" y="2495550"/>
          <a:ext cx="1504950" cy="390525"/>
          <a:chOff x="599" y="262"/>
          <a:chExt cx="158" cy="43"/>
        </a:xfrm>
      </xdr:grpSpPr>
      <xdr:sp macro="" textlink="">
        <xdr:nvSpPr>
          <xdr:cNvPr id="3930555" name="AutoShape 30">
            <a:extLst>
              <a:ext uri="{FF2B5EF4-FFF2-40B4-BE49-F238E27FC236}">
                <a16:creationId xmlns:a16="http://schemas.microsoft.com/office/drawing/2014/main" id="{00000000-0008-0000-0000-0000BBF93B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56" name="13 Grupo">
            <a:extLst>
              <a:ext uri="{FF2B5EF4-FFF2-40B4-BE49-F238E27FC236}">
                <a16:creationId xmlns:a16="http://schemas.microsoft.com/office/drawing/2014/main" id="{00000000-0008-0000-0000-0000BCF93B00}"/>
              </a:ext>
            </a:extLst>
          </xdr:cNvPr>
          <xdr:cNvGrpSpPr>
            <a:grpSpLocks/>
          </xdr:cNvGrpSpPr>
        </xdr:nvGrpSpPr>
        <xdr:grpSpPr bwMode="auto">
          <a:xfrm>
            <a:off x="603" y="267"/>
            <a:ext cx="151" cy="35"/>
            <a:chOff x="1104968" y="2771552"/>
            <a:chExt cx="3605494" cy="566957"/>
          </a:xfrm>
        </xdr:grpSpPr>
        <xdr:sp macro="" textlink="">
          <xdr:nvSpPr>
            <xdr:cNvPr id="4903" name="AutoShape 31">
              <a:hlinkClick xmlns:r="http://schemas.openxmlformats.org/officeDocument/2006/relationships" r:id="rId9"/>
              <a:extLst>
                <a:ext uri="{FF2B5EF4-FFF2-40B4-BE49-F238E27FC236}">
                  <a16:creationId xmlns:a16="http://schemas.microsoft.com/office/drawing/2014/main" id="{00000000-0008-0000-0000-000027130000}"/>
                </a:ext>
              </a:extLst>
            </xdr:cNvPr>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ru-RU" sz="1000" b="0" i="0" strike="noStrike">
                  <a:solidFill>
                    <a:srgbClr val="000000"/>
                  </a:solidFill>
                  <a:latin typeface="Arial"/>
                  <a:cs typeface="Arial"/>
                </a:rPr>
                <a:t>Рекомендации</a:t>
              </a:r>
              <a:endParaRPr lang="en-ZA" sz="1000" b="0" i="0" strike="noStrike">
                <a:solidFill>
                  <a:srgbClr val="000000"/>
                </a:solidFill>
                <a:latin typeface="Arial"/>
                <a:cs typeface="Arial"/>
              </a:endParaRPr>
            </a:p>
          </xdr:txBody>
        </xdr:sp>
        <xdr:sp macro="" textlink="">
          <xdr:nvSpPr>
            <xdr:cNvPr id="3930558" name="Freeform 32">
              <a:extLst>
                <a:ext uri="{FF2B5EF4-FFF2-40B4-BE49-F238E27FC236}">
                  <a16:creationId xmlns:a16="http://schemas.microsoft.com/office/drawing/2014/main" id="{00000000-0008-0000-0000-0000BEF93B00}"/>
                </a:ext>
              </a:extLst>
            </xdr:cNvPr>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3930526" name="Group 830">
          <a:extLst>
            <a:ext uri="{FF2B5EF4-FFF2-40B4-BE49-F238E27FC236}">
              <a16:creationId xmlns:a16="http://schemas.microsoft.com/office/drawing/2014/main" id="{00000000-0008-0000-0000-00009EF93B00}"/>
            </a:ext>
          </a:extLst>
        </xdr:cNvPr>
        <xdr:cNvGrpSpPr>
          <a:grpSpLocks/>
        </xdr:cNvGrpSpPr>
      </xdr:nvGrpSpPr>
      <xdr:grpSpPr bwMode="auto">
        <a:xfrm>
          <a:off x="323850" y="1857375"/>
          <a:ext cx="2143125" cy="2019300"/>
          <a:chOff x="32" y="188"/>
          <a:chExt cx="225" cy="225"/>
        </a:xfrm>
      </xdr:grpSpPr>
      <xdr:sp macro="" textlink="">
        <xdr:nvSpPr>
          <xdr:cNvPr id="3930553" name="AutoShape 31">
            <a:extLst>
              <a:ext uri="{FF2B5EF4-FFF2-40B4-BE49-F238E27FC236}">
                <a16:creationId xmlns:a16="http://schemas.microsoft.com/office/drawing/2014/main" id="{00000000-0008-0000-0000-0000B9F93B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930527" name="Group 826">
          <a:extLst>
            <a:ext uri="{FF2B5EF4-FFF2-40B4-BE49-F238E27FC236}">
              <a16:creationId xmlns:a16="http://schemas.microsoft.com/office/drawing/2014/main" id="{00000000-0008-0000-0000-00009FF93B00}"/>
            </a:ext>
          </a:extLst>
        </xdr:cNvPr>
        <xdr:cNvGrpSpPr>
          <a:grpSpLocks/>
        </xdr:cNvGrpSpPr>
      </xdr:nvGrpSpPr>
      <xdr:grpSpPr bwMode="auto">
        <a:xfrm>
          <a:off x="5695950" y="3095625"/>
          <a:ext cx="1504950" cy="390525"/>
          <a:chOff x="578" y="328"/>
          <a:chExt cx="158" cy="43"/>
        </a:xfrm>
      </xdr:grpSpPr>
      <xdr:sp macro="" textlink="">
        <xdr:nvSpPr>
          <xdr:cNvPr id="3930549" name="AutoShape 30">
            <a:extLst>
              <a:ext uri="{FF2B5EF4-FFF2-40B4-BE49-F238E27FC236}">
                <a16:creationId xmlns:a16="http://schemas.microsoft.com/office/drawing/2014/main" id="{00000000-0008-0000-0000-0000B5F93B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50" name="Group 823">
            <a:extLst>
              <a:ext uri="{FF2B5EF4-FFF2-40B4-BE49-F238E27FC236}">
                <a16:creationId xmlns:a16="http://schemas.microsoft.com/office/drawing/2014/main" id="{00000000-0008-0000-0000-0000B6F93B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10"/>
              <a:extLst>
                <a:ext uri="{FF2B5EF4-FFF2-40B4-BE49-F238E27FC236}">
                  <a16:creationId xmlns:a16="http://schemas.microsoft.com/office/drawing/2014/main" id="{00000000-0008-0000-0000-00002C130000}"/>
                </a:ext>
              </a:extLst>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ru-RU" sz="1000" b="0" i="0" strike="noStrike">
                  <a:solidFill>
                    <a:srgbClr val="000000"/>
                  </a:solidFill>
                  <a:latin typeface="Arial"/>
                  <a:cs typeface="Arial"/>
                </a:rPr>
                <a:t>Действия</a:t>
              </a:r>
              <a:endParaRPr lang="en-ZA" sz="1000" b="0" i="0" strike="noStrike">
                <a:solidFill>
                  <a:srgbClr val="000000"/>
                </a:solidFill>
                <a:latin typeface="Arial"/>
                <a:cs typeface="Arial"/>
              </a:endParaRPr>
            </a:p>
          </xdr:txBody>
        </xdr:sp>
        <xdr:sp macro="" textlink="">
          <xdr:nvSpPr>
            <xdr:cNvPr id="3930552" name="Freeform 32">
              <a:extLst>
                <a:ext uri="{FF2B5EF4-FFF2-40B4-BE49-F238E27FC236}">
                  <a16:creationId xmlns:a16="http://schemas.microsoft.com/office/drawing/2014/main" id="{00000000-0008-0000-0000-0000B8F93B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3930528" name="Group 831">
          <a:extLst>
            <a:ext uri="{FF2B5EF4-FFF2-40B4-BE49-F238E27FC236}">
              <a16:creationId xmlns:a16="http://schemas.microsoft.com/office/drawing/2014/main" id="{00000000-0008-0000-0000-0000A0F93B00}"/>
            </a:ext>
          </a:extLst>
        </xdr:cNvPr>
        <xdr:cNvGrpSpPr>
          <a:grpSpLocks/>
        </xdr:cNvGrpSpPr>
      </xdr:nvGrpSpPr>
      <xdr:grpSpPr bwMode="auto">
        <a:xfrm>
          <a:off x="590550" y="3352800"/>
          <a:ext cx="1504950" cy="323850"/>
          <a:chOff x="56" y="259"/>
          <a:chExt cx="158" cy="40"/>
        </a:xfrm>
      </xdr:grpSpPr>
      <xdr:sp macro="" textlink="">
        <xdr:nvSpPr>
          <xdr:cNvPr id="3930545" name="AutoShape 30">
            <a:extLst>
              <a:ext uri="{FF2B5EF4-FFF2-40B4-BE49-F238E27FC236}">
                <a16:creationId xmlns:a16="http://schemas.microsoft.com/office/drawing/2014/main" id="{00000000-0008-0000-0000-0000B1F93B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46" name="11 Grupo">
            <a:extLst>
              <a:ext uri="{FF2B5EF4-FFF2-40B4-BE49-F238E27FC236}">
                <a16:creationId xmlns:a16="http://schemas.microsoft.com/office/drawing/2014/main" id="{00000000-0008-0000-0000-0000B2F93B00}"/>
              </a:ext>
            </a:extLst>
          </xdr:cNvPr>
          <xdr:cNvGrpSpPr>
            <a:grpSpLocks/>
          </xdr:cNvGrpSpPr>
        </xdr:nvGrpSpPr>
        <xdr:grpSpPr bwMode="auto">
          <a:xfrm>
            <a:off x="60" y="263"/>
            <a:ext cx="151" cy="32"/>
            <a:chOff x="1104968" y="2771584"/>
            <a:chExt cx="3605494" cy="566957"/>
          </a:xfrm>
        </xdr:grpSpPr>
        <xdr:sp macro="" textlink="">
          <xdr:nvSpPr>
            <xdr:cNvPr id="9" name="AutoShape 31">
              <a:hlinkClick xmlns:r="http://schemas.openxmlformats.org/officeDocument/2006/relationships" r:id="rId11"/>
              <a:extLst>
                <a:ext uri="{FF2B5EF4-FFF2-40B4-BE49-F238E27FC236}">
                  <a16:creationId xmlns:a16="http://schemas.microsoft.com/office/drawing/2014/main" id="{00000000-0008-0000-0000-000009000000}"/>
                </a:ext>
              </a:extLst>
            </xdr:cNvPr>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Сведения о гранте</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3930529" name="37 Grupo">
          <a:hlinkClick xmlns:r="http://schemas.openxmlformats.org/officeDocument/2006/relationships" r:id="rId12"/>
          <a:extLst>
            <a:ext uri="{FF2B5EF4-FFF2-40B4-BE49-F238E27FC236}">
              <a16:creationId xmlns:a16="http://schemas.microsoft.com/office/drawing/2014/main" id="{00000000-0008-0000-0000-0000A1F93B00}"/>
            </a:ext>
          </a:extLst>
        </xdr:cNvPr>
        <xdr:cNvGrpSpPr>
          <a:grpSpLocks/>
        </xdr:cNvGrpSpPr>
      </xdr:nvGrpSpPr>
      <xdr:grpSpPr bwMode="auto">
        <a:xfrm>
          <a:off x="590550" y="2343150"/>
          <a:ext cx="1504950" cy="352425"/>
          <a:chOff x="1343025" y="2428876"/>
          <a:chExt cx="3240982" cy="617274"/>
        </a:xfrm>
      </xdr:grpSpPr>
      <xdr:sp macro="" textlink="">
        <xdr:nvSpPr>
          <xdr:cNvPr id="3930541" name="AutoShape 30">
            <a:extLst>
              <a:ext uri="{FF2B5EF4-FFF2-40B4-BE49-F238E27FC236}">
                <a16:creationId xmlns:a16="http://schemas.microsoft.com/office/drawing/2014/main" id="{00000000-0008-0000-0000-0000ADF93B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42" name="13 Grupo">
            <a:extLst>
              <a:ext uri="{FF2B5EF4-FFF2-40B4-BE49-F238E27FC236}">
                <a16:creationId xmlns:a16="http://schemas.microsoft.com/office/drawing/2014/main" id="{00000000-0008-0000-0000-0000AEF93B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Показатели</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3930530" name="37 Grupo">
          <a:hlinkClick xmlns:r="http://schemas.openxmlformats.org/officeDocument/2006/relationships" r:id="rId13"/>
          <a:extLst>
            <a:ext uri="{FF2B5EF4-FFF2-40B4-BE49-F238E27FC236}">
              <a16:creationId xmlns:a16="http://schemas.microsoft.com/office/drawing/2014/main" id="{00000000-0008-0000-0000-0000A2F93B00}"/>
            </a:ext>
          </a:extLst>
        </xdr:cNvPr>
        <xdr:cNvGrpSpPr>
          <a:grpSpLocks/>
        </xdr:cNvGrpSpPr>
      </xdr:nvGrpSpPr>
      <xdr:grpSpPr bwMode="auto">
        <a:xfrm>
          <a:off x="590550" y="2857500"/>
          <a:ext cx="1504950" cy="352425"/>
          <a:chOff x="1343025" y="2428876"/>
          <a:chExt cx="3240982" cy="617274"/>
        </a:xfrm>
      </xdr:grpSpPr>
      <xdr:sp macro="" textlink="">
        <xdr:nvSpPr>
          <xdr:cNvPr id="3930537" name="AutoShape 30">
            <a:extLst>
              <a:ext uri="{FF2B5EF4-FFF2-40B4-BE49-F238E27FC236}">
                <a16:creationId xmlns:a16="http://schemas.microsoft.com/office/drawing/2014/main" id="{00000000-0008-0000-0000-0000A9F93B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38" name="13 Grupo">
            <a:extLst>
              <a:ext uri="{FF2B5EF4-FFF2-40B4-BE49-F238E27FC236}">
                <a16:creationId xmlns:a16="http://schemas.microsoft.com/office/drawing/2014/main" id="{00000000-0008-0000-0000-0000AAF93B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hlinkClick xmlns:r="http://schemas.openxmlformats.org/officeDocument/2006/relationships" r:id="rId14"/>
              <a:extLst>
                <a:ext uri="{FF2B5EF4-FFF2-40B4-BE49-F238E27FC236}">
                  <a16:creationId xmlns:a16="http://schemas.microsoft.com/office/drawing/2014/main" id="{00000000-0008-0000-0000-00000E000000}"/>
                </a:ext>
              </a:extLst>
            </xdr:cNvPr>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Ввод данных</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3930531" name="Picture 2012">
          <a:extLst>
            <a:ext uri="{FF2B5EF4-FFF2-40B4-BE49-F238E27FC236}">
              <a16:creationId xmlns:a16="http://schemas.microsoft.com/office/drawing/2014/main" id="{00000000-0008-0000-0000-0000A3F93B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33375" y="1876425"/>
          <a:ext cx="2133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az-Cyrl-AZ" sz="1200" b="0" i="0" u="none" strike="noStrike" baseline="0">
              <a:solidFill>
                <a:srgbClr val="000000"/>
              </a:solidFill>
              <a:latin typeface="Arial"/>
              <a:cs typeface="Arial"/>
            </a:rPr>
            <a:t>Информация о гранте</a:t>
          </a:r>
          <a:endParaRPr lang="az-Cyrl-AZ" sz="1800" b="0" i="0" u="none" strike="noStrike" baseline="0">
            <a:solidFill>
              <a:srgbClr val="000000"/>
            </a:solidFill>
            <a:latin typeface="Arial"/>
            <a:cs typeface="Arial"/>
          </a:endParaRPr>
        </a:p>
        <a:p>
          <a:pPr algn="ctr" rtl="0">
            <a:defRPr sz="1000"/>
          </a:pPr>
          <a:endParaRPr lang="az-Cyrl-AZ" sz="1800" b="0" i="0" u="none" strike="noStrike" baseline="0">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3930533" name="Picture 2016">
          <a:extLst>
            <a:ext uri="{FF2B5EF4-FFF2-40B4-BE49-F238E27FC236}">
              <a16:creationId xmlns:a16="http://schemas.microsoft.com/office/drawing/2014/main" id="{00000000-0008-0000-0000-0000A5F93B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609850" y="1876425"/>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ru-RU" sz="1200" b="0" i="0" strike="noStrike">
              <a:solidFill>
                <a:srgbClr val="000000"/>
              </a:solidFill>
              <a:latin typeface="Arial"/>
              <a:cs typeface="Arial"/>
            </a:rPr>
            <a:t>Показатели</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3930535" name="Picture 2018">
          <a:extLst>
            <a:ext uri="{FF2B5EF4-FFF2-40B4-BE49-F238E27FC236}">
              <a16:creationId xmlns:a16="http://schemas.microsoft.com/office/drawing/2014/main" id="{00000000-0008-0000-0000-0000A7F93B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381625" y="1885950"/>
          <a:ext cx="21621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ru-RU" sz="1200" b="0" i="0" strike="noStrike">
              <a:solidFill>
                <a:srgbClr val="000000"/>
              </a:solidFill>
              <a:latin typeface="Arial"/>
              <a:cs typeface="Arial"/>
            </a:rPr>
            <a:t>Отчеты</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71" name="Picture 2" descr="C:\Documents and Settings\Administrator\My Documents\My Pictures\Prueba.jpg">
          <a:extLst>
            <a:ext uri="{FF2B5EF4-FFF2-40B4-BE49-F238E27FC236}">
              <a16:creationId xmlns:a16="http://schemas.microsoft.com/office/drawing/2014/main" id="{00000000-0008-0000-0900-00002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875" y="257175"/>
          <a:ext cx="7429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3</xdr:col>
      <xdr:colOff>38100</xdr:colOff>
      <xdr:row>63</xdr:row>
      <xdr:rowOff>144991</xdr:rowOff>
    </xdr:from>
    <xdr:to>
      <xdr:col>3</xdr:col>
      <xdr:colOff>885825</xdr:colOff>
      <xdr:row>63</xdr:row>
      <xdr:rowOff>144991</xdr:rowOff>
    </xdr:to>
    <xdr:cxnSp macro="">
      <xdr:nvCxnSpPr>
        <xdr:cNvPr id="7137" name="AutoShape 101">
          <a:extLst>
            <a:ext uri="{FF2B5EF4-FFF2-40B4-BE49-F238E27FC236}">
              <a16:creationId xmlns:a16="http://schemas.microsoft.com/office/drawing/2014/main" id="{00000000-0008-0000-0200-0000E11B0000}"/>
            </a:ext>
          </a:extLst>
        </xdr:cNvPr>
        <xdr:cNvCxnSpPr>
          <a:cxnSpLocks noChangeShapeType="1"/>
        </xdr:cNvCxnSpPr>
      </xdr:nvCxnSpPr>
      <xdr:spPr bwMode="auto">
        <a:xfrm flipH="1">
          <a:off x="6684433" y="7405158"/>
          <a:ext cx="84772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405342</xdr:colOff>
      <xdr:row>34</xdr:row>
      <xdr:rowOff>48683</xdr:rowOff>
    </xdr:from>
    <xdr:to>
      <xdr:col>11</xdr:col>
      <xdr:colOff>414867</xdr:colOff>
      <xdr:row>63</xdr:row>
      <xdr:rowOff>10583</xdr:rowOff>
    </xdr:to>
    <xdr:cxnSp macro="">
      <xdr:nvCxnSpPr>
        <xdr:cNvPr id="7138" name="Straight Arrow Connector 9">
          <a:extLst>
            <a:ext uri="{FF2B5EF4-FFF2-40B4-BE49-F238E27FC236}">
              <a16:creationId xmlns:a16="http://schemas.microsoft.com/office/drawing/2014/main" id="{00000000-0008-0000-0200-0000E21B0000}"/>
            </a:ext>
          </a:extLst>
        </xdr:cNvPr>
        <xdr:cNvCxnSpPr>
          <a:cxnSpLocks noChangeShapeType="1"/>
        </xdr:cNvCxnSpPr>
      </xdr:nvCxnSpPr>
      <xdr:spPr bwMode="auto">
        <a:xfrm flipH="1">
          <a:off x="15550092" y="5329766"/>
          <a:ext cx="9525" cy="1940984"/>
        </a:xfrm>
        <a:prstGeom prst="straightConnector1">
          <a:avLst/>
        </a:prstGeom>
        <a:noFill/>
        <a:ln w="952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54332" name="Chart 32">
          <a:extLst>
            <a:ext uri="{FF2B5EF4-FFF2-40B4-BE49-F238E27FC236}">
              <a16:creationId xmlns:a16="http://schemas.microsoft.com/office/drawing/2014/main" id="{00000000-0008-0000-0400-0000BC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0</xdr:col>
      <xdr:colOff>92364</xdr:colOff>
      <xdr:row>24</xdr:row>
      <xdr:rowOff>23090</xdr:rowOff>
    </xdr:from>
    <xdr:to>
      <xdr:col>6</xdr:col>
      <xdr:colOff>139211</xdr:colOff>
      <xdr:row>33</xdr:row>
      <xdr:rowOff>21980</xdr:rowOff>
    </xdr:to>
    <xdr:graphicFrame macro="">
      <xdr:nvGraphicFramePr>
        <xdr:cNvPr id="2854334" name="Chart 34">
          <a:extLst>
            <a:ext uri="{FF2B5EF4-FFF2-40B4-BE49-F238E27FC236}">
              <a16:creationId xmlns:a16="http://schemas.microsoft.com/office/drawing/2014/main" id="{00000000-0008-0000-0400-0000BE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161925</xdr:colOff>
      <xdr:row>9</xdr:row>
      <xdr:rowOff>66675</xdr:rowOff>
    </xdr:from>
    <xdr:to>
      <xdr:col>13</xdr:col>
      <xdr:colOff>171450</xdr:colOff>
      <xdr:row>20</xdr:row>
      <xdr:rowOff>76200</xdr:rowOff>
    </xdr:to>
    <xdr:graphicFrame macro="">
      <xdr:nvGraphicFramePr>
        <xdr:cNvPr id="2854335" name="Chart 7">
          <a:extLst>
            <a:ext uri="{FF2B5EF4-FFF2-40B4-BE49-F238E27FC236}">
              <a16:creationId xmlns:a16="http://schemas.microsoft.com/office/drawing/2014/main" id="{00000000-0008-0000-0400-0000BF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64477</xdr:colOff>
      <xdr:row>19</xdr:row>
      <xdr:rowOff>133351</xdr:rowOff>
    </xdr:from>
    <xdr:to>
      <xdr:col>13</xdr:col>
      <xdr:colOff>209550</xdr:colOff>
      <xdr:row>20</xdr:row>
      <xdr:rowOff>105509</xdr:rowOff>
    </xdr:to>
    <xdr:grpSp>
      <xdr:nvGrpSpPr>
        <xdr:cNvPr id="2854336" name="Group 6">
          <a:extLst>
            <a:ext uri="{FF2B5EF4-FFF2-40B4-BE49-F238E27FC236}">
              <a16:creationId xmlns:a16="http://schemas.microsoft.com/office/drawing/2014/main" id="{00000000-0008-0000-0400-0000C08D2B00}"/>
            </a:ext>
          </a:extLst>
        </xdr:cNvPr>
        <xdr:cNvGrpSpPr>
          <a:grpSpLocks/>
        </xdr:cNvGrpSpPr>
      </xdr:nvGrpSpPr>
      <xdr:grpSpPr bwMode="auto">
        <a:xfrm>
          <a:off x="4760302" y="4200526"/>
          <a:ext cx="3393098" cy="153133"/>
          <a:chOff x="0" y="0"/>
          <a:chExt cx="37352" cy="2842"/>
        </a:xfrm>
      </xdr:grpSpPr>
      <xdr:sp macro="" textlink="">
        <xdr:nvSpPr>
          <xdr:cNvPr id="2854337" name="Rectangle 1">
            <a:extLst>
              <a:ext uri="{FF2B5EF4-FFF2-40B4-BE49-F238E27FC236}">
                <a16:creationId xmlns:a16="http://schemas.microsoft.com/office/drawing/2014/main" id="{00000000-0008-0000-0400-0000C18D2B00}"/>
              </a:ext>
            </a:extLst>
          </xdr:cNvPr>
          <xdr:cNvSpPr>
            <a:spLocks noChangeArrowheads="1"/>
          </xdr:cNvSpPr>
        </xdr:nvSpPr>
        <xdr:spPr bwMode="auto">
          <a:xfrm>
            <a:off x="0" y="603"/>
            <a:ext cx="1639" cy="1726"/>
          </a:xfrm>
          <a:prstGeom prst="rect">
            <a:avLst/>
          </a:prstGeom>
          <a:solidFill>
            <a:srgbClr val="AEC9E4">
              <a:alpha val="94116"/>
            </a:srgbClr>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2854231" name="Rectangle 3">
            <a:extLst>
              <a:ext uri="{FF2B5EF4-FFF2-40B4-BE49-F238E27FC236}">
                <a16:creationId xmlns:a16="http://schemas.microsoft.com/office/drawing/2014/main" id="{00000000-0008-0000-0400-0000578D2B00}"/>
              </a:ext>
            </a:extLst>
          </xdr:cNvPr>
          <xdr:cNvSpPr>
            <a:spLocks noChangeArrowheads="1"/>
          </xdr:cNvSpPr>
        </xdr:nvSpPr>
        <xdr:spPr bwMode="auto">
          <a:xfrm>
            <a:off x="2393"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ru-RU" sz="800" b="0" i="0" u="none" strike="noStrike" baseline="0">
                <a:solidFill>
                  <a:srgbClr val="000000"/>
                </a:solidFill>
                <a:latin typeface="Calibri"/>
                <a:cs typeface="Calibri"/>
              </a:rPr>
              <a:t>Текущий отчетный период</a:t>
            </a:r>
          </a:p>
        </xdr:txBody>
      </xdr:sp>
      <xdr:sp macro="" textlink="">
        <xdr:nvSpPr>
          <xdr:cNvPr id="2854339" name="Rectangle 4">
            <a:extLst>
              <a:ext uri="{FF2B5EF4-FFF2-40B4-BE49-F238E27FC236}">
                <a16:creationId xmlns:a16="http://schemas.microsoft.com/office/drawing/2014/main" id="{00000000-0008-0000-0400-0000C38D2B00}"/>
              </a:ext>
            </a:extLst>
          </xdr:cNvPr>
          <xdr:cNvSpPr>
            <a:spLocks noChangeArrowheads="1"/>
          </xdr:cNvSpPr>
        </xdr:nvSpPr>
        <xdr:spPr bwMode="auto">
          <a:xfrm>
            <a:off x="19150" y="776"/>
            <a:ext cx="1639" cy="1725"/>
          </a:xfrm>
          <a:prstGeom prst="rect">
            <a:avLst/>
          </a:prstGeom>
          <a:solidFill>
            <a:srgbClr val="005CB8"/>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2854229" name="Rectangle 5">
            <a:extLst>
              <a:ext uri="{FF2B5EF4-FFF2-40B4-BE49-F238E27FC236}">
                <a16:creationId xmlns:a16="http://schemas.microsoft.com/office/drawing/2014/main" id="{00000000-0008-0000-0400-0000558D2B00}"/>
              </a:ext>
            </a:extLst>
          </xdr:cNvPr>
          <xdr:cNvSpPr>
            <a:spLocks noChangeArrowheads="1"/>
          </xdr:cNvSpPr>
        </xdr:nvSpPr>
        <xdr:spPr bwMode="auto">
          <a:xfrm>
            <a:off x="21537"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ru-RU" sz="800" b="0" i="0" u="none" strike="noStrike" baseline="0">
                <a:solidFill>
                  <a:srgbClr val="000000"/>
                </a:solidFill>
                <a:latin typeface="Calibri"/>
                <a:cs typeface="Calibri"/>
              </a:rPr>
              <a:t>До отчетного периода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1"/>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1</xdr:col>
      <xdr:colOff>0</xdr:colOff>
      <xdr:row>9</xdr:row>
      <xdr:rowOff>0</xdr:rowOff>
    </xdr:from>
    <xdr:to>
      <xdr:col>4</xdr:col>
      <xdr:colOff>942975</xdr:colOff>
      <xdr:row>19</xdr:row>
      <xdr:rowOff>47625</xdr:rowOff>
    </xdr:to>
    <xdr:graphicFrame macro="">
      <xdr:nvGraphicFramePr>
        <xdr:cNvPr id="10" name="Диаграмма 9">
          <a:extLst>
            <a:ext uri="{FF2B5EF4-FFF2-40B4-BE49-F238E27FC236}">
              <a16:creationId xmlns:a16="http://schemas.microsoft.com/office/drawing/2014/main" id="{00000000-0008-0000-0600-00000A000000}"/>
            </a:ext>
            <a:ext uri="{147F2762-F138-4A5C-976F-8EAC2B608ADB}">
              <a16:predDERef xmlns:a16="http://schemas.microsoft.com/office/drawing/2014/main" pred="{00000000-0008-0000-0600-00007D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9</xdr:row>
      <xdr:rowOff>19050</xdr:rowOff>
    </xdr:from>
    <xdr:to>
      <xdr:col>11</xdr:col>
      <xdr:colOff>0</xdr:colOff>
      <xdr:row>19</xdr:row>
      <xdr:rowOff>57150</xdr:rowOff>
    </xdr:to>
    <xdr:graphicFrame macro="">
      <xdr:nvGraphicFramePr>
        <xdr:cNvPr id="12" name="Диаграмма 11">
          <a:extLst>
            <a:ext uri="{FF2B5EF4-FFF2-40B4-BE49-F238E27FC236}">
              <a16:creationId xmlns:a16="http://schemas.microsoft.com/office/drawing/2014/main" id="{00000000-0008-0000-0600-00000C000000}"/>
            </a:ext>
            <a:ext uri="{147F2762-F138-4A5C-976F-8EAC2B608ADB}">
              <a16:predDERef xmlns:a16="http://schemas.microsoft.com/office/drawing/2014/main" pre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9</xdr:row>
      <xdr:rowOff>0</xdr:rowOff>
    </xdr:from>
    <xdr:to>
      <xdr:col>17</xdr:col>
      <xdr:colOff>9525</xdr:colOff>
      <xdr:row>19</xdr:row>
      <xdr:rowOff>47625</xdr:rowOff>
    </xdr:to>
    <xdr:graphicFrame macro="">
      <xdr:nvGraphicFramePr>
        <xdr:cNvPr id="13" name="Диаграмма 12">
          <a:extLst>
            <a:ext uri="{FF2B5EF4-FFF2-40B4-BE49-F238E27FC236}">
              <a16:creationId xmlns:a16="http://schemas.microsoft.com/office/drawing/2014/main" id="{00000000-0008-0000-0600-00000D000000}"/>
            </a:ext>
            <a:ext uri="{147F2762-F138-4A5C-976F-8EAC2B608ADB}">
              <a16:predDERef xmlns:a16="http://schemas.microsoft.com/office/drawing/2014/main" pre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36</xdr:row>
      <xdr:rowOff>9525</xdr:rowOff>
    </xdr:from>
    <xdr:to>
      <xdr:col>5</xdr:col>
      <xdr:colOff>28575</xdr:colOff>
      <xdr:row>46</xdr:row>
      <xdr:rowOff>66675</xdr:rowOff>
    </xdr:to>
    <xdr:graphicFrame macro="">
      <xdr:nvGraphicFramePr>
        <xdr:cNvPr id="14" name="Диаграмма 13">
          <a:extLst>
            <a:ext uri="{FF2B5EF4-FFF2-40B4-BE49-F238E27FC236}">
              <a16:creationId xmlns:a16="http://schemas.microsoft.com/office/drawing/2014/main" id="{00000000-0008-0000-0600-00000E000000}"/>
            </a:ext>
            <a:ext uri="{147F2762-F138-4A5C-976F-8EAC2B608ADB}">
              <a16:predDERef xmlns:a16="http://schemas.microsoft.com/office/drawing/2014/main" pre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952500</xdr:colOff>
      <xdr:row>36</xdr:row>
      <xdr:rowOff>0</xdr:rowOff>
    </xdr:from>
    <xdr:to>
      <xdr:col>10</xdr:col>
      <xdr:colOff>1428750</xdr:colOff>
      <xdr:row>46</xdr:row>
      <xdr:rowOff>66675</xdr:rowOff>
    </xdr:to>
    <xdr:graphicFrame macro="">
      <xdr:nvGraphicFramePr>
        <xdr:cNvPr id="15" name="Диаграмма 14">
          <a:extLst>
            <a:ext uri="{FF2B5EF4-FFF2-40B4-BE49-F238E27FC236}">
              <a16:creationId xmlns:a16="http://schemas.microsoft.com/office/drawing/2014/main" id="{00000000-0008-0000-0600-00000F000000}"/>
            </a:ext>
            <a:ext uri="{147F2762-F138-4A5C-976F-8EAC2B608ADB}">
              <a16:predDERef xmlns:a16="http://schemas.microsoft.com/office/drawing/2014/main" pre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11907</xdr:colOff>
      <xdr:row>36</xdr:row>
      <xdr:rowOff>0</xdr:rowOff>
    </xdr:from>
    <xdr:to>
      <xdr:col>17</xdr:col>
      <xdr:colOff>11907</xdr:colOff>
      <xdr:row>46</xdr:row>
      <xdr:rowOff>68356</xdr:rowOff>
    </xdr:to>
    <xdr:graphicFrame macro="">
      <xdr:nvGraphicFramePr>
        <xdr:cNvPr id="16" name="Диаграмма 15">
          <a:extLst>
            <a:ext uri="{FF2B5EF4-FFF2-40B4-BE49-F238E27FC236}">
              <a16:creationId xmlns:a16="http://schemas.microsoft.com/office/drawing/2014/main" id="{00000000-0008-0000-0600-000010000000}"/>
            </a:ext>
            <a:ext uri="{147F2762-F138-4A5C-976F-8EAC2B608ADB}">
              <a16:predDERef xmlns:a16="http://schemas.microsoft.com/office/drawing/2014/main" pre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238125</xdr:colOff>
      <xdr:row>18</xdr:row>
      <xdr:rowOff>2447924</xdr:rowOff>
    </xdr:from>
    <xdr:to>
      <xdr:col>12</xdr:col>
      <xdr:colOff>914400</xdr:colOff>
      <xdr:row>26</xdr:row>
      <xdr:rowOff>47625</xdr:rowOff>
    </xdr:to>
    <xdr:graphicFrame macro="">
      <xdr:nvGraphicFramePr>
        <xdr:cNvPr id="2870841" name="Chart 1054">
          <a:extLst>
            <a:ext uri="{FF2B5EF4-FFF2-40B4-BE49-F238E27FC236}">
              <a16:creationId xmlns:a16="http://schemas.microsoft.com/office/drawing/2014/main" id="{00000000-0008-0000-0500-000039CE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2"/>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0</xdr:col>
      <xdr:colOff>219074</xdr:colOff>
      <xdr:row>8</xdr:row>
      <xdr:rowOff>0</xdr:rowOff>
    </xdr:from>
    <xdr:to>
      <xdr:col>5</xdr:col>
      <xdr:colOff>1123949</xdr:colOff>
      <xdr:row>16</xdr:row>
      <xdr:rowOff>504825</xdr:rowOff>
    </xdr:to>
    <xdr:graphicFrame macro="">
      <xdr:nvGraphicFramePr>
        <xdr:cNvPr id="10" name="Chart 1046">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5</xdr:col>
      <xdr:colOff>1123950</xdr:colOff>
      <xdr:row>26</xdr:row>
      <xdr:rowOff>76200</xdr:rowOff>
    </xdr:to>
    <xdr:graphicFrame macro="">
      <xdr:nvGraphicFramePr>
        <xdr:cNvPr id="11" name="Диаграмма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30</xdr:row>
      <xdr:rowOff>9525</xdr:rowOff>
    </xdr:from>
    <xdr:to>
      <xdr:col>5</xdr:col>
      <xdr:colOff>1085850</xdr:colOff>
      <xdr:row>34</xdr:row>
      <xdr:rowOff>114300</xdr:rowOff>
    </xdr:to>
    <xdr:graphicFrame macro="">
      <xdr:nvGraphicFramePr>
        <xdr:cNvPr id="8" name="Диаграмма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8</xdr:row>
      <xdr:rowOff>0</xdr:rowOff>
    </xdr:from>
    <xdr:to>
      <xdr:col>12</xdr:col>
      <xdr:colOff>942975</xdr:colOff>
      <xdr:row>16</xdr:row>
      <xdr:rowOff>466725</xdr:rowOff>
    </xdr:to>
    <xdr:graphicFrame macro="">
      <xdr:nvGraphicFramePr>
        <xdr:cNvPr id="12" name="Диаграмма 11">
          <a:extLst>
            <a:ext uri="{FF2B5EF4-FFF2-40B4-BE49-F238E27FC236}">
              <a16:creationId xmlns:a16="http://schemas.microsoft.com/office/drawing/2014/main" id="{BD62D30F-EC47-4C15-989A-E952C0175425}"/>
            </a:ext>
            <a:ext uri="{147F2762-F138-4A5C-976F-8EAC2B608ADB}">
              <a16:predDERef xmlns:a16="http://schemas.microsoft.com/office/drawing/2014/main" pre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518" name="Chart 1">
          <a:extLst>
            <a:ext uri="{FF2B5EF4-FFF2-40B4-BE49-F238E27FC236}">
              <a16:creationId xmlns:a16="http://schemas.microsoft.com/office/drawing/2014/main" id="{00000000-0008-0000-0800-0000E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5135" name="Group 41">
          <a:extLst>
            <a:ext uri="{FF2B5EF4-FFF2-40B4-BE49-F238E27FC236}">
              <a16:creationId xmlns:a16="http://schemas.microsoft.com/office/drawing/2014/main" id="{00000000-0008-0000-0700-00007F6A3400}"/>
            </a:ext>
          </a:extLst>
        </xdr:cNvPr>
        <xdr:cNvGrpSpPr>
          <a:grpSpLocks/>
        </xdr:cNvGrpSpPr>
      </xdr:nvGrpSpPr>
      <xdr:grpSpPr bwMode="auto">
        <a:xfrm>
          <a:off x="5553075" y="5543550"/>
          <a:ext cx="85725" cy="0"/>
          <a:chOff x="595" y="540"/>
          <a:chExt cx="9" cy="9"/>
        </a:xfrm>
      </xdr:grpSpPr>
      <xdr:sp macro="" textlink="">
        <xdr:nvSpPr>
          <xdr:cNvPr id="3435146" name="Rectangle 11">
            <a:extLst>
              <a:ext uri="{FF2B5EF4-FFF2-40B4-BE49-F238E27FC236}">
                <a16:creationId xmlns:a16="http://schemas.microsoft.com/office/drawing/2014/main" id="{00000000-0008-0000-0700-00008A6A34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5147" name="Arc 12">
            <a:extLst>
              <a:ext uri="{FF2B5EF4-FFF2-40B4-BE49-F238E27FC236}">
                <a16:creationId xmlns:a16="http://schemas.microsoft.com/office/drawing/2014/main" id="{00000000-0008-0000-0700-00008B6A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5136" name="Group 44">
          <a:extLst>
            <a:ext uri="{FF2B5EF4-FFF2-40B4-BE49-F238E27FC236}">
              <a16:creationId xmlns:a16="http://schemas.microsoft.com/office/drawing/2014/main" id="{00000000-0008-0000-0700-0000806A3400}"/>
            </a:ext>
          </a:extLst>
        </xdr:cNvPr>
        <xdr:cNvGrpSpPr>
          <a:grpSpLocks/>
        </xdr:cNvGrpSpPr>
      </xdr:nvGrpSpPr>
      <xdr:grpSpPr bwMode="auto">
        <a:xfrm>
          <a:off x="6534150" y="5543550"/>
          <a:ext cx="85725" cy="0"/>
          <a:chOff x="698" y="540"/>
          <a:chExt cx="9" cy="9"/>
        </a:xfrm>
      </xdr:grpSpPr>
      <xdr:sp macro="" textlink="">
        <xdr:nvSpPr>
          <xdr:cNvPr id="3435144" name="Rectangle 47">
            <a:extLst>
              <a:ext uri="{FF2B5EF4-FFF2-40B4-BE49-F238E27FC236}">
                <a16:creationId xmlns:a16="http://schemas.microsoft.com/office/drawing/2014/main" id="{00000000-0008-0000-0700-0000886A34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5145" name="Arc 48">
            <a:extLst>
              <a:ext uri="{FF2B5EF4-FFF2-40B4-BE49-F238E27FC236}">
                <a16:creationId xmlns:a16="http://schemas.microsoft.com/office/drawing/2014/main" id="{00000000-0008-0000-0700-0000896A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6</xdr:col>
      <xdr:colOff>781050</xdr:colOff>
      <xdr:row>20</xdr:row>
      <xdr:rowOff>0</xdr:rowOff>
    </xdr:from>
    <xdr:to>
      <xdr:col>7</xdr:col>
      <xdr:colOff>0</xdr:colOff>
      <xdr:row>20</xdr:row>
      <xdr:rowOff>0</xdr:rowOff>
    </xdr:to>
    <xdr:grpSp>
      <xdr:nvGrpSpPr>
        <xdr:cNvPr id="3435137" name="Group 47">
          <a:extLst>
            <a:ext uri="{FF2B5EF4-FFF2-40B4-BE49-F238E27FC236}">
              <a16:creationId xmlns:a16="http://schemas.microsoft.com/office/drawing/2014/main" id="{00000000-0008-0000-0700-0000816A3400}"/>
            </a:ext>
          </a:extLst>
        </xdr:cNvPr>
        <xdr:cNvGrpSpPr>
          <a:grpSpLocks/>
        </xdr:cNvGrpSpPr>
      </xdr:nvGrpSpPr>
      <xdr:grpSpPr bwMode="auto">
        <a:xfrm>
          <a:off x="5181600" y="5543550"/>
          <a:ext cx="85725" cy="0"/>
          <a:chOff x="698" y="540"/>
          <a:chExt cx="9" cy="9"/>
        </a:xfrm>
      </xdr:grpSpPr>
      <xdr:sp macro="" textlink="">
        <xdr:nvSpPr>
          <xdr:cNvPr id="3435142" name="Rectangle 47">
            <a:extLst>
              <a:ext uri="{FF2B5EF4-FFF2-40B4-BE49-F238E27FC236}">
                <a16:creationId xmlns:a16="http://schemas.microsoft.com/office/drawing/2014/main" id="{00000000-0008-0000-0700-0000866A34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5143" name="Arc 48">
            <a:extLst>
              <a:ext uri="{FF2B5EF4-FFF2-40B4-BE49-F238E27FC236}">
                <a16:creationId xmlns:a16="http://schemas.microsoft.com/office/drawing/2014/main" id="{00000000-0008-0000-0700-0000876A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xdr:col>
      <xdr:colOff>0</xdr:colOff>
      <xdr:row>20</xdr:row>
      <xdr:rowOff>0</xdr:rowOff>
    </xdr:from>
    <xdr:to>
      <xdr:col>3</xdr:col>
      <xdr:colOff>85725</xdr:colOff>
      <xdr:row>20</xdr:row>
      <xdr:rowOff>0</xdr:rowOff>
    </xdr:to>
    <xdr:grpSp>
      <xdr:nvGrpSpPr>
        <xdr:cNvPr id="3435138" name="Group 50">
          <a:extLst>
            <a:ext uri="{FF2B5EF4-FFF2-40B4-BE49-F238E27FC236}">
              <a16:creationId xmlns:a16="http://schemas.microsoft.com/office/drawing/2014/main" id="{00000000-0008-0000-0700-0000826A3400}"/>
            </a:ext>
          </a:extLst>
        </xdr:cNvPr>
        <xdr:cNvGrpSpPr>
          <a:grpSpLocks/>
        </xdr:cNvGrpSpPr>
      </xdr:nvGrpSpPr>
      <xdr:grpSpPr bwMode="auto">
        <a:xfrm>
          <a:off x="1438275" y="5543550"/>
          <a:ext cx="85725" cy="0"/>
          <a:chOff x="595" y="540"/>
          <a:chExt cx="9" cy="9"/>
        </a:xfrm>
      </xdr:grpSpPr>
      <xdr:sp macro="" textlink="">
        <xdr:nvSpPr>
          <xdr:cNvPr id="3435140" name="Rectangle 11">
            <a:extLst>
              <a:ext uri="{FF2B5EF4-FFF2-40B4-BE49-F238E27FC236}">
                <a16:creationId xmlns:a16="http://schemas.microsoft.com/office/drawing/2014/main" id="{00000000-0008-0000-0700-0000846A34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5141" name="Arc 12">
            <a:extLst>
              <a:ext uri="{FF2B5EF4-FFF2-40B4-BE49-F238E27FC236}">
                <a16:creationId xmlns:a16="http://schemas.microsoft.com/office/drawing/2014/main" id="{00000000-0008-0000-0700-0000856A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B1:O22"/>
  <sheetViews>
    <sheetView showGridLines="0" showRowColHeaders="0" zoomScale="120" zoomScaleNormal="100" workbookViewId="0">
      <selection activeCell="O10" sqref="O10"/>
    </sheetView>
  </sheetViews>
  <sheetFormatPr defaultColWidth="11" defaultRowHeight="14.45"/>
  <cols>
    <col min="1" max="1" width="1.140625" customWidth="1"/>
    <col min="2" max="10" width="11.42578125" customWidth="1"/>
    <col min="11" max="11" width="1.7109375" customWidth="1"/>
  </cols>
  <sheetData>
    <row r="1" spans="2:15" ht="25.5" customHeight="1"/>
    <row r="2" spans="2:15" ht="36">
      <c r="B2" s="602" t="str">
        <f>+"Панель показателей:  "&amp;"  "&amp;IF(+'Ввод данных'!B4="Выберите","",'Ввод данных'!B4&amp;" - ")&amp;IF('Ввод данных'!F6="Выберите","",'Ввод данных'!F6)</f>
        <v>Панель показателей:    Кыргызстан - ВИЧ/СПИД/ТБ</v>
      </c>
      <c r="C2" s="602"/>
      <c r="D2" s="602"/>
      <c r="E2" s="602"/>
      <c r="F2" s="602"/>
      <c r="G2" s="602"/>
      <c r="H2" s="602"/>
      <c r="I2" s="602"/>
      <c r="J2" s="602"/>
      <c r="K2" s="602"/>
      <c r="L2" s="602"/>
      <c r="M2" s="602"/>
      <c r="N2" s="1"/>
      <c r="O2" s="1"/>
    </row>
    <row r="4" spans="2:15" ht="21">
      <c r="B4" s="599" t="str">
        <f>+IF('Ввод данных'!F6="Выберите", "",'Ввод данных'!F6) &amp;"  "&amp;+IF('Ввод данных'!F8="Выберите", "", 'Ввод данных'!F8&amp;",  ")&amp;+IF('Ввод данных'!H8="Выберите","",'Ввод данных'!H8)</f>
        <v xml:space="preserve">ВИЧ/СПИД/ТБ  ,  </v>
      </c>
      <c r="C4" s="599"/>
      <c r="D4" s="599"/>
      <c r="E4" s="1123"/>
      <c r="F4" s="160"/>
      <c r="G4" s="160"/>
      <c r="H4" s="159" t="str">
        <f>+'Ввод данных'!A6&amp;" "&amp;+'Ввод данных'!B6</f>
        <v>Грант № KGZ-C-UNDP</v>
      </c>
      <c r="I4" s="159"/>
      <c r="J4" s="159"/>
      <c r="K4" s="160"/>
      <c r="L4" s="160"/>
    </row>
    <row r="22" spans="2:12" ht="26.1">
      <c r="B22" s="600" t="s">
        <v>0</v>
      </c>
      <c r="C22" s="601"/>
      <c r="D22" s="601"/>
      <c r="E22" s="601"/>
      <c r="F22" s="601"/>
      <c r="G22" s="601"/>
      <c r="H22" s="601"/>
      <c r="I22" s="601"/>
      <c r="J22" s="601"/>
      <c r="K22" s="601"/>
      <c r="L22" s="601"/>
    </row>
  </sheetData>
  <sheetProtection password="CFC9" sheet="1"/>
  <mergeCells count="3">
    <mergeCell ref="B4:E4"/>
    <mergeCell ref="B22:L22"/>
    <mergeCell ref="B2:M2"/>
  </mergeCells>
  <phoneticPr fontId="30" type="noConversion"/>
  <pageMargins left="0.70866141732283472" right="0.70866141732283472" top="0.74803149606299213" bottom="0.74803149606299213" header="0.31496062992125984" footer="0.31496062992125984"/>
  <pageSetup paperSize="8"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3C76-BF82-447D-A118-236C0C56AFCF}">
  <dimension ref="A1"/>
  <sheetViews>
    <sheetView workbookViewId="0"/>
  </sheetViews>
  <sheetFormatPr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M144"/>
  <sheetViews>
    <sheetView showGridLines="0" topLeftCell="A16" zoomScale="80" zoomScaleNormal="80" workbookViewId="0">
      <selection activeCell="I28" sqref="I28:I30"/>
    </sheetView>
  </sheetViews>
  <sheetFormatPr defaultColWidth="11" defaultRowHeight="14.45"/>
  <cols>
    <col min="1" max="1" width="11.42578125" customWidth="1"/>
    <col min="2" max="2" width="16.140625" customWidth="1"/>
    <col min="3" max="3" width="14.7109375" customWidth="1"/>
    <col min="4" max="4" width="15.5703125" customWidth="1"/>
    <col min="5" max="6" width="11.42578125" customWidth="1"/>
    <col min="7" max="7" width="14.42578125" customWidth="1"/>
    <col min="8" max="8" width="35.5703125" customWidth="1"/>
    <col min="9" max="9" width="45.7109375" customWidth="1"/>
    <col min="10" max="10" width="33.5703125" customWidth="1"/>
    <col min="11" max="12" width="11.42578125" customWidth="1"/>
    <col min="13" max="13" width="28.5703125" customWidth="1"/>
    <col min="14" max="14" width="46.42578125" customWidth="1"/>
  </cols>
  <sheetData>
    <row r="2" spans="2:13" ht="25.5" customHeight="1"/>
    <row r="3" spans="2:13" ht="36">
      <c r="B3" s="825" t="str">
        <f>'Сведения о гранте'!B3:J3</f>
        <v>Панель показателей:  Кыргызстан - ВИЧ/СПИД/ТБ</v>
      </c>
      <c r="C3" s="825"/>
      <c r="D3" s="825"/>
      <c r="E3" s="825"/>
      <c r="F3" s="825"/>
      <c r="G3" s="825"/>
      <c r="H3" s="825"/>
      <c r="I3" s="1"/>
    </row>
    <row r="6" spans="2:13" ht="18.600000000000001">
      <c r="B6" s="1122" t="s">
        <v>482</v>
      </c>
      <c r="C6" s="1122"/>
      <c r="D6" s="1122"/>
      <c r="E6" s="1122"/>
      <c r="F6" s="1122"/>
      <c r="G6" s="1122"/>
      <c r="H6" s="1122"/>
    </row>
    <row r="8" spans="2:13" ht="18.600000000000001">
      <c r="B8" s="45" t="s">
        <v>483</v>
      </c>
      <c r="C8" s="45" t="s">
        <v>484</v>
      </c>
      <c r="D8" s="45" t="s">
        <v>485</v>
      </c>
      <c r="E8" s="45" t="s">
        <v>486</v>
      </c>
      <c r="F8" s="45" t="s">
        <v>487</v>
      </c>
      <c r="G8" s="45" t="s">
        <v>387</v>
      </c>
      <c r="H8" s="45" t="s">
        <v>488</v>
      </c>
      <c r="I8" s="45" t="s">
        <v>489</v>
      </c>
      <c r="J8" s="45" t="s">
        <v>490</v>
      </c>
    </row>
    <row r="9" spans="2:13">
      <c r="B9" s="30" t="s">
        <v>20</v>
      </c>
      <c r="C9" s="30" t="s">
        <v>20</v>
      </c>
      <c r="D9" s="30" t="s">
        <v>20</v>
      </c>
      <c r="E9" s="30" t="s">
        <v>20</v>
      </c>
      <c r="F9" s="30" t="s">
        <v>20</v>
      </c>
      <c r="G9" s="30" t="s">
        <v>20</v>
      </c>
      <c r="H9" s="30" t="s">
        <v>20</v>
      </c>
      <c r="I9" s="18" t="s">
        <v>20</v>
      </c>
      <c r="J9" s="30" t="s">
        <v>20</v>
      </c>
    </row>
    <row r="10" spans="2:13">
      <c r="B10" s="41" t="s">
        <v>491</v>
      </c>
      <c r="C10" s="41" t="s">
        <v>37</v>
      </c>
      <c r="D10" s="41" t="s">
        <v>492</v>
      </c>
      <c r="E10" s="41" t="s">
        <v>493</v>
      </c>
      <c r="F10" s="41" t="s">
        <v>40</v>
      </c>
      <c r="G10" s="41" t="s">
        <v>494</v>
      </c>
      <c r="H10" s="44" t="s">
        <v>495</v>
      </c>
      <c r="I10" s="18" t="s">
        <v>496</v>
      </c>
      <c r="J10" s="30" t="s">
        <v>497</v>
      </c>
    </row>
    <row r="11" spans="2:13">
      <c r="B11" s="41" t="s">
        <v>498</v>
      </c>
      <c r="C11" s="41" t="s">
        <v>499</v>
      </c>
      <c r="D11" s="41" t="s">
        <v>500</v>
      </c>
      <c r="E11" s="41" t="s">
        <v>501</v>
      </c>
      <c r="F11" s="41" t="s">
        <v>25</v>
      </c>
      <c r="G11" s="41" t="s">
        <v>502</v>
      </c>
      <c r="H11" s="44" t="s">
        <v>503</v>
      </c>
      <c r="I11" s="18" t="s">
        <v>504</v>
      </c>
      <c r="J11" s="30" t="s">
        <v>505</v>
      </c>
    </row>
    <row r="12" spans="2:13">
      <c r="B12" s="41" t="s">
        <v>138</v>
      </c>
      <c r="D12" s="41" t="s">
        <v>506</v>
      </c>
      <c r="E12" s="41" t="s">
        <v>507</v>
      </c>
      <c r="F12" s="41" t="s">
        <v>41</v>
      </c>
      <c r="G12" s="41" t="s">
        <v>508</v>
      </c>
      <c r="H12" s="44" t="s">
        <v>509</v>
      </c>
      <c r="I12" s="18" t="s">
        <v>510</v>
      </c>
      <c r="J12" s="30" t="s">
        <v>511</v>
      </c>
      <c r="M12" s="138"/>
    </row>
    <row r="13" spans="2:13">
      <c r="B13" s="41" t="s">
        <v>9</v>
      </c>
      <c r="D13" s="41" t="s">
        <v>512</v>
      </c>
      <c r="E13" s="42"/>
      <c r="F13" s="41" t="s">
        <v>42</v>
      </c>
      <c r="G13" s="41" t="s">
        <v>513</v>
      </c>
      <c r="H13" s="44" t="s">
        <v>514</v>
      </c>
      <c r="I13" s="18" t="s">
        <v>515</v>
      </c>
      <c r="J13" s="30" t="s">
        <v>516</v>
      </c>
      <c r="M13" s="138"/>
    </row>
    <row r="14" spans="2:13">
      <c r="B14" s="41" t="s">
        <v>517</v>
      </c>
      <c r="D14" s="41" t="s">
        <v>518</v>
      </c>
      <c r="F14" s="41" t="s">
        <v>43</v>
      </c>
      <c r="G14" s="41" t="s">
        <v>519</v>
      </c>
      <c r="H14" s="44" t="s">
        <v>520</v>
      </c>
      <c r="I14" s="18" t="s">
        <v>521</v>
      </c>
      <c r="J14" s="30" t="s">
        <v>522</v>
      </c>
      <c r="M14" s="138"/>
    </row>
    <row r="15" spans="2:13">
      <c r="D15" s="41" t="s">
        <v>523</v>
      </c>
      <c r="F15" s="41" t="s">
        <v>44</v>
      </c>
      <c r="H15" s="44" t="s">
        <v>524</v>
      </c>
      <c r="I15" s="18" t="s">
        <v>525</v>
      </c>
      <c r="J15" s="30" t="s">
        <v>526</v>
      </c>
      <c r="M15" s="138"/>
    </row>
    <row r="16" spans="2:13">
      <c r="D16" s="41" t="s">
        <v>527</v>
      </c>
      <c r="F16" s="41" t="s">
        <v>45</v>
      </c>
      <c r="H16" s="44" t="s">
        <v>528</v>
      </c>
      <c r="I16" s="18" t="s">
        <v>529</v>
      </c>
      <c r="J16" s="30" t="s">
        <v>530</v>
      </c>
      <c r="M16" s="138"/>
    </row>
    <row r="17" spans="4:13">
      <c r="D17" s="41" t="s">
        <v>531</v>
      </c>
      <c r="F17" s="41" t="s">
        <v>46</v>
      </c>
      <c r="H17" s="44" t="s">
        <v>532</v>
      </c>
      <c r="I17" s="18" t="s">
        <v>533</v>
      </c>
      <c r="J17" s="30" t="s">
        <v>534</v>
      </c>
      <c r="M17" s="138"/>
    </row>
    <row r="18" spans="4:13">
      <c r="D18" s="41" t="s">
        <v>535</v>
      </c>
      <c r="F18" s="41" t="s">
        <v>47</v>
      </c>
      <c r="H18" s="44" t="s">
        <v>536</v>
      </c>
      <c r="I18" s="18" t="s">
        <v>537</v>
      </c>
      <c r="J18" s="30" t="s">
        <v>538</v>
      </c>
      <c r="M18" s="138"/>
    </row>
    <row r="19" spans="4:13">
      <c r="D19" s="41" t="s">
        <v>539</v>
      </c>
      <c r="F19" s="41" t="s">
        <v>48</v>
      </c>
      <c r="H19" s="44" t="s">
        <v>540</v>
      </c>
      <c r="I19" s="18" t="s">
        <v>541</v>
      </c>
      <c r="J19" s="30" t="s">
        <v>542</v>
      </c>
      <c r="M19" s="138"/>
    </row>
    <row r="20" spans="4:13">
      <c r="D20" s="43"/>
      <c r="F20" s="41" t="s">
        <v>49</v>
      </c>
      <c r="H20" s="44" t="s">
        <v>18</v>
      </c>
      <c r="I20" s="18" t="s">
        <v>543</v>
      </c>
      <c r="J20" s="30" t="s">
        <v>544</v>
      </c>
    </row>
    <row r="21" spans="4:13">
      <c r="D21" s="417"/>
      <c r="F21" s="41" t="s">
        <v>50</v>
      </c>
      <c r="H21" s="417"/>
      <c r="I21" s="18" t="s">
        <v>545</v>
      </c>
      <c r="J21" s="30" t="s">
        <v>546</v>
      </c>
    </row>
    <row r="22" spans="4:13">
      <c r="H22" s="417"/>
      <c r="I22" s="18" t="s">
        <v>547</v>
      </c>
      <c r="J22" s="30" t="s">
        <v>548</v>
      </c>
    </row>
    <row r="23" spans="4:13">
      <c r="I23" s="18" t="s">
        <v>549</v>
      </c>
      <c r="J23" s="30" t="s">
        <v>550</v>
      </c>
    </row>
    <row r="24" spans="4:13">
      <c r="I24" s="18" t="s">
        <v>551</v>
      </c>
      <c r="J24" s="30" t="s">
        <v>552</v>
      </c>
    </row>
    <row r="25" spans="4:13">
      <c r="I25" s="30"/>
      <c r="J25" s="30" t="s">
        <v>553</v>
      </c>
    </row>
    <row r="26" spans="4:13">
      <c r="I26" s="18" t="s">
        <v>554</v>
      </c>
      <c r="J26" s="30" t="s">
        <v>555</v>
      </c>
    </row>
    <row r="27" spans="4:13">
      <c r="I27" s="18" t="s">
        <v>556</v>
      </c>
      <c r="J27" s="30" t="s">
        <v>557</v>
      </c>
    </row>
    <row r="28" spans="4:13">
      <c r="I28" s="30" t="s">
        <v>558</v>
      </c>
      <c r="J28" s="30" t="s">
        <v>559</v>
      </c>
    </row>
    <row r="29" spans="4:13">
      <c r="I29" s="30" t="s">
        <v>560</v>
      </c>
      <c r="J29" s="30" t="s">
        <v>561</v>
      </c>
    </row>
    <row r="30" spans="4:13">
      <c r="I30" s="30" t="s">
        <v>543</v>
      </c>
      <c r="J30" s="30" t="s">
        <v>562</v>
      </c>
    </row>
    <row r="31" spans="4:13">
      <c r="J31" s="30" t="s">
        <v>563</v>
      </c>
    </row>
    <row r="32" spans="4:13">
      <c r="J32" s="30" t="s">
        <v>564</v>
      </c>
    </row>
    <row r="33" spans="10:10">
      <c r="J33" s="30" t="s">
        <v>565</v>
      </c>
    </row>
    <row r="34" spans="10:10">
      <c r="J34" s="30" t="s">
        <v>566</v>
      </c>
    </row>
    <row r="35" spans="10:10">
      <c r="J35" s="30" t="s">
        <v>567</v>
      </c>
    </row>
    <row r="36" spans="10:10">
      <c r="J36" s="30" t="s">
        <v>567</v>
      </c>
    </row>
    <row r="37" spans="10:10">
      <c r="J37" s="30" t="s">
        <v>568</v>
      </c>
    </row>
    <row r="38" spans="10:10">
      <c r="J38" s="30" t="s">
        <v>569</v>
      </c>
    </row>
    <row r="39" spans="10:10">
      <c r="J39" s="30" t="s">
        <v>570</v>
      </c>
    </row>
    <row r="40" spans="10:10">
      <c r="J40" s="30" t="s">
        <v>571</v>
      </c>
    </row>
    <row r="41" spans="10:10">
      <c r="J41" s="30" t="s">
        <v>572</v>
      </c>
    </row>
    <row r="42" spans="10:10">
      <c r="J42" s="30" t="s">
        <v>573</v>
      </c>
    </row>
    <row r="43" spans="10:10">
      <c r="J43" s="30" t="s">
        <v>574</v>
      </c>
    </row>
    <row r="44" spans="10:10">
      <c r="J44" s="30" t="s">
        <v>575</v>
      </c>
    </row>
    <row r="45" spans="10:10">
      <c r="J45" s="30" t="s">
        <v>576</v>
      </c>
    </row>
    <row r="46" spans="10:10">
      <c r="J46" s="30" t="s">
        <v>577</v>
      </c>
    </row>
    <row r="47" spans="10:10">
      <c r="J47" s="30" t="s">
        <v>578</v>
      </c>
    </row>
    <row r="48" spans="10:10">
      <c r="J48" s="30" t="s">
        <v>579</v>
      </c>
    </row>
    <row r="49" spans="10:10">
      <c r="J49" s="30" t="s">
        <v>580</v>
      </c>
    </row>
    <row r="50" spans="10:10">
      <c r="J50" s="30" t="s">
        <v>581</v>
      </c>
    </row>
    <row r="51" spans="10:10">
      <c r="J51" s="30" t="s">
        <v>582</v>
      </c>
    </row>
    <row r="52" spans="10:10">
      <c r="J52" s="30" t="s">
        <v>583</v>
      </c>
    </row>
    <row r="53" spans="10:10">
      <c r="J53" s="30" t="s">
        <v>584</v>
      </c>
    </row>
    <row r="54" spans="10:10">
      <c r="J54" s="30" t="s">
        <v>585</v>
      </c>
    </row>
    <row r="55" spans="10:10">
      <c r="J55" s="30" t="s">
        <v>586</v>
      </c>
    </row>
    <row r="56" spans="10:10">
      <c r="J56" s="30" t="s">
        <v>587</v>
      </c>
    </row>
    <row r="57" spans="10:10">
      <c r="J57" s="30" t="s">
        <v>588</v>
      </c>
    </row>
    <row r="58" spans="10:10">
      <c r="J58" s="30" t="s">
        <v>589</v>
      </c>
    </row>
    <row r="59" spans="10:10">
      <c r="J59" s="30" t="s">
        <v>590</v>
      </c>
    </row>
    <row r="60" spans="10:10">
      <c r="J60" s="30" t="s">
        <v>591</v>
      </c>
    </row>
    <row r="61" spans="10:10">
      <c r="J61" s="30" t="s">
        <v>592</v>
      </c>
    </row>
    <row r="62" spans="10:10">
      <c r="J62" s="30" t="s">
        <v>593</v>
      </c>
    </row>
    <row r="63" spans="10:10">
      <c r="J63" s="30" t="s">
        <v>594</v>
      </c>
    </row>
    <row r="64" spans="10:10">
      <c r="J64" s="30" t="s">
        <v>595</v>
      </c>
    </row>
    <row r="65" spans="10:10">
      <c r="J65" s="30" t="s">
        <v>596</v>
      </c>
    </row>
    <row r="66" spans="10:10">
      <c r="J66" s="30" t="s">
        <v>597</v>
      </c>
    </row>
    <row r="67" spans="10:10">
      <c r="J67" s="30" t="s">
        <v>598</v>
      </c>
    </row>
    <row r="68" spans="10:10">
      <c r="J68" s="30" t="s">
        <v>599</v>
      </c>
    </row>
    <row r="69" spans="10:10">
      <c r="J69" s="30" t="s">
        <v>600</v>
      </c>
    </row>
    <row r="70" spans="10:10">
      <c r="J70" s="30" t="s">
        <v>601</v>
      </c>
    </row>
    <row r="71" spans="10:10">
      <c r="J71" s="30" t="s">
        <v>602</v>
      </c>
    </row>
    <row r="72" spans="10:10">
      <c r="J72" s="30" t="s">
        <v>603</v>
      </c>
    </row>
    <row r="73" spans="10:10">
      <c r="J73" s="30" t="s">
        <v>604</v>
      </c>
    </row>
    <row r="74" spans="10:10">
      <c r="J74" s="30" t="s">
        <v>605</v>
      </c>
    </row>
    <row r="75" spans="10:10">
      <c r="J75" s="30" t="s">
        <v>606</v>
      </c>
    </row>
    <row r="76" spans="10:10">
      <c r="J76" s="30" t="s">
        <v>3</v>
      </c>
    </row>
    <row r="77" spans="10:10">
      <c r="J77" s="30" t="s">
        <v>607</v>
      </c>
    </row>
    <row r="78" spans="10:10">
      <c r="J78" s="30" t="s">
        <v>608</v>
      </c>
    </row>
    <row r="79" spans="10:10">
      <c r="J79" s="30" t="s">
        <v>609</v>
      </c>
    </row>
    <row r="80" spans="10:10">
      <c r="J80" s="30" t="s">
        <v>610</v>
      </c>
    </row>
    <row r="81" spans="10:10">
      <c r="J81" s="30" t="s">
        <v>611</v>
      </c>
    </row>
    <row r="82" spans="10:10">
      <c r="J82" s="30" t="s">
        <v>612</v>
      </c>
    </row>
    <row r="83" spans="10:10">
      <c r="J83" s="30" t="s">
        <v>613</v>
      </c>
    </row>
    <row r="84" spans="10:10">
      <c r="J84" s="30" t="s">
        <v>614</v>
      </c>
    </row>
    <row r="85" spans="10:10">
      <c r="J85" s="30" t="s">
        <v>615</v>
      </c>
    </row>
    <row r="86" spans="10:10">
      <c r="J86" s="30" t="s">
        <v>616</v>
      </c>
    </row>
    <row r="87" spans="10:10">
      <c r="J87" s="30" t="s">
        <v>617</v>
      </c>
    </row>
    <row r="88" spans="10:10">
      <c r="J88" s="30" t="s">
        <v>618</v>
      </c>
    </row>
    <row r="89" spans="10:10">
      <c r="J89" s="30" t="s">
        <v>619</v>
      </c>
    </row>
    <row r="90" spans="10:10">
      <c r="J90" s="30" t="s">
        <v>620</v>
      </c>
    </row>
    <row r="91" spans="10:10">
      <c r="J91" s="30" t="s">
        <v>621</v>
      </c>
    </row>
    <row r="92" spans="10:10">
      <c r="J92" s="30" t="s">
        <v>622</v>
      </c>
    </row>
    <row r="93" spans="10:10">
      <c r="J93" s="30" t="s">
        <v>623</v>
      </c>
    </row>
    <row r="94" spans="10:10">
      <c r="J94" s="30" t="s">
        <v>624</v>
      </c>
    </row>
    <row r="95" spans="10:10">
      <c r="J95" s="30" t="s">
        <v>625</v>
      </c>
    </row>
    <row r="96" spans="10:10">
      <c r="J96" s="30" t="s">
        <v>626</v>
      </c>
    </row>
    <row r="97" spans="10:10">
      <c r="J97" s="30" t="s">
        <v>627</v>
      </c>
    </row>
    <row r="98" spans="10:10">
      <c r="J98" s="30" t="s">
        <v>628</v>
      </c>
    </row>
    <row r="99" spans="10:10">
      <c r="J99" s="30" t="s">
        <v>629</v>
      </c>
    </row>
    <row r="100" spans="10:10">
      <c r="J100" s="30" t="s">
        <v>630</v>
      </c>
    </row>
    <row r="101" spans="10:10">
      <c r="J101" s="30" t="s">
        <v>631</v>
      </c>
    </row>
    <row r="102" spans="10:10">
      <c r="J102" s="30" t="s">
        <v>632</v>
      </c>
    </row>
    <row r="103" spans="10:10">
      <c r="J103" s="30" t="s">
        <v>633</v>
      </c>
    </row>
    <row r="104" spans="10:10">
      <c r="J104" s="30" t="s">
        <v>634</v>
      </c>
    </row>
    <row r="105" spans="10:10">
      <c r="J105" s="30" t="s">
        <v>635</v>
      </c>
    </row>
    <row r="106" spans="10:10">
      <c r="J106" s="30" t="s">
        <v>636</v>
      </c>
    </row>
    <row r="107" spans="10:10">
      <c r="J107" s="30" t="s">
        <v>637</v>
      </c>
    </row>
    <row r="108" spans="10:10">
      <c r="J108" s="30" t="s">
        <v>638</v>
      </c>
    </row>
    <row r="109" spans="10:10">
      <c r="J109" s="30" t="s">
        <v>639</v>
      </c>
    </row>
    <row r="110" spans="10:10">
      <c r="J110" s="30" t="s">
        <v>640</v>
      </c>
    </row>
    <row r="111" spans="10:10">
      <c r="J111" s="30" t="s">
        <v>641</v>
      </c>
    </row>
    <row r="112" spans="10:10">
      <c r="J112" s="30" t="s">
        <v>642</v>
      </c>
    </row>
    <row r="113" spans="10:10">
      <c r="J113" s="30" t="s">
        <v>643</v>
      </c>
    </row>
    <row r="114" spans="10:10">
      <c r="J114" s="30" t="s">
        <v>644</v>
      </c>
    </row>
    <row r="115" spans="10:10">
      <c r="J115" s="30" t="s">
        <v>645</v>
      </c>
    </row>
    <row r="116" spans="10:10">
      <c r="J116" s="30" t="s">
        <v>646</v>
      </c>
    </row>
    <row r="117" spans="10:10">
      <c r="J117" s="30" t="s">
        <v>647</v>
      </c>
    </row>
    <row r="118" spans="10:10">
      <c r="J118" s="30" t="s">
        <v>648</v>
      </c>
    </row>
    <row r="119" spans="10:10">
      <c r="J119" s="30" t="s">
        <v>649</v>
      </c>
    </row>
    <row r="120" spans="10:10">
      <c r="J120" s="30" t="s">
        <v>650</v>
      </c>
    </row>
    <row r="121" spans="10:10">
      <c r="J121" s="30" t="s">
        <v>651</v>
      </c>
    </row>
    <row r="122" spans="10:10">
      <c r="J122" s="30" t="s">
        <v>652</v>
      </c>
    </row>
    <row r="123" spans="10:10">
      <c r="J123" s="30" t="s">
        <v>653</v>
      </c>
    </row>
    <row r="124" spans="10:10">
      <c r="J124" s="30" t="s">
        <v>654</v>
      </c>
    </row>
    <row r="125" spans="10:10">
      <c r="J125" s="30" t="s">
        <v>655</v>
      </c>
    </row>
    <row r="126" spans="10:10">
      <c r="J126" s="30" t="s">
        <v>656</v>
      </c>
    </row>
    <row r="127" spans="10:10">
      <c r="J127" s="30" t="s">
        <v>657</v>
      </c>
    </row>
    <row r="128" spans="10:10">
      <c r="J128" s="30" t="s">
        <v>658</v>
      </c>
    </row>
    <row r="129" spans="10:10">
      <c r="J129" s="30" t="s">
        <v>659</v>
      </c>
    </row>
    <row r="130" spans="10:10">
      <c r="J130" s="30" t="s">
        <v>660</v>
      </c>
    </row>
    <row r="131" spans="10:10">
      <c r="J131" s="30" t="s">
        <v>661</v>
      </c>
    </row>
    <row r="132" spans="10:10">
      <c r="J132" s="30" t="s">
        <v>662</v>
      </c>
    </row>
    <row r="133" spans="10:10">
      <c r="J133" s="30" t="s">
        <v>663</v>
      </c>
    </row>
    <row r="134" spans="10:10">
      <c r="J134" s="30" t="s">
        <v>664</v>
      </c>
    </row>
    <row r="135" spans="10:10">
      <c r="J135" s="30" t="s">
        <v>665</v>
      </c>
    </row>
    <row r="136" spans="10:10">
      <c r="J136" s="30" t="s">
        <v>666</v>
      </c>
    </row>
    <row r="137" spans="10:10">
      <c r="J137" s="30" t="s">
        <v>667</v>
      </c>
    </row>
    <row r="138" spans="10:10">
      <c r="J138" s="30" t="s">
        <v>668</v>
      </c>
    </row>
    <row r="139" spans="10:10">
      <c r="J139" s="30" t="s">
        <v>669</v>
      </c>
    </row>
    <row r="140" spans="10:10">
      <c r="J140" s="30" t="s">
        <v>670</v>
      </c>
    </row>
    <row r="141" spans="10:10">
      <c r="J141" s="30" t="s">
        <v>671</v>
      </c>
    </row>
    <row r="142" spans="10:10">
      <c r="J142" s="30" t="s">
        <v>672</v>
      </c>
    </row>
    <row r="143" spans="10:10">
      <c r="J143" s="30" t="s">
        <v>673</v>
      </c>
    </row>
    <row r="144" spans="10:10">
      <c r="J144" s="236"/>
    </row>
  </sheetData>
  <mergeCells count="2">
    <mergeCell ref="B3:H3"/>
    <mergeCell ref="B6:H6"/>
  </mergeCells>
  <phoneticPr fontId="30" type="noConversion"/>
  <dataValidations count="1">
    <dataValidation type="list" allowBlank="1" showInputMessage="1" showErrorMessage="1" sqref="M28" xr:uid="{00000000-0002-0000-0900-000000000000}">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zoomScaleNormal="100" workbookViewId="0">
      <selection activeCell="N19" sqref="N19"/>
    </sheetView>
  </sheetViews>
  <sheetFormatPr defaultRowHeight="14.45"/>
  <sheetData>
    <row r="1" spans="1:2">
      <c r="A1" s="51" t="s">
        <v>674</v>
      </c>
      <c r="B1" t="s">
        <v>675</v>
      </c>
    </row>
    <row r="2" spans="1:2">
      <c r="A2" s="51" t="s">
        <v>445</v>
      </c>
      <c r="B2" t="s">
        <v>676</v>
      </c>
    </row>
    <row r="3" spans="1:2">
      <c r="A3" s="51" t="s">
        <v>677</v>
      </c>
      <c r="B3" t="s">
        <v>678</v>
      </c>
    </row>
    <row r="4" spans="1:2">
      <c r="A4" s="51" t="s">
        <v>679</v>
      </c>
      <c r="B4" t="s">
        <v>680</v>
      </c>
    </row>
    <row r="5" spans="1:2">
      <c r="A5" s="51" t="s">
        <v>681</v>
      </c>
      <c r="B5" t="s">
        <v>682</v>
      </c>
    </row>
    <row r="6" spans="1:2">
      <c r="A6" s="51" t="s">
        <v>683</v>
      </c>
      <c r="B6" t="s">
        <v>684</v>
      </c>
    </row>
    <row r="7" spans="1:2">
      <c r="A7" s="51" t="s">
        <v>685</v>
      </c>
      <c r="B7" t="s">
        <v>686</v>
      </c>
    </row>
    <row r="8" spans="1:2">
      <c r="A8" s="51" t="s">
        <v>687</v>
      </c>
      <c r="B8" t="s">
        <v>688</v>
      </c>
    </row>
    <row r="9" spans="1:2">
      <c r="A9" s="51" t="s">
        <v>689</v>
      </c>
      <c r="B9" t="s">
        <v>690</v>
      </c>
    </row>
    <row r="10" spans="1:2">
      <c r="A10" s="51" t="s">
        <v>691</v>
      </c>
      <c r="B10" t="s">
        <v>692</v>
      </c>
    </row>
    <row r="11" spans="1:2">
      <c r="A11" s="51" t="s">
        <v>693</v>
      </c>
      <c r="B11" t="s">
        <v>694</v>
      </c>
    </row>
    <row r="12" spans="1:2">
      <c r="A12" s="51" t="s">
        <v>695</v>
      </c>
      <c r="B12" t="s">
        <v>696</v>
      </c>
    </row>
    <row r="13" spans="1:2">
      <c r="A13" s="51" t="s">
        <v>697</v>
      </c>
      <c r="B13" t="s">
        <v>698</v>
      </c>
    </row>
    <row r="14" spans="1:2">
      <c r="A14" s="51" t="s">
        <v>699</v>
      </c>
      <c r="B14" t="s">
        <v>700</v>
      </c>
    </row>
    <row r="15" spans="1:2">
      <c r="A15" s="51" t="s">
        <v>701</v>
      </c>
      <c r="B15" t="s">
        <v>702</v>
      </c>
    </row>
  </sheetData>
  <phoneticPr fontId="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G239"/>
  <sheetViews>
    <sheetView showGridLines="0" topLeftCell="A170" zoomScale="70" zoomScaleNormal="70" workbookViewId="0">
      <selection activeCell="F179" sqref="F179"/>
    </sheetView>
  </sheetViews>
  <sheetFormatPr defaultColWidth="11" defaultRowHeight="14.45"/>
  <cols>
    <col min="1" max="1" width="74.85546875" customWidth="1"/>
    <col min="2" max="2" width="35.28515625" customWidth="1"/>
    <col min="3" max="3" width="20" customWidth="1"/>
    <col min="4" max="4" width="22.7109375" customWidth="1"/>
    <col min="5" max="5" width="16.42578125" customWidth="1"/>
    <col min="6" max="6" width="23.85546875" customWidth="1"/>
    <col min="7" max="7" width="12.42578125" customWidth="1"/>
    <col min="8" max="8" width="16.85546875" customWidth="1"/>
    <col min="9" max="9" width="13.5703125" customWidth="1"/>
    <col min="10" max="10" width="14.42578125" customWidth="1"/>
    <col min="11" max="11" width="11.28515625" customWidth="1"/>
    <col min="12" max="12" width="13.42578125" customWidth="1"/>
    <col min="13" max="13" width="11.42578125" customWidth="1"/>
    <col min="14" max="14" width="15.7109375" customWidth="1"/>
    <col min="15" max="15" width="15.5703125" customWidth="1"/>
    <col min="16" max="16" width="16.140625" customWidth="1"/>
    <col min="17" max="17" width="13.7109375" customWidth="1"/>
    <col min="18" max="18" width="14.85546875" customWidth="1"/>
    <col min="19" max="19" width="16" customWidth="1"/>
    <col min="20" max="20" width="11.42578125" hidden="1" customWidth="1"/>
    <col min="21" max="21" width="15.5703125" customWidth="1"/>
    <col min="22" max="22" width="11.42578125" customWidth="1"/>
    <col min="23" max="23" width="2.28515625" customWidth="1"/>
    <col min="24" max="24" width="1.140625" customWidth="1"/>
    <col min="25" max="25" width="3.28515625" customWidth="1"/>
    <col min="26" max="26" width="17" customWidth="1"/>
    <col min="27" max="27" width="15" customWidth="1"/>
    <col min="28" max="28" width="11.42578125" customWidth="1"/>
    <col min="29" max="29" width="13.5703125" customWidth="1"/>
    <col min="30" max="30" width="16.85546875" customWidth="1"/>
    <col min="31" max="31" width="11.42578125" customWidth="1"/>
    <col min="32" max="32" width="2" customWidth="1"/>
    <col min="33" max="33" width="3.28515625" customWidth="1"/>
    <col min="34" max="34" width="2.28515625" customWidth="1"/>
    <col min="35" max="35" width="40.7109375" customWidth="1"/>
    <col min="36" max="36" width="15.42578125" customWidth="1"/>
  </cols>
  <sheetData>
    <row r="1" spans="1:12" ht="29.25" customHeight="1">
      <c r="B1" s="1123"/>
      <c r="C1" s="1123"/>
    </row>
    <row r="2" spans="1:12" ht="15.75" customHeight="1">
      <c r="A2" s="646" t="s">
        <v>1</v>
      </c>
      <c r="B2" s="646"/>
      <c r="C2" s="646"/>
      <c r="D2" s="646"/>
      <c r="E2" s="646"/>
      <c r="F2" s="646"/>
      <c r="G2" s="646"/>
      <c r="H2" s="646"/>
      <c r="I2" s="646"/>
      <c r="J2" s="186"/>
      <c r="K2" s="186"/>
      <c r="L2" s="186"/>
    </row>
    <row r="3" spans="1:12" ht="4.5" customHeight="1"/>
    <row r="4" spans="1:12">
      <c r="A4" s="176" t="s">
        <v>2</v>
      </c>
      <c r="B4" s="618" t="s">
        <v>3</v>
      </c>
      <c r="C4" s="620"/>
      <c r="D4" s="625" t="s">
        <v>4</v>
      </c>
      <c r="E4" s="625"/>
      <c r="F4" s="451" t="s">
        <v>5</v>
      </c>
      <c r="G4" s="452"/>
      <c r="H4" s="452"/>
      <c r="I4" s="453"/>
    </row>
    <row r="5" spans="1:12" ht="3" customHeight="1">
      <c r="A5" s="176"/>
      <c r="D5" s="178"/>
      <c r="E5" s="178"/>
    </row>
    <row r="6" spans="1:12" ht="15" customHeight="1">
      <c r="A6" s="176" t="s">
        <v>6</v>
      </c>
      <c r="B6" s="618" t="s">
        <v>7</v>
      </c>
      <c r="C6" s="620"/>
      <c r="D6" s="625" t="s">
        <v>8</v>
      </c>
      <c r="E6" s="625"/>
      <c r="F6" s="200" t="s">
        <v>9</v>
      </c>
      <c r="G6" s="176" t="s">
        <v>10</v>
      </c>
      <c r="H6" s="647" t="s">
        <v>11</v>
      </c>
      <c r="I6" s="648"/>
      <c r="K6" s="143"/>
    </row>
    <row r="7" spans="1:12" ht="3" customHeight="1">
      <c r="A7" s="176"/>
      <c r="D7" s="178"/>
      <c r="E7" s="178"/>
      <c r="G7" s="176"/>
    </row>
    <row r="8" spans="1:12">
      <c r="A8" s="176" t="s">
        <v>12</v>
      </c>
      <c r="B8" s="618" t="s">
        <v>13</v>
      </c>
      <c r="C8" s="620"/>
      <c r="D8" s="178"/>
      <c r="E8" s="176" t="s">
        <v>14</v>
      </c>
      <c r="F8" s="456"/>
      <c r="G8" s="176" t="s">
        <v>15</v>
      </c>
      <c r="H8" s="618"/>
      <c r="I8" s="620"/>
    </row>
    <row r="9" spans="1:12" ht="3" customHeight="1">
      <c r="A9" s="178"/>
      <c r="D9" s="178"/>
      <c r="E9" s="178"/>
    </row>
    <row r="10" spans="1:12">
      <c r="A10" s="176" t="s">
        <v>16</v>
      </c>
      <c r="B10" s="649">
        <v>44197</v>
      </c>
      <c r="C10" s="650"/>
      <c r="D10" s="642" t="s">
        <v>17</v>
      </c>
      <c r="E10" s="626"/>
      <c r="F10" s="618" t="s">
        <v>18</v>
      </c>
      <c r="G10" s="619"/>
      <c r="H10" s="619"/>
      <c r="I10" s="620"/>
    </row>
    <row r="11" spans="1:12" ht="5.25" customHeight="1"/>
    <row r="12" spans="1:12" ht="15" customHeight="1">
      <c r="A12" s="176" t="s">
        <v>19</v>
      </c>
      <c r="B12" s="652" t="s">
        <v>20</v>
      </c>
      <c r="C12" s="652"/>
      <c r="D12" s="642" t="s">
        <v>21</v>
      </c>
      <c r="E12" s="625"/>
      <c r="F12" s="651" t="s">
        <v>22</v>
      </c>
      <c r="G12" s="651"/>
      <c r="H12" s="651"/>
      <c r="I12" s="651"/>
    </row>
    <row r="13" spans="1:12" ht="5.25" customHeight="1"/>
    <row r="14" spans="1:12" ht="15.75" customHeight="1">
      <c r="A14" s="646" t="s">
        <v>23</v>
      </c>
      <c r="B14" s="646"/>
      <c r="C14" s="646"/>
      <c r="D14" s="646"/>
      <c r="E14" s="646"/>
      <c r="F14" s="646"/>
      <c r="G14" s="646"/>
      <c r="H14" s="646"/>
      <c r="I14" s="646"/>
    </row>
    <row r="15" spans="1:12" ht="3" customHeight="1"/>
    <row r="16" spans="1:12">
      <c r="A16" s="176" t="s">
        <v>24</v>
      </c>
      <c r="B16" s="456" t="s">
        <v>25</v>
      </c>
      <c r="C16" s="176" t="s">
        <v>26</v>
      </c>
      <c r="D16" s="278">
        <v>44562</v>
      </c>
      <c r="E16" s="455" t="s">
        <v>27</v>
      </c>
      <c r="F16" s="278">
        <v>44926</v>
      </c>
      <c r="G16" s="642" t="s">
        <v>28</v>
      </c>
      <c r="H16" s="626"/>
      <c r="I16" s="454">
        <v>45030</v>
      </c>
    </row>
    <row r="17" spans="1:33" ht="3" customHeight="1"/>
    <row r="18" spans="1:33">
      <c r="A18" s="625" t="s">
        <v>29</v>
      </c>
      <c r="B18" s="626"/>
      <c r="C18" s="645" t="s">
        <v>13</v>
      </c>
      <c r="D18" s="645"/>
      <c r="E18" s="645"/>
    </row>
    <row r="19" spans="1:33" ht="3" customHeight="1"/>
    <row r="20" spans="1:33" ht="5.25" customHeight="1"/>
    <row r="21" spans="1:33" ht="15.75" customHeight="1">
      <c r="A21" s="646" t="s">
        <v>30</v>
      </c>
      <c r="B21" s="646"/>
      <c r="C21" s="646"/>
      <c r="D21" s="646"/>
      <c r="E21" s="646"/>
      <c r="F21" s="646"/>
      <c r="G21" s="646"/>
      <c r="H21" s="646"/>
      <c r="I21" s="646"/>
    </row>
    <row r="22" spans="1:33">
      <c r="A22" s="178" t="s">
        <v>31</v>
      </c>
    </row>
    <row r="23" spans="1:33" ht="3" customHeight="1"/>
    <row r="24" spans="1:33" ht="15" thickBot="1">
      <c r="A24" s="176" t="s">
        <v>32</v>
      </c>
      <c r="B24" s="232"/>
      <c r="C24" s="625" t="s">
        <v>33</v>
      </c>
      <c r="D24" s="625"/>
      <c r="E24" s="233"/>
      <c r="F24" s="625" t="s">
        <v>34</v>
      </c>
      <c r="G24" s="625"/>
      <c r="H24" s="643"/>
      <c r="I24" s="644"/>
    </row>
    <row r="25" spans="1:33" ht="18.95" thickBot="1">
      <c r="A25" s="61" t="s">
        <v>32</v>
      </c>
      <c r="B25" s="62"/>
      <c r="C25" s="62"/>
      <c r="D25" s="62"/>
      <c r="E25" s="62"/>
      <c r="F25" s="62"/>
      <c r="G25" s="177"/>
      <c r="H25" s="384"/>
      <c r="I25" s="384"/>
      <c r="J25" s="385" t="s">
        <v>35</v>
      </c>
      <c r="K25" s="386"/>
      <c r="L25" s="386"/>
      <c r="M25" s="386"/>
      <c r="N25" s="387"/>
      <c r="AG25" s="29"/>
    </row>
    <row r="26" spans="1:33">
      <c r="A26" s="629" t="s">
        <v>36</v>
      </c>
      <c r="B26" s="1124"/>
      <c r="C26" s="237" t="s">
        <v>37</v>
      </c>
      <c r="D26" s="64"/>
      <c r="E26" s="64"/>
      <c r="F26" s="64"/>
      <c r="G26" s="64"/>
      <c r="H26" s="64"/>
      <c r="I26" s="388"/>
      <c r="J26" s="64"/>
      <c r="K26" s="64"/>
      <c r="L26" s="64"/>
      <c r="M26" s="25"/>
      <c r="N26" s="25"/>
      <c r="AG26" s="29"/>
    </row>
    <row r="27" spans="1:33" ht="18.600000000000001">
      <c r="A27" s="63" t="s">
        <v>38</v>
      </c>
      <c r="B27" s="64"/>
      <c r="C27" s="64"/>
      <c r="D27" s="64"/>
      <c r="E27" s="64"/>
      <c r="F27" s="64"/>
      <c r="G27" s="64"/>
      <c r="H27" s="64"/>
      <c r="I27" s="388"/>
      <c r="J27" s="64"/>
      <c r="K27" s="64"/>
      <c r="L27" s="64"/>
      <c r="M27" s="25"/>
      <c r="N27" s="25"/>
      <c r="AG27" s="29"/>
    </row>
    <row r="28" spans="1:33" ht="15" thickBot="1"/>
    <row r="29" spans="1:33" ht="15" thickBot="1">
      <c r="A29" s="637" t="s">
        <v>39</v>
      </c>
      <c r="B29" s="638"/>
      <c r="C29" s="638"/>
      <c r="D29" s="638"/>
      <c r="E29" s="638"/>
      <c r="F29" s="638"/>
      <c r="G29" s="638"/>
      <c r="H29" s="638"/>
      <c r="I29" s="638"/>
      <c r="J29" s="638"/>
      <c r="K29" s="638"/>
      <c r="L29" s="638"/>
      <c r="M29" s="639"/>
      <c r="O29" s="147"/>
      <c r="P29" s="148"/>
      <c r="Q29" s="149">
        <f>+B33</f>
        <v>10781955</v>
      </c>
    </row>
    <row r="30" spans="1:33">
      <c r="A30" s="65" t="s">
        <v>24</v>
      </c>
      <c r="B30" s="220" t="s">
        <v>40</v>
      </c>
      <c r="C30" s="220" t="s">
        <v>25</v>
      </c>
      <c r="D30" s="220" t="s">
        <v>41</v>
      </c>
      <c r="E30" s="220" t="s">
        <v>42</v>
      </c>
      <c r="F30" s="220" t="s">
        <v>43</v>
      </c>
      <c r="G30" s="220" t="s">
        <v>44</v>
      </c>
      <c r="H30" s="220" t="s">
        <v>45</v>
      </c>
      <c r="I30" s="220" t="s">
        <v>46</v>
      </c>
      <c r="J30" s="220" t="s">
        <v>47</v>
      </c>
      <c r="K30" s="220" t="s">
        <v>48</v>
      </c>
      <c r="L30" s="220" t="s">
        <v>49</v>
      </c>
      <c r="M30" s="221" t="s">
        <v>50</v>
      </c>
      <c r="N30" s="222" t="s">
        <v>51</v>
      </c>
      <c r="O30" s="147"/>
      <c r="P30" s="148"/>
      <c r="Q30" s="149">
        <f>+C33</f>
        <v>21174110.819120947</v>
      </c>
    </row>
    <row r="31" spans="1:33">
      <c r="A31" s="184" t="s">
        <v>52</v>
      </c>
      <c r="B31" s="563">
        <v>10781955</v>
      </c>
      <c r="C31" s="227">
        <v>10392155.819120947</v>
      </c>
      <c r="D31" s="227"/>
      <c r="E31" s="304"/>
      <c r="F31" s="304"/>
      <c r="G31" s="304"/>
      <c r="H31" s="305"/>
      <c r="I31" s="304"/>
      <c r="J31" s="304"/>
      <c r="K31" s="227"/>
      <c r="L31" s="306"/>
      <c r="M31" s="227"/>
      <c r="N31" s="676"/>
      <c r="O31" s="147"/>
      <c r="P31" s="148"/>
      <c r="Q31" s="149">
        <f>+D33</f>
        <v>0</v>
      </c>
    </row>
    <row r="32" spans="1:33">
      <c r="A32" s="65" t="str">
        <f>CONCATENATE("Выплаты ГФ (в ", $C$26,")")</f>
        <v>Выплаты ГФ (в $)</v>
      </c>
      <c r="B32" s="563">
        <v>18761018</v>
      </c>
      <c r="C32" s="228">
        <v>3196889.01</v>
      </c>
      <c r="D32" s="228"/>
      <c r="E32" s="228"/>
      <c r="F32" s="228"/>
      <c r="G32" s="228"/>
      <c r="H32" s="293"/>
      <c r="I32" s="227"/>
      <c r="J32" s="227"/>
      <c r="K32" s="227"/>
      <c r="L32" s="227"/>
      <c r="M32" s="227"/>
      <c r="N32" s="677"/>
      <c r="O32" s="147"/>
      <c r="P32" s="148"/>
      <c r="Q32" s="149">
        <f>+E33</f>
        <v>0</v>
      </c>
    </row>
    <row r="33" spans="1:17">
      <c r="A33" s="66" t="s">
        <v>53</v>
      </c>
      <c r="B33" s="229">
        <f>+B31</f>
        <v>10781955</v>
      </c>
      <c r="C33" s="229">
        <f>B31+C31</f>
        <v>21174110.819120947</v>
      </c>
      <c r="D33" s="229"/>
      <c r="E33" s="229"/>
      <c r="F33" s="229"/>
      <c r="G33" s="302"/>
      <c r="H33" s="302"/>
      <c r="I33" s="302"/>
      <c r="J33" s="302"/>
      <c r="K33" s="302"/>
      <c r="L33" s="307"/>
      <c r="M33" s="229"/>
      <c r="N33" s="677"/>
      <c r="O33" s="217"/>
      <c r="P33" s="148"/>
      <c r="Q33" s="149">
        <f>+F33</f>
        <v>0</v>
      </c>
    </row>
    <row r="34" spans="1:17" ht="15" thickBot="1">
      <c r="A34" s="67" t="s">
        <v>54</v>
      </c>
      <c r="B34" s="230">
        <f>+B32</f>
        <v>18761018</v>
      </c>
      <c r="C34" s="230">
        <f>B32+C32</f>
        <v>21957907.009999998</v>
      </c>
      <c r="D34" s="230"/>
      <c r="E34" s="230"/>
      <c r="F34" s="230"/>
      <c r="G34" s="303"/>
      <c r="H34" s="303"/>
      <c r="I34" s="303"/>
      <c r="J34" s="303"/>
      <c r="K34" s="303"/>
      <c r="L34" s="308"/>
      <c r="M34" s="230"/>
      <c r="N34" s="678"/>
      <c r="O34" s="217"/>
      <c r="P34" s="148"/>
      <c r="Q34" s="149">
        <f>+G33</f>
        <v>0</v>
      </c>
    </row>
    <row r="35" spans="1:17">
      <c r="B35" s="209">
        <f>+IF(AND(B30=$B$16,B33&lt;&gt;0),B34/B33,0)</f>
        <v>0</v>
      </c>
      <c r="C35" s="209">
        <f t="shared" ref="C35:M35" si="0">+IF(AND(C30=$B$16,C33&lt;&gt;0),C34/C33,0)</f>
        <v>1.0370167228071394</v>
      </c>
      <c r="D35" s="209">
        <f t="shared" si="0"/>
        <v>0</v>
      </c>
      <c r="E35" s="209">
        <f>+IF(AND(E30=$B$16,E33&lt;&gt;0),E34/E33,0)</f>
        <v>0</v>
      </c>
      <c r="F35" s="209">
        <f t="shared" si="0"/>
        <v>0</v>
      </c>
      <c r="G35" s="209">
        <f t="shared" si="0"/>
        <v>0</v>
      </c>
      <c r="H35" s="209">
        <f t="shared" si="0"/>
        <v>0</v>
      </c>
      <c r="I35" s="209">
        <f t="shared" si="0"/>
        <v>0</v>
      </c>
      <c r="J35" s="209">
        <f t="shared" si="0"/>
        <v>0</v>
      </c>
      <c r="K35" s="209">
        <f t="shared" si="0"/>
        <v>0</v>
      </c>
      <c r="L35" s="209">
        <f t="shared" si="0"/>
        <v>0</v>
      </c>
      <c r="M35" s="209">
        <f t="shared" si="0"/>
        <v>0</v>
      </c>
      <c r="N35" s="143"/>
      <c r="O35" s="150"/>
      <c r="P35" s="148"/>
      <c r="Q35" s="149">
        <f>+H33</f>
        <v>0</v>
      </c>
    </row>
    <row r="36" spans="1:17" ht="18.600000000000001">
      <c r="A36" s="63" t="s">
        <v>55</v>
      </c>
      <c r="D36" s="214"/>
      <c r="F36" s="175"/>
      <c r="M36" s="26"/>
      <c r="N36" s="26"/>
    </row>
    <row r="37" spans="1:17" ht="15" thickBot="1">
      <c r="M37" s="15"/>
      <c r="N37" s="15"/>
    </row>
    <row r="38" spans="1:17" ht="30" customHeight="1">
      <c r="A38" s="258"/>
      <c r="B38" s="389" t="str">
        <f>CONCATENATE("Общий бюджет (в ",'Ввод данных'!$C$26,")")</f>
        <v>Общий бюджет (в $)</v>
      </c>
      <c r="C38" s="390" t="str">
        <f>CONCATENATE("Общие расходы (в ",'Ввод данных'!$C$26,")")</f>
        <v>Общие расходы (в $)</v>
      </c>
      <c r="D38" s="181"/>
      <c r="E38" s="181" t="s">
        <v>56</v>
      </c>
      <c r="I38" s="27"/>
      <c r="J38" s="27"/>
    </row>
    <row r="39" spans="1:17">
      <c r="A39" s="568" t="s">
        <v>57</v>
      </c>
      <c r="B39" s="571">
        <v>0</v>
      </c>
      <c r="C39" s="572">
        <v>0</v>
      </c>
      <c r="D39" t="s">
        <v>58</v>
      </c>
      <c r="F39" s="219"/>
      <c r="I39" s="28"/>
      <c r="J39" s="28"/>
    </row>
    <row r="40" spans="1:17">
      <c r="A40" s="569" t="s">
        <v>59</v>
      </c>
      <c r="B40" s="573">
        <v>0</v>
      </c>
      <c r="C40" s="574">
        <v>348698.32999999996</v>
      </c>
      <c r="D40" t="s">
        <v>60</v>
      </c>
      <c r="F40" s="219"/>
      <c r="I40" s="28"/>
      <c r="J40" s="28"/>
    </row>
    <row r="41" spans="1:17">
      <c r="A41" s="569" t="s">
        <v>61</v>
      </c>
      <c r="B41" s="573">
        <v>218748.91159819</v>
      </c>
      <c r="C41" s="574">
        <v>191650.10268436573</v>
      </c>
      <c r="D41" t="s">
        <v>62</v>
      </c>
      <c r="F41" s="219"/>
      <c r="I41" s="28"/>
      <c r="J41" s="28"/>
    </row>
    <row r="42" spans="1:17" ht="29.1">
      <c r="A42" s="569" t="s">
        <v>63</v>
      </c>
      <c r="B42" s="573">
        <v>74682.263514659498</v>
      </c>
      <c r="C42" s="574">
        <v>27416.569999999996</v>
      </c>
      <c r="D42" t="s">
        <v>64</v>
      </c>
      <c r="F42" s="219"/>
      <c r="I42" s="28"/>
      <c r="J42" s="28"/>
    </row>
    <row r="43" spans="1:17">
      <c r="A43" s="569" t="s">
        <v>65</v>
      </c>
      <c r="B43" s="573">
        <v>0</v>
      </c>
      <c r="C43" s="574">
        <v>1874354.8400000003</v>
      </c>
      <c r="D43" t="s">
        <v>66</v>
      </c>
      <c r="F43" s="219"/>
      <c r="I43" s="28"/>
      <c r="J43" s="28"/>
    </row>
    <row r="44" spans="1:17">
      <c r="A44" s="569" t="s">
        <v>67</v>
      </c>
      <c r="B44" s="573">
        <v>0</v>
      </c>
      <c r="C44" s="574">
        <v>329407.03000000003</v>
      </c>
      <c r="D44" t="s">
        <v>68</v>
      </c>
      <c r="F44" s="219"/>
      <c r="I44" s="28"/>
      <c r="J44" s="28"/>
    </row>
    <row r="45" spans="1:17">
      <c r="A45" s="569" t="s">
        <v>69</v>
      </c>
      <c r="B45" s="573">
        <v>0</v>
      </c>
      <c r="C45" s="574">
        <v>386759.2</v>
      </c>
      <c r="D45" t="s">
        <v>70</v>
      </c>
      <c r="F45" s="219"/>
      <c r="I45" s="28"/>
      <c r="J45" s="28"/>
    </row>
    <row r="46" spans="1:17">
      <c r="A46" s="569" t="s">
        <v>71</v>
      </c>
      <c r="B46" s="573">
        <v>15004.284736301701</v>
      </c>
      <c r="C46" s="574">
        <v>25905.469999999998</v>
      </c>
      <c r="D46" t="s">
        <v>72</v>
      </c>
      <c r="F46" s="219"/>
      <c r="I46" s="28"/>
      <c r="J46" s="28"/>
    </row>
    <row r="47" spans="1:17">
      <c r="A47" s="569" t="s">
        <v>73</v>
      </c>
      <c r="B47" s="573">
        <v>434963.770493883</v>
      </c>
      <c r="C47" s="574">
        <v>516425.29882291943</v>
      </c>
      <c r="D47" t="s">
        <v>74</v>
      </c>
      <c r="F47" s="219"/>
      <c r="I47" s="28"/>
      <c r="J47" s="28"/>
    </row>
    <row r="48" spans="1:17">
      <c r="A48" s="569" t="s">
        <v>75</v>
      </c>
      <c r="B48" s="573">
        <v>363743.34763112402</v>
      </c>
      <c r="C48" s="574">
        <v>513118.87823331455</v>
      </c>
      <c r="D48" t="s">
        <v>76</v>
      </c>
      <c r="F48" s="219"/>
      <c r="I48" s="28"/>
      <c r="J48" s="28"/>
    </row>
    <row r="49" spans="1:15" ht="29.1">
      <c r="A49" s="569" t="s">
        <v>77</v>
      </c>
      <c r="B49" s="573">
        <v>295366.39554648101</v>
      </c>
      <c r="C49" s="574">
        <v>316173.92</v>
      </c>
      <c r="D49" t="s">
        <v>78</v>
      </c>
      <c r="F49" s="219"/>
      <c r="I49" s="28"/>
      <c r="J49" s="28"/>
    </row>
    <row r="50" spans="1:15">
      <c r="A50" s="569" t="s">
        <v>79</v>
      </c>
      <c r="B50" s="573">
        <v>3650092.4207691401</v>
      </c>
      <c r="C50" s="574">
        <v>1279895.1199531604</v>
      </c>
      <c r="D50" t="s">
        <v>80</v>
      </c>
      <c r="F50" s="219"/>
      <c r="I50" s="28"/>
      <c r="J50" s="28"/>
    </row>
    <row r="51" spans="1:15">
      <c r="A51" s="570" t="s">
        <v>81</v>
      </c>
      <c r="B51" s="573">
        <v>1268616.10988331</v>
      </c>
      <c r="C51" s="574">
        <v>836557.7799999998</v>
      </c>
      <c r="D51" t="s">
        <v>82</v>
      </c>
      <c r="E51" s="219"/>
      <c r="F51" s="219"/>
      <c r="I51" s="28"/>
      <c r="J51" s="28"/>
    </row>
    <row r="52" spans="1:15">
      <c r="A52" s="569" t="s">
        <v>83</v>
      </c>
      <c r="B52" s="573">
        <v>324420.93204097799</v>
      </c>
      <c r="C52" s="574">
        <v>148190.38095675266</v>
      </c>
      <c r="D52" t="s">
        <v>84</v>
      </c>
      <c r="E52" s="218"/>
      <c r="F52" s="219"/>
      <c r="I52" s="28"/>
      <c r="J52" s="28"/>
    </row>
    <row r="53" spans="1:15">
      <c r="A53" s="569" t="s">
        <v>85</v>
      </c>
      <c r="B53" s="573">
        <v>822772.512551983</v>
      </c>
      <c r="C53" s="574">
        <v>450114.37723018322</v>
      </c>
      <c r="D53" t="s">
        <v>86</v>
      </c>
      <c r="E53" s="218"/>
      <c r="F53" s="219"/>
      <c r="I53" s="28"/>
      <c r="J53" s="28"/>
    </row>
    <row r="54" spans="1:15">
      <c r="A54" s="569" t="s">
        <v>87</v>
      </c>
      <c r="B54" s="573">
        <v>231700.25610135801</v>
      </c>
      <c r="C54" s="574">
        <v>128887.08524753027</v>
      </c>
      <c r="D54" t="s">
        <v>88</v>
      </c>
      <c r="E54" s="218"/>
      <c r="F54" s="219"/>
      <c r="I54" s="28"/>
      <c r="J54" s="28"/>
    </row>
    <row r="55" spans="1:15">
      <c r="A55" s="569" t="s">
        <v>89</v>
      </c>
      <c r="B55" s="573">
        <v>34308.006426944303</v>
      </c>
      <c r="C55" s="574">
        <v>1165.1100000000001</v>
      </c>
      <c r="D55" t="s">
        <v>90</v>
      </c>
      <c r="E55" s="218"/>
      <c r="F55" s="219"/>
      <c r="I55" s="28"/>
      <c r="J55" s="28"/>
    </row>
    <row r="56" spans="1:15">
      <c r="A56" s="569" t="s">
        <v>91</v>
      </c>
      <c r="B56" s="573">
        <v>165311.33711141601</v>
      </c>
      <c r="C56" s="574">
        <v>192798.68</v>
      </c>
      <c r="D56" t="s">
        <v>92</v>
      </c>
      <c r="E56" s="218"/>
      <c r="F56" s="219"/>
      <c r="I56" s="28"/>
      <c r="J56" s="28"/>
    </row>
    <row r="57" spans="1:15">
      <c r="A57" s="569" t="s">
        <v>93</v>
      </c>
      <c r="B57" s="573">
        <v>120487.724743345</v>
      </c>
      <c r="C57" s="574">
        <v>157833.61486147303</v>
      </c>
      <c r="D57" t="s">
        <v>94</v>
      </c>
      <c r="E57" s="218"/>
      <c r="F57" s="219"/>
      <c r="I57" s="28"/>
      <c r="J57" s="28"/>
    </row>
    <row r="58" spans="1:15">
      <c r="A58" s="569" t="s">
        <v>95</v>
      </c>
      <c r="B58" s="573">
        <v>81924.341552521306</v>
      </c>
      <c r="C58" s="574">
        <v>100429.83876786153</v>
      </c>
      <c r="D58" t="s">
        <v>96</v>
      </c>
      <c r="E58" s="218"/>
      <c r="F58" s="219"/>
      <c r="I58" s="28"/>
      <c r="J58" s="28"/>
    </row>
    <row r="59" spans="1:15">
      <c r="A59" s="569" t="s">
        <v>97</v>
      </c>
      <c r="B59" s="573">
        <v>121425.716958117</v>
      </c>
      <c r="C59" s="574">
        <v>134746.91999999998</v>
      </c>
      <c r="D59" t="s">
        <v>98</v>
      </c>
      <c r="E59" s="218"/>
      <c r="F59" s="219"/>
      <c r="I59" s="28"/>
      <c r="J59" s="28"/>
    </row>
    <row r="60" spans="1:15">
      <c r="A60" s="569" t="s">
        <v>99</v>
      </c>
      <c r="B60" s="573">
        <v>80886.398344118905</v>
      </c>
      <c r="C60" s="574">
        <v>69401.66831930753</v>
      </c>
      <c r="D60" t="s">
        <v>100</v>
      </c>
      <c r="E60" s="218"/>
      <c r="F60" s="219"/>
      <c r="I60" s="28"/>
      <c r="J60" s="28"/>
    </row>
    <row r="61" spans="1:15">
      <c r="A61" s="569" t="s">
        <v>101</v>
      </c>
      <c r="B61" s="573">
        <v>41773.605506423301</v>
      </c>
      <c r="C61" s="574">
        <v>57323.579979878443</v>
      </c>
      <c r="D61" t="s">
        <v>102</v>
      </c>
      <c r="E61" s="218"/>
      <c r="F61" s="219"/>
      <c r="I61" s="28"/>
      <c r="J61" s="28"/>
    </row>
    <row r="62" spans="1:15">
      <c r="A62" s="569" t="s">
        <v>103</v>
      </c>
      <c r="B62" s="575">
        <v>2045927.4836106501</v>
      </c>
      <c r="C62" s="574">
        <v>2287339.0292510302</v>
      </c>
      <c r="D62" t="s">
        <v>104</v>
      </c>
      <c r="E62" s="218"/>
      <c r="F62" s="219"/>
      <c r="J62" s="28"/>
    </row>
    <row r="63" spans="1:15" ht="15" thickBot="1">
      <c r="A63" s="234"/>
      <c r="B63" s="294"/>
      <c r="C63" s="300"/>
      <c r="D63" s="179"/>
      <c r="E63" s="218"/>
      <c r="J63" s="28"/>
    </row>
    <row r="64" spans="1:15" ht="15" thickBot="1">
      <c r="A64" s="235" t="s">
        <v>105</v>
      </c>
      <c r="B64" s="348">
        <f>SUM(B39:B63)</f>
        <v>10392155.819120944</v>
      </c>
      <c r="C64" s="448">
        <f>SUM(C39:C63)</f>
        <v>10374592.824307777</v>
      </c>
      <c r="E64" s="665" t="str">
        <f ca="1">+IF((ROUND(B64,0)=ROUND(OFFSET(A31,0,RIGHT('Ввод данных'!$B$16,LEN('Ввод данных'!$B$16)-1),1,1),0)),"Все правильно: данные верны","Предупреждение: данные не совпадают")</f>
        <v>Все правильно: данные верны</v>
      </c>
      <c r="F64" s="666"/>
      <c r="G64" s="666"/>
      <c r="H64" s="667"/>
      <c r="I64" s="143"/>
      <c r="J64" s="143"/>
      <c r="K64" s="143"/>
      <c r="L64" s="150"/>
      <c r="M64" s="148"/>
      <c r="N64" s="149"/>
      <c r="O64" s="147"/>
    </row>
    <row r="65" spans="1:17">
      <c r="B65" s="143"/>
      <c r="C65" s="143"/>
      <c r="E65" s="143"/>
      <c r="F65" s="143"/>
      <c r="G65" s="143"/>
      <c r="H65" s="143"/>
      <c r="I65" s="143"/>
      <c r="J65" s="143"/>
      <c r="K65" s="143"/>
      <c r="L65" s="143"/>
      <c r="M65" s="143"/>
      <c r="N65" s="143"/>
      <c r="O65" s="150"/>
      <c r="P65" s="148"/>
      <c r="Q65" s="149"/>
    </row>
    <row r="66" spans="1:17" ht="18.600000000000001">
      <c r="A66" s="63" t="s">
        <v>106</v>
      </c>
      <c r="C66" s="143"/>
      <c r="D66" s="143"/>
      <c r="O66" s="147"/>
      <c r="P66" s="148"/>
      <c r="Q66" s="149">
        <f>+I33</f>
        <v>0</v>
      </c>
    </row>
    <row r="67" spans="1:17" ht="15" thickBot="1">
      <c r="O67" s="147"/>
      <c r="P67" s="148"/>
      <c r="Q67" s="149">
        <f>+J33</f>
        <v>0</v>
      </c>
    </row>
    <row r="68" spans="1:17" ht="51" customHeight="1">
      <c r="A68" s="282"/>
      <c r="B68" s="283" t="s">
        <v>107</v>
      </c>
      <c r="C68" s="283" t="s">
        <v>108</v>
      </c>
      <c r="D68" s="284" t="str">
        <f>CONCATENATE("Всего израсходовано и выплачено (в ",C26,")")</f>
        <v>Всего израсходовано и выплачено (в $)</v>
      </c>
      <c r="F68" s="190"/>
      <c r="G68" s="391"/>
      <c r="H68" s="185"/>
      <c r="I68" s="185"/>
      <c r="J68" s="185"/>
      <c r="K68" s="185"/>
      <c r="L68" s="14"/>
      <c r="M68" s="14"/>
      <c r="N68" s="147"/>
      <c r="O68" s="148"/>
      <c r="P68" s="149">
        <f>+L33</f>
        <v>0</v>
      </c>
      <c r="Q68" s="147"/>
    </row>
    <row r="69" spans="1:17">
      <c r="A69" s="285" t="s">
        <v>109</v>
      </c>
      <c r="B69" s="309">
        <v>18761018</v>
      </c>
      <c r="C69" s="564">
        <v>3196889.01</v>
      </c>
      <c r="D69" s="287">
        <f>+C69+B69</f>
        <v>21957907.009999998</v>
      </c>
      <c r="F69" s="69"/>
      <c r="G69" s="188"/>
      <c r="H69" s="68"/>
      <c r="I69" s="145"/>
      <c r="J69" s="146"/>
      <c r="K69" s="70"/>
      <c r="L69" s="23"/>
      <c r="M69" s="23"/>
      <c r="N69" s="147"/>
      <c r="O69" s="147"/>
      <c r="P69" s="147"/>
      <c r="Q69" s="147"/>
    </row>
    <row r="70" spans="1:17">
      <c r="A70" s="285" t="s">
        <v>110</v>
      </c>
      <c r="B70" s="309">
        <v>3823161.8665999998</v>
      </c>
      <c r="C70" s="565">
        <v>8335820.5322433552</v>
      </c>
      <c r="D70" s="287">
        <f>+C70+B70</f>
        <v>12158982.398843355</v>
      </c>
      <c r="F70" s="170"/>
      <c r="G70" s="188"/>
      <c r="H70" s="68"/>
      <c r="I70" s="145"/>
      <c r="J70" s="145"/>
      <c r="K70" s="70"/>
      <c r="L70" s="24"/>
      <c r="M70" s="24"/>
      <c r="N70" s="147"/>
      <c r="O70" s="147"/>
      <c r="P70" s="147"/>
      <c r="Q70" s="147"/>
    </row>
    <row r="71" spans="1:17">
      <c r="A71" s="285" t="s">
        <v>111</v>
      </c>
      <c r="B71" s="309">
        <v>1971062.97</v>
      </c>
      <c r="C71" s="565">
        <v>2184700.7200000007</v>
      </c>
      <c r="D71" s="287">
        <f>+C71+B71</f>
        <v>4155763.6900000004</v>
      </c>
      <c r="F71" s="69"/>
      <c r="G71" s="188"/>
      <c r="H71" s="68"/>
      <c r="I71" s="145"/>
      <c r="J71" s="146"/>
      <c r="K71" s="70"/>
      <c r="L71" s="23"/>
      <c r="M71" s="23"/>
    </row>
    <row r="72" spans="1:17">
      <c r="A72" s="286" t="s">
        <v>112</v>
      </c>
      <c r="B72" s="309">
        <v>1894610.58</v>
      </c>
      <c r="C72" s="565">
        <v>2038772.2920644176</v>
      </c>
      <c r="D72" s="288">
        <f>+C72+B72</f>
        <v>3933382.8720644177</v>
      </c>
      <c r="E72" s="143"/>
      <c r="F72" s="171"/>
      <c r="G72" s="189"/>
      <c r="H72" s="71"/>
      <c r="I72" s="71"/>
      <c r="J72" s="71"/>
      <c r="K72" s="70"/>
      <c r="L72" s="24"/>
      <c r="M72" s="24"/>
    </row>
    <row r="73" spans="1:17" ht="15.75" customHeight="1">
      <c r="C73" s="143"/>
      <c r="E73" s="143"/>
    </row>
    <row r="74" spans="1:17">
      <c r="C74" s="281"/>
    </row>
    <row r="75" spans="1:17" ht="18.600000000000001">
      <c r="A75" s="63" t="s">
        <v>113</v>
      </c>
      <c r="C75" s="143"/>
    </row>
    <row r="76" spans="1:17" ht="15" thickBot="1"/>
    <row r="77" spans="1:17" ht="15.75" customHeight="1" thickBot="1">
      <c r="A77" s="632" t="s">
        <v>114</v>
      </c>
      <c r="B77" s="633"/>
      <c r="C77" s="634"/>
      <c r="D77" s="299"/>
    </row>
    <row r="78" spans="1:17">
      <c r="A78" s="295"/>
      <c r="B78" s="269"/>
      <c r="C78" s="279" t="s">
        <v>115</v>
      </c>
      <c r="D78" s="296" t="s">
        <v>116</v>
      </c>
    </row>
    <row r="79" spans="1:17">
      <c r="A79" s="191" t="s">
        <v>117</v>
      </c>
      <c r="B79" s="30"/>
      <c r="C79" s="310">
        <v>60</v>
      </c>
      <c r="D79" s="449">
        <v>59</v>
      </c>
    </row>
    <row r="80" spans="1:17">
      <c r="A80" s="191" t="s">
        <v>118</v>
      </c>
      <c r="B80" s="30"/>
      <c r="C80" s="310" t="s">
        <v>119</v>
      </c>
      <c r="D80" s="450" t="s">
        <v>119</v>
      </c>
      <c r="G80" s="188"/>
      <c r="H80" s="188"/>
    </row>
    <row r="81" spans="1:15" ht="15" thickBot="1">
      <c r="A81" s="297" t="s">
        <v>120</v>
      </c>
      <c r="B81" s="298"/>
      <c r="C81" s="311" t="s">
        <v>119</v>
      </c>
      <c r="D81" s="450" t="s">
        <v>119</v>
      </c>
      <c r="G81" s="188"/>
      <c r="H81" s="188"/>
    </row>
    <row r="83" spans="1:15" ht="15" thickBot="1"/>
    <row r="84" spans="1:15" ht="31.5" customHeight="1" thickBot="1">
      <c r="A84" s="73" t="s">
        <v>121</v>
      </c>
      <c r="B84" s="74"/>
      <c r="C84" s="74"/>
      <c r="D84" s="74"/>
      <c r="E84" s="74"/>
      <c r="F84" s="74"/>
      <c r="G84" s="392" t="s">
        <v>122</v>
      </c>
      <c r="H84" s="393"/>
      <c r="I84" s="394"/>
      <c r="J84" s="394"/>
      <c r="K84" s="395"/>
      <c r="L84" s="75"/>
      <c r="M84" s="59"/>
      <c r="N84" s="59"/>
      <c r="O84" s="59"/>
    </row>
    <row r="85" spans="1:15" ht="18.600000000000001">
      <c r="A85" s="76"/>
      <c r="B85" s="75"/>
      <c r="C85" s="75"/>
      <c r="D85" s="75"/>
      <c r="E85" s="75"/>
      <c r="F85" s="75"/>
      <c r="G85" s="75"/>
      <c r="H85" s="75"/>
      <c r="I85" s="75"/>
      <c r="J85" s="77"/>
      <c r="K85" s="77"/>
      <c r="L85" s="75"/>
      <c r="M85" s="59"/>
      <c r="N85" s="59"/>
      <c r="O85" s="59"/>
    </row>
    <row r="86" spans="1:15" ht="18.600000000000001">
      <c r="A86" s="76" t="s">
        <v>123</v>
      </c>
      <c r="B86" s="75"/>
      <c r="C86" s="75"/>
      <c r="D86" s="75"/>
      <c r="E86" s="75"/>
      <c r="F86" s="75"/>
      <c r="G86" s="75"/>
      <c r="H86" s="75"/>
      <c r="I86" s="75"/>
      <c r="J86" s="77"/>
      <c r="K86" s="77"/>
      <c r="L86" s="75"/>
      <c r="M86" s="59"/>
      <c r="N86" s="59"/>
      <c r="O86" s="59"/>
    </row>
    <row r="87" spans="1:15" ht="15" thickBot="1">
      <c r="B87" s="78"/>
      <c r="C87" s="78"/>
      <c r="D87" s="78"/>
      <c r="E87" s="78"/>
      <c r="F87" s="78"/>
      <c r="H87" s="78"/>
    </row>
    <row r="88" spans="1:15" ht="29.1">
      <c r="A88" s="630"/>
      <c r="B88" s="631"/>
      <c r="C88" s="79" t="s">
        <v>124</v>
      </c>
      <c r="D88" s="80" t="s">
        <v>125</v>
      </c>
      <c r="E88" s="249" t="s">
        <v>126</v>
      </c>
      <c r="F88" s="250" t="s">
        <v>127</v>
      </c>
      <c r="G88" s="396"/>
      <c r="H88" s="397"/>
    </row>
    <row r="89" spans="1:15">
      <c r="A89" s="635" t="s">
        <v>128</v>
      </c>
      <c r="B89" s="636"/>
      <c r="C89" s="172">
        <v>0</v>
      </c>
      <c r="D89" s="172">
        <v>0</v>
      </c>
      <c r="E89" s="172">
        <v>0</v>
      </c>
      <c r="F89" s="81"/>
      <c r="G89" s="396"/>
      <c r="H89" s="397"/>
    </row>
    <row r="90" spans="1:15" ht="15" thickBot="1">
      <c r="A90" s="640" t="s">
        <v>129</v>
      </c>
      <c r="B90" s="641"/>
      <c r="C90" s="172">
        <v>0</v>
      </c>
      <c r="D90" s="172">
        <v>0</v>
      </c>
      <c r="E90" s="172">
        <v>0</v>
      </c>
      <c r="F90" s="172">
        <v>0</v>
      </c>
      <c r="G90" s="396"/>
      <c r="H90" s="397"/>
    </row>
    <row r="91" spans="1:15">
      <c r="A91" s="635" t="s">
        <v>130</v>
      </c>
      <c r="B91" s="636"/>
      <c r="C91" s="172">
        <v>0</v>
      </c>
      <c r="D91" s="172">
        <v>0</v>
      </c>
      <c r="E91" s="172">
        <v>0</v>
      </c>
      <c r="F91" s="81">
        <f>SUM(C91:E91)</f>
        <v>0</v>
      </c>
      <c r="G91" s="187"/>
      <c r="H91" s="198"/>
      <c r="I91" s="198"/>
    </row>
    <row r="92" spans="1:15" ht="15" thickBot="1">
      <c r="A92" s="640" t="s">
        <v>131</v>
      </c>
      <c r="B92" s="641"/>
      <c r="C92" s="173">
        <v>0</v>
      </c>
      <c r="D92" s="173">
        <v>0</v>
      </c>
      <c r="E92" s="173">
        <v>0</v>
      </c>
      <c r="F92" s="82">
        <f>SUM(C92:E92)</f>
        <v>0</v>
      </c>
      <c r="G92" s="187"/>
    </row>
    <row r="95" spans="1:15" ht="18.600000000000001">
      <c r="A95" s="76" t="s">
        <v>132</v>
      </c>
    </row>
    <row r="96" spans="1:15" ht="15" thickBot="1"/>
    <row r="97" spans="1:8">
      <c r="A97" s="342" t="s">
        <v>133</v>
      </c>
      <c r="B97" s="248" t="s">
        <v>134</v>
      </c>
      <c r="C97" s="248" t="s">
        <v>135</v>
      </c>
      <c r="D97" s="83" t="s">
        <v>136</v>
      </c>
      <c r="H97" s="397"/>
    </row>
    <row r="98" spans="1:8" ht="15" thickBot="1">
      <c r="A98" s="270" t="s">
        <v>137</v>
      </c>
      <c r="B98" s="172">
        <v>5</v>
      </c>
      <c r="C98" s="172">
        <v>5</v>
      </c>
      <c r="D98" s="172">
        <f>B98-C98</f>
        <v>0</v>
      </c>
      <c r="H98" s="397"/>
    </row>
    <row r="99" spans="1:8" ht="15" thickBot="1">
      <c r="A99" s="270" t="s">
        <v>138</v>
      </c>
      <c r="B99" s="432">
        <v>2</v>
      </c>
      <c r="C99" s="172">
        <v>2</v>
      </c>
      <c r="D99" s="172">
        <v>0</v>
      </c>
      <c r="H99" s="397"/>
    </row>
    <row r="100" spans="1:8" ht="15" thickBot="1">
      <c r="A100" s="270" t="s">
        <v>139</v>
      </c>
      <c r="B100" s="432">
        <v>17</v>
      </c>
      <c r="C100" s="172">
        <v>17</v>
      </c>
      <c r="D100" s="172">
        <v>0</v>
      </c>
      <c r="E100" s="176"/>
      <c r="F100" s="398"/>
      <c r="H100" s="198"/>
    </row>
    <row r="101" spans="1:8">
      <c r="B101" s="399"/>
      <c r="C101" s="399"/>
      <c r="D101" s="399"/>
    </row>
    <row r="102" spans="1:8" ht="18.600000000000001">
      <c r="A102" s="76" t="s">
        <v>140</v>
      </c>
    </row>
    <row r="103" spans="1:8" ht="15" thickBot="1"/>
    <row r="104" spans="1:8" ht="29.1">
      <c r="A104" s="289"/>
      <c r="B104" s="368" t="s">
        <v>141</v>
      </c>
      <c r="C104" s="368" t="s">
        <v>142</v>
      </c>
      <c r="D104" s="368" t="s">
        <v>143</v>
      </c>
      <c r="E104" s="369" t="s">
        <v>144</v>
      </c>
      <c r="F104" s="370" t="s">
        <v>145</v>
      </c>
      <c r="G104" s="180"/>
      <c r="H104" s="397"/>
    </row>
    <row r="105" spans="1:8" ht="15" thickBot="1">
      <c r="A105" s="371" t="s">
        <v>146</v>
      </c>
      <c r="B105" s="343">
        <v>22</v>
      </c>
      <c r="C105" s="344">
        <v>22</v>
      </c>
      <c r="D105" s="344">
        <v>22</v>
      </c>
      <c r="E105" s="344">
        <v>22</v>
      </c>
      <c r="F105" s="344">
        <v>22</v>
      </c>
      <c r="G105" s="199"/>
      <c r="H105" s="187"/>
    </row>
    <row r="106" spans="1:8" ht="15" thickBot="1">
      <c r="A106" s="372" t="s">
        <v>147</v>
      </c>
      <c r="B106" s="420">
        <v>5</v>
      </c>
      <c r="C106" s="344">
        <v>5</v>
      </c>
      <c r="D106" s="344">
        <v>5</v>
      </c>
      <c r="E106" s="344">
        <v>5</v>
      </c>
      <c r="F106" s="373">
        <v>5</v>
      </c>
      <c r="G106" s="199"/>
      <c r="H106" s="187"/>
    </row>
    <row r="108" spans="1:8" ht="18.600000000000001">
      <c r="A108" s="76" t="s">
        <v>148</v>
      </c>
    </row>
    <row r="109" spans="1:8" ht="15" thickBot="1"/>
    <row r="110" spans="1:8" ht="27.75" customHeight="1">
      <c r="A110" s="289"/>
      <c r="B110" s="353" t="s">
        <v>149</v>
      </c>
      <c r="C110" s="353" t="s">
        <v>150</v>
      </c>
      <c r="D110" s="354" t="s">
        <v>151</v>
      </c>
    </row>
    <row r="111" spans="1:8" ht="27.75" customHeight="1">
      <c r="A111" s="355" t="s">
        <v>152</v>
      </c>
      <c r="B111" s="172">
        <v>0</v>
      </c>
      <c r="C111" s="174">
        <v>0</v>
      </c>
      <c r="D111" s="356">
        <v>0</v>
      </c>
    </row>
    <row r="112" spans="1:8" ht="27.75" customHeight="1">
      <c r="A112" s="355" t="s">
        <v>153</v>
      </c>
      <c r="B112" s="172">
        <v>35</v>
      </c>
      <c r="C112" s="174">
        <v>35</v>
      </c>
      <c r="D112" s="356">
        <f>B112-C112</f>
        <v>0</v>
      </c>
    </row>
    <row r="113" spans="1:13">
      <c r="A113" s="355" t="s">
        <v>154</v>
      </c>
      <c r="B113" s="172"/>
      <c r="C113" s="174"/>
      <c r="D113" s="356">
        <f t="shared" ref="D113:D114" si="1">B113-C113</f>
        <v>0</v>
      </c>
    </row>
    <row r="114" spans="1:13" ht="15" thickBot="1">
      <c r="A114" s="357" t="s">
        <v>155</v>
      </c>
      <c r="B114" s="358">
        <v>7</v>
      </c>
      <c r="C114" s="359">
        <v>7</v>
      </c>
      <c r="D114" s="360">
        <f t="shared" si="1"/>
        <v>0</v>
      </c>
    </row>
    <row r="116" spans="1:13" ht="18.600000000000001">
      <c r="A116" s="76" t="s">
        <v>156</v>
      </c>
    </row>
    <row r="117" spans="1:13" ht="15" thickBot="1"/>
    <row r="118" spans="1:13">
      <c r="A118" s="289"/>
      <c r="B118" s="223" t="s">
        <v>40</v>
      </c>
      <c r="C118" s="223" t="s">
        <v>25</v>
      </c>
      <c r="D118" s="223" t="s">
        <v>41</v>
      </c>
      <c r="E118" s="223" t="s">
        <v>42</v>
      </c>
      <c r="F118" s="223" t="s">
        <v>43</v>
      </c>
      <c r="G118" s="223" t="s">
        <v>44</v>
      </c>
      <c r="H118" s="223" t="s">
        <v>45</v>
      </c>
      <c r="I118" s="223" t="s">
        <v>46</v>
      </c>
      <c r="J118" s="223" t="s">
        <v>47</v>
      </c>
      <c r="K118" s="223" t="s">
        <v>48</v>
      </c>
      <c r="L118" s="223" t="s">
        <v>49</v>
      </c>
      <c r="M118" s="361" t="s">
        <v>50</v>
      </c>
    </row>
    <row r="119" spans="1:13" ht="15" customHeight="1">
      <c r="A119" s="290" t="s">
        <v>157</v>
      </c>
      <c r="B119" s="566">
        <v>5182783</v>
      </c>
      <c r="C119" s="349">
        <v>5344454.9477457656</v>
      </c>
      <c r="D119" s="349"/>
      <c r="E119" s="215"/>
      <c r="F119" s="215"/>
      <c r="G119" s="215"/>
      <c r="H119" s="215"/>
      <c r="I119" s="215"/>
      <c r="J119" s="215"/>
      <c r="K119" s="215"/>
      <c r="L119" s="215"/>
      <c r="M119" s="362"/>
    </row>
    <row r="120" spans="1:13" ht="15" customHeight="1">
      <c r="A120" s="290" t="s">
        <v>158</v>
      </c>
      <c r="B120" s="567">
        <v>2445797</v>
      </c>
      <c r="C120" s="349">
        <v>4134253.8999999994</v>
      </c>
      <c r="D120" s="349"/>
      <c r="E120" s="215"/>
      <c r="F120" s="215"/>
      <c r="G120" s="215"/>
      <c r="H120" s="215"/>
      <c r="I120" s="215"/>
      <c r="J120" s="215"/>
      <c r="K120" s="215"/>
      <c r="L120" s="215"/>
      <c r="M120" s="362"/>
    </row>
    <row r="121" spans="1:13" ht="15" customHeight="1">
      <c r="A121" s="290" t="s">
        <v>159</v>
      </c>
      <c r="B121" s="567">
        <v>1718390</v>
      </c>
      <c r="C121" s="349">
        <v>4934758.5100000007</v>
      </c>
      <c r="D121" s="349"/>
      <c r="E121" s="215"/>
      <c r="F121" s="215"/>
      <c r="G121" s="215"/>
      <c r="H121" s="215"/>
      <c r="I121" s="215"/>
      <c r="J121" s="215"/>
      <c r="K121" s="215"/>
      <c r="L121" s="215"/>
      <c r="M121" s="362"/>
    </row>
    <row r="122" spans="1:13" ht="15" customHeight="1">
      <c r="A122" s="291" t="s">
        <v>160</v>
      </c>
      <c r="B122" s="350">
        <f>B119</f>
        <v>5182783</v>
      </c>
      <c r="C122" s="350">
        <f>B122+C119</f>
        <v>10527237.947745766</v>
      </c>
      <c r="D122" s="350"/>
      <c r="E122" s="350"/>
      <c r="F122" s="350"/>
      <c r="G122" s="216"/>
      <c r="H122" s="216"/>
      <c r="I122" s="216"/>
      <c r="J122" s="216"/>
      <c r="K122" s="216"/>
      <c r="L122" s="216"/>
      <c r="M122" s="363"/>
    </row>
    <row r="123" spans="1:13" ht="15" customHeight="1">
      <c r="A123" s="291" t="s">
        <v>161</v>
      </c>
      <c r="B123" s="350">
        <f>B120</f>
        <v>2445797</v>
      </c>
      <c r="C123" s="350">
        <f>C120</f>
        <v>4134253.8999999994</v>
      </c>
      <c r="D123" s="350"/>
      <c r="E123" s="350"/>
      <c r="F123" s="216"/>
      <c r="G123" s="216"/>
      <c r="H123" s="216"/>
      <c r="I123" s="216"/>
      <c r="J123" s="216"/>
      <c r="K123" s="216"/>
      <c r="L123" s="216"/>
      <c r="M123" s="363"/>
    </row>
    <row r="124" spans="1:13">
      <c r="A124" s="364" t="s">
        <v>162</v>
      </c>
      <c r="B124" s="365">
        <f>B121</f>
        <v>1718390</v>
      </c>
      <c r="C124" s="365">
        <f>B121+C121</f>
        <v>6653148.5100000007</v>
      </c>
      <c r="D124" s="365"/>
      <c r="E124" s="365"/>
      <c r="F124" s="216"/>
      <c r="G124" s="366"/>
      <c r="H124" s="366"/>
      <c r="I124" s="366"/>
      <c r="J124" s="366"/>
      <c r="K124" s="366"/>
      <c r="L124" s="366"/>
      <c r="M124" s="367"/>
    </row>
    <row r="125" spans="1:13">
      <c r="I125" s="84"/>
      <c r="J125" s="400"/>
      <c r="L125" s="85"/>
    </row>
    <row r="126" spans="1:13">
      <c r="A126" t="s">
        <v>163</v>
      </c>
      <c r="I126" s="84"/>
      <c r="J126" s="400"/>
      <c r="L126" s="85"/>
    </row>
    <row r="127" spans="1:13">
      <c r="I127" s="84"/>
      <c r="J127" s="85"/>
      <c r="L127" s="85"/>
    </row>
    <row r="129" spans="1:11" ht="18.600000000000001">
      <c r="A129" s="76" t="s">
        <v>164</v>
      </c>
    </row>
    <row r="130" spans="1:11" ht="117.6">
      <c r="A130" s="374" t="s">
        <v>165</v>
      </c>
      <c r="B130" s="375" t="s">
        <v>166</v>
      </c>
      <c r="C130" s="376" t="s">
        <v>167</v>
      </c>
      <c r="D130" s="376" t="s">
        <v>168</v>
      </c>
      <c r="E130" s="377" t="s">
        <v>169</v>
      </c>
      <c r="F130" s="375" t="s">
        <v>170</v>
      </c>
      <c r="G130" s="679" t="s">
        <v>171</v>
      </c>
      <c r="H130" s="680"/>
      <c r="I130" s="376" t="s">
        <v>172</v>
      </c>
      <c r="J130" s="516" t="s">
        <v>173</v>
      </c>
      <c r="K130" s="513" t="s">
        <v>174</v>
      </c>
    </row>
    <row r="131" spans="1:11">
      <c r="A131" s="441"/>
      <c r="B131" s="442"/>
      <c r="C131" s="443"/>
      <c r="D131" s="443"/>
      <c r="E131" s="444"/>
      <c r="F131" s="442"/>
      <c r="G131" s="577" t="s">
        <v>13</v>
      </c>
      <c r="H131" s="445" t="s">
        <v>175</v>
      </c>
      <c r="I131" s="443"/>
      <c r="J131" s="517"/>
      <c r="K131" s="513"/>
    </row>
    <row r="132" spans="1:11">
      <c r="A132" s="681" t="s">
        <v>137</v>
      </c>
      <c r="B132" s="581" t="s">
        <v>176</v>
      </c>
      <c r="C132" s="582">
        <v>2</v>
      </c>
      <c r="D132" s="583">
        <f t="shared" ref="D132:D138" si="2">IF(ISBLANK(C132),"",C132*30)</f>
        <v>60</v>
      </c>
      <c r="E132" s="584">
        <v>65</v>
      </c>
      <c r="F132" s="585">
        <f t="shared" ref="F132:F139" si="3">E132*D132</f>
        <v>3900</v>
      </c>
      <c r="G132" s="585">
        <v>36812</v>
      </c>
      <c r="H132" s="586"/>
      <c r="I132" s="587">
        <f>G132/F132</f>
        <v>9.4389743589743595</v>
      </c>
      <c r="J132" s="588">
        <v>3</v>
      </c>
      <c r="K132" s="514">
        <f>IF(AND(I132&gt;0,J132&gt;0),I132-J132,"")</f>
        <v>6.4389743589743595</v>
      </c>
    </row>
    <row r="133" spans="1:11">
      <c r="A133" s="681"/>
      <c r="B133" s="581" t="s">
        <v>177</v>
      </c>
      <c r="C133" s="582">
        <v>2</v>
      </c>
      <c r="D133" s="583">
        <f t="shared" si="2"/>
        <v>60</v>
      </c>
      <c r="E133" s="584">
        <v>24</v>
      </c>
      <c r="F133" s="585">
        <f t="shared" si="3"/>
        <v>1440</v>
      </c>
      <c r="G133" s="585">
        <v>3587</v>
      </c>
      <c r="H133" s="586"/>
      <c r="I133" s="587">
        <f t="shared" ref="I133:I141" si="4">G133/F133</f>
        <v>2.4909722222222221</v>
      </c>
      <c r="J133" s="588">
        <v>3</v>
      </c>
      <c r="K133" s="514">
        <f t="shared" ref="K133:K141" si="5">IF(AND(I133&gt;0,J133&gt;0),I133-J133,"")</f>
        <v>-0.50902777777777786</v>
      </c>
    </row>
    <row r="134" spans="1:11">
      <c r="A134" s="681"/>
      <c r="B134" s="581" t="s">
        <v>178</v>
      </c>
      <c r="C134" s="582">
        <v>4</v>
      </c>
      <c r="D134" s="583">
        <f t="shared" si="2"/>
        <v>120</v>
      </c>
      <c r="E134" s="584">
        <v>10</v>
      </c>
      <c r="F134" s="585">
        <f t="shared" si="3"/>
        <v>1200</v>
      </c>
      <c r="G134" s="585">
        <v>9840</v>
      </c>
      <c r="H134" s="586"/>
      <c r="I134" s="587">
        <f t="shared" si="4"/>
        <v>8.1999999999999993</v>
      </c>
      <c r="J134" s="588">
        <v>3</v>
      </c>
      <c r="K134" s="514">
        <f t="shared" si="5"/>
        <v>5.1999999999999993</v>
      </c>
    </row>
    <row r="135" spans="1:11">
      <c r="A135" s="681"/>
      <c r="B135" s="581" t="s">
        <v>179</v>
      </c>
      <c r="C135" s="582">
        <v>2</v>
      </c>
      <c r="D135" s="583">
        <f t="shared" si="2"/>
        <v>60</v>
      </c>
      <c r="E135" s="584">
        <v>13</v>
      </c>
      <c r="F135" s="585">
        <f t="shared" si="3"/>
        <v>780</v>
      </c>
      <c r="G135" s="585">
        <v>4317</v>
      </c>
      <c r="H135" s="586"/>
      <c r="I135" s="587">
        <f t="shared" si="4"/>
        <v>5.5346153846153845</v>
      </c>
      <c r="J135" s="588">
        <v>3</v>
      </c>
      <c r="K135" s="514">
        <f t="shared" si="5"/>
        <v>2.5346153846153845</v>
      </c>
    </row>
    <row r="136" spans="1:11">
      <c r="A136" s="681"/>
      <c r="B136" s="581" t="s">
        <v>180</v>
      </c>
      <c r="C136" s="582">
        <v>1</v>
      </c>
      <c r="D136" s="583">
        <f t="shared" si="2"/>
        <v>30</v>
      </c>
      <c r="E136" s="584">
        <v>34</v>
      </c>
      <c r="F136" s="585">
        <f t="shared" si="3"/>
        <v>1020</v>
      </c>
      <c r="G136" s="585">
        <v>0</v>
      </c>
      <c r="H136" s="586">
        <v>2.9950000000000001</v>
      </c>
      <c r="I136" s="587">
        <f>(G136+H136)/F136</f>
        <v>2.9362745098039217E-3</v>
      </c>
      <c r="J136" s="588">
        <v>3</v>
      </c>
      <c r="K136" s="515">
        <f t="shared" si="5"/>
        <v>-2.9970637254901962</v>
      </c>
    </row>
    <row r="137" spans="1:11">
      <c r="A137" s="681"/>
      <c r="B137" s="581" t="s">
        <v>181</v>
      </c>
      <c r="C137" s="582">
        <v>1</v>
      </c>
      <c r="D137" s="583">
        <f t="shared" si="2"/>
        <v>30</v>
      </c>
      <c r="E137" s="584">
        <v>470</v>
      </c>
      <c r="F137" s="585">
        <f t="shared" si="3"/>
        <v>14100</v>
      </c>
      <c r="G137" s="585">
        <v>41770</v>
      </c>
      <c r="H137" s="589">
        <v>270</v>
      </c>
      <c r="I137" s="587">
        <f>(G137+H137)/F137</f>
        <v>2.9815602836879433</v>
      </c>
      <c r="J137" s="588">
        <v>3</v>
      </c>
      <c r="K137" s="515">
        <f t="shared" si="5"/>
        <v>-1.8439716312056653E-2</v>
      </c>
    </row>
    <row r="138" spans="1:11">
      <c r="A138" s="681"/>
      <c r="B138" s="581" t="s">
        <v>182</v>
      </c>
      <c r="C138" s="590">
        <v>1</v>
      </c>
      <c r="D138" s="583">
        <f t="shared" si="2"/>
        <v>30</v>
      </c>
      <c r="E138" s="584">
        <v>29</v>
      </c>
      <c r="F138" s="585">
        <f t="shared" si="3"/>
        <v>870</v>
      </c>
      <c r="G138" s="585">
        <v>11543</v>
      </c>
      <c r="H138" s="585"/>
      <c r="I138" s="587">
        <f t="shared" si="4"/>
        <v>13.267816091954023</v>
      </c>
      <c r="J138" s="588">
        <v>3</v>
      </c>
      <c r="K138" s="515">
        <f t="shared" si="5"/>
        <v>10.267816091954023</v>
      </c>
    </row>
    <row r="139" spans="1:11">
      <c r="A139" s="681"/>
      <c r="B139" s="581" t="s">
        <v>183</v>
      </c>
      <c r="C139" s="590">
        <v>5</v>
      </c>
      <c r="D139" s="583">
        <f>IF(ISBLANK(C139),"",C139*30)</f>
        <v>150</v>
      </c>
      <c r="E139" s="584">
        <v>29</v>
      </c>
      <c r="F139" s="585">
        <f t="shared" si="3"/>
        <v>4350</v>
      </c>
      <c r="G139" s="585">
        <v>33360</v>
      </c>
      <c r="H139" s="585"/>
      <c r="I139" s="587">
        <f t="shared" si="4"/>
        <v>7.6689655172413795</v>
      </c>
      <c r="J139" s="588">
        <v>3</v>
      </c>
      <c r="K139" s="514">
        <f t="shared" si="5"/>
        <v>4.6689655172413795</v>
      </c>
    </row>
    <row r="140" spans="1:11">
      <c r="A140" s="681"/>
      <c r="B140" s="581" t="s">
        <v>184</v>
      </c>
      <c r="C140" s="590">
        <v>1</v>
      </c>
      <c r="D140" s="583">
        <f>IF(ISBLANK(C140),"",C140*30)</f>
        <v>30</v>
      </c>
      <c r="E140" s="583">
        <v>90</v>
      </c>
      <c r="F140" s="585">
        <f>E140*D140</f>
        <v>2700</v>
      </c>
      <c r="G140" s="585">
        <v>11880</v>
      </c>
      <c r="H140" s="585"/>
      <c r="I140" s="587">
        <f t="shared" si="4"/>
        <v>4.4000000000000004</v>
      </c>
      <c r="J140" s="588">
        <v>3</v>
      </c>
      <c r="K140" s="514">
        <f t="shared" si="5"/>
        <v>1.4000000000000004</v>
      </c>
    </row>
    <row r="141" spans="1:11">
      <c r="A141" s="681"/>
      <c r="B141" s="581" t="s">
        <v>185</v>
      </c>
      <c r="C141" s="590">
        <v>4</v>
      </c>
      <c r="D141" s="583">
        <f>IF(ISBLANK(C141),"",C141*30)</f>
        <v>120</v>
      </c>
      <c r="E141" s="583">
        <v>4</v>
      </c>
      <c r="F141" s="585">
        <f>E141*D141</f>
        <v>480</v>
      </c>
      <c r="G141" s="585">
        <v>2400</v>
      </c>
      <c r="H141" s="585"/>
      <c r="I141" s="587">
        <f t="shared" si="4"/>
        <v>5</v>
      </c>
      <c r="J141" s="588">
        <v>3</v>
      </c>
      <c r="K141" s="514">
        <f t="shared" si="5"/>
        <v>2</v>
      </c>
    </row>
    <row r="142" spans="1:11">
      <c r="A142" s="681"/>
      <c r="B142" s="581" t="s">
        <v>186</v>
      </c>
      <c r="C142" s="590">
        <v>1</v>
      </c>
      <c r="D142" s="583">
        <v>30</v>
      </c>
      <c r="E142" s="583">
        <v>190</v>
      </c>
      <c r="F142" s="585">
        <f t="shared" ref="F142:F146" si="6">E142*D142</f>
        <v>5700</v>
      </c>
      <c r="G142" s="585">
        <v>32188</v>
      </c>
      <c r="H142" s="589">
        <v>59000</v>
      </c>
      <c r="I142" s="587">
        <f>(G142+H142)/F142</f>
        <v>15.997894736842106</v>
      </c>
      <c r="J142" s="588">
        <v>3</v>
      </c>
      <c r="K142" s="514">
        <f t="shared" ref="K142:K146" si="7">IF(AND(I142&gt;0,J142&gt;0),I142-J142,"")</f>
        <v>12.997894736842106</v>
      </c>
    </row>
    <row r="143" spans="1:11">
      <c r="A143" s="681"/>
      <c r="B143" s="581" t="s">
        <v>187</v>
      </c>
      <c r="C143" s="590">
        <v>1</v>
      </c>
      <c r="D143" s="583">
        <v>30</v>
      </c>
      <c r="E143" s="583">
        <v>4987</v>
      </c>
      <c r="F143" s="585">
        <f>E143*D143</f>
        <v>149610</v>
      </c>
      <c r="G143" s="585">
        <v>11940</v>
      </c>
      <c r="H143" s="589">
        <v>1244972</v>
      </c>
      <c r="I143" s="587">
        <f>(G143+H143)/F143</f>
        <v>8.4012566004946194</v>
      </c>
      <c r="J143" s="588">
        <v>3</v>
      </c>
      <c r="K143" s="514">
        <f t="shared" si="7"/>
        <v>5.4012566004946194</v>
      </c>
    </row>
    <row r="144" spans="1:11">
      <c r="A144" s="681"/>
      <c r="B144" s="591" t="s">
        <v>188</v>
      </c>
      <c r="C144" s="590">
        <v>1</v>
      </c>
      <c r="D144" s="583">
        <v>30</v>
      </c>
      <c r="E144" s="583">
        <v>28</v>
      </c>
      <c r="F144" s="585">
        <f>E144*D144</f>
        <v>840</v>
      </c>
      <c r="G144" s="585">
        <v>7470</v>
      </c>
      <c r="H144" s="585"/>
      <c r="I144" s="587">
        <f>G144/F144</f>
        <v>8.8928571428571423</v>
      </c>
      <c r="J144" s="588">
        <v>3</v>
      </c>
      <c r="K144" s="514">
        <f>IF(AND(I144&gt;0,J144&gt;0),I144-J144,"")</f>
        <v>5.8928571428571423</v>
      </c>
    </row>
    <row r="145" spans="1:11">
      <c r="A145" s="681"/>
      <c r="B145" s="591" t="s">
        <v>189</v>
      </c>
      <c r="C145" s="590">
        <v>2</v>
      </c>
      <c r="D145" s="583">
        <f>IF(ISBLANK(C145),"",C145*30)</f>
        <v>60</v>
      </c>
      <c r="E145" s="583">
        <v>20</v>
      </c>
      <c r="F145" s="585">
        <f>E145*D145</f>
        <v>1200</v>
      </c>
      <c r="G145" s="585">
        <v>9084</v>
      </c>
      <c r="H145" s="585"/>
      <c r="I145" s="587">
        <f>G145/F145</f>
        <v>7.57</v>
      </c>
      <c r="J145" s="588">
        <v>3</v>
      </c>
      <c r="K145" s="514">
        <f>IF(AND(I145&gt;0,J145&gt;0),I145-J145,"")</f>
        <v>4.57</v>
      </c>
    </row>
    <row r="146" spans="1:11">
      <c r="A146" s="682"/>
      <c r="B146" s="591" t="s">
        <v>190</v>
      </c>
      <c r="C146" s="590">
        <v>1</v>
      </c>
      <c r="D146" s="583">
        <f>IF(ISBLANK(C146),"",C146*30)</f>
        <v>30</v>
      </c>
      <c r="E146" s="583">
        <v>20</v>
      </c>
      <c r="F146" s="585">
        <f t="shared" si="6"/>
        <v>600</v>
      </c>
      <c r="G146" s="592">
        <v>4830</v>
      </c>
      <c r="H146" s="592"/>
      <c r="I146" s="593">
        <f t="shared" ref="I146" si="8">G146/F146</f>
        <v>8.0500000000000007</v>
      </c>
      <c r="J146" s="588">
        <v>3</v>
      </c>
      <c r="K146" s="514">
        <f t="shared" si="7"/>
        <v>5.0500000000000007</v>
      </c>
    </row>
    <row r="147" spans="1:11">
      <c r="A147" s="683" t="s">
        <v>138</v>
      </c>
      <c r="B147" s="471" t="s">
        <v>191</v>
      </c>
      <c r="C147" s="472">
        <v>1</v>
      </c>
      <c r="D147" s="473">
        <v>26</v>
      </c>
      <c r="E147" s="383">
        <v>0</v>
      </c>
      <c r="F147" s="530">
        <f>C147*D147*E147</f>
        <v>0</v>
      </c>
      <c r="G147" s="524">
        <v>0</v>
      </c>
      <c r="H147" s="525"/>
      <c r="I147" s="526">
        <v>0</v>
      </c>
      <c r="J147" s="534">
        <v>0</v>
      </c>
      <c r="K147" s="518">
        <v>0</v>
      </c>
    </row>
    <row r="148" spans="1:11">
      <c r="A148" s="684"/>
      <c r="B148" s="475" t="s">
        <v>192</v>
      </c>
      <c r="C148" s="476">
        <v>1</v>
      </c>
      <c r="D148" s="477">
        <v>26</v>
      </c>
      <c r="E148" s="383">
        <v>0</v>
      </c>
      <c r="F148" s="530">
        <f t="shared" ref="F148:F162" si="9">C148*D148*E148</f>
        <v>0</v>
      </c>
      <c r="G148" s="524">
        <v>0</v>
      </c>
      <c r="H148" s="525"/>
      <c r="I148" s="526">
        <v>0</v>
      </c>
      <c r="J148" s="534">
        <v>0</v>
      </c>
      <c r="K148" s="474">
        <v>0</v>
      </c>
    </row>
    <row r="149" spans="1:11">
      <c r="A149" s="684"/>
      <c r="B149" s="475" t="s">
        <v>193</v>
      </c>
      <c r="C149" s="478">
        <v>2</v>
      </c>
      <c r="D149" s="479">
        <v>26</v>
      </c>
      <c r="E149" s="480">
        <v>5</v>
      </c>
      <c r="F149" s="531">
        <v>0</v>
      </c>
      <c r="G149" s="527">
        <v>0</v>
      </c>
      <c r="H149" s="525"/>
      <c r="I149" s="528">
        <v>0</v>
      </c>
      <c r="J149" s="535">
        <v>0</v>
      </c>
      <c r="K149" s="481">
        <v>0</v>
      </c>
    </row>
    <row r="150" spans="1:11">
      <c r="A150" s="684"/>
      <c r="B150" s="475" t="s">
        <v>194</v>
      </c>
      <c r="C150" s="478">
        <v>2</v>
      </c>
      <c r="D150" s="479">
        <v>30</v>
      </c>
      <c r="E150" s="480">
        <v>34</v>
      </c>
      <c r="F150" s="531">
        <f t="shared" si="9"/>
        <v>2040</v>
      </c>
      <c r="G150" s="527">
        <v>5103</v>
      </c>
      <c r="H150" s="525">
        <v>16750</v>
      </c>
      <c r="I150" s="528">
        <f t="shared" ref="I150:I155" si="10">(G150+H150)/F150</f>
        <v>10.712254901960785</v>
      </c>
      <c r="J150" s="535">
        <v>3</v>
      </c>
      <c r="K150" s="481">
        <f t="shared" ref="K150:K164" si="11">I150-J150</f>
        <v>7.7122549019607849</v>
      </c>
    </row>
    <row r="151" spans="1:11">
      <c r="A151" s="684"/>
      <c r="B151" s="475" t="s">
        <v>195</v>
      </c>
      <c r="C151" s="478">
        <v>3</v>
      </c>
      <c r="D151" s="479">
        <v>30</v>
      </c>
      <c r="E151" s="480">
        <v>839</v>
      </c>
      <c r="F151" s="531">
        <f t="shared" si="9"/>
        <v>75510</v>
      </c>
      <c r="G151" s="527">
        <v>981495</v>
      </c>
      <c r="H151" s="525">
        <v>164945</v>
      </c>
      <c r="I151" s="528">
        <f t="shared" si="10"/>
        <v>15.182624817904914</v>
      </c>
      <c r="J151" s="535">
        <v>3</v>
      </c>
      <c r="K151" s="481">
        <f t="shared" si="11"/>
        <v>12.182624817904914</v>
      </c>
    </row>
    <row r="152" spans="1:11">
      <c r="A152" s="684"/>
      <c r="B152" s="475" t="s">
        <v>196</v>
      </c>
      <c r="C152" s="478">
        <v>4</v>
      </c>
      <c r="D152" s="479">
        <v>30</v>
      </c>
      <c r="E152" s="480">
        <v>95</v>
      </c>
      <c r="F152" s="531">
        <f t="shared" si="9"/>
        <v>11400</v>
      </c>
      <c r="G152" s="527">
        <v>4915</v>
      </c>
      <c r="H152" s="525"/>
      <c r="I152" s="528">
        <f t="shared" si="10"/>
        <v>0.43114035087719299</v>
      </c>
      <c r="J152" s="535">
        <v>3</v>
      </c>
      <c r="K152" s="481">
        <f t="shared" si="11"/>
        <v>-2.5688596491228068</v>
      </c>
    </row>
    <row r="153" spans="1:11">
      <c r="A153" s="684"/>
      <c r="B153" s="475" t="s">
        <v>197</v>
      </c>
      <c r="C153" s="478">
        <v>2</v>
      </c>
      <c r="D153" s="479">
        <v>30</v>
      </c>
      <c r="E153" s="480">
        <v>10</v>
      </c>
      <c r="F153" s="531">
        <f t="shared" si="9"/>
        <v>600</v>
      </c>
      <c r="G153" s="527">
        <v>2496</v>
      </c>
      <c r="H153" s="525"/>
      <c r="I153" s="528">
        <f t="shared" si="10"/>
        <v>4.16</v>
      </c>
      <c r="J153" s="535">
        <v>3</v>
      </c>
      <c r="K153" s="481">
        <f t="shared" si="11"/>
        <v>1.1600000000000001</v>
      </c>
    </row>
    <row r="154" spans="1:11">
      <c r="A154" s="684"/>
      <c r="B154" s="475" t="s">
        <v>198</v>
      </c>
      <c r="C154" s="478">
        <v>4</v>
      </c>
      <c r="D154" s="479">
        <v>30</v>
      </c>
      <c r="E154" s="480">
        <v>635</v>
      </c>
      <c r="F154" s="531">
        <f t="shared" si="9"/>
        <v>76200</v>
      </c>
      <c r="G154" s="527">
        <v>823423</v>
      </c>
      <c r="H154" s="525">
        <v>663306</v>
      </c>
      <c r="I154" s="528">
        <f t="shared" si="10"/>
        <v>19.510879265091862</v>
      </c>
      <c r="J154" s="535">
        <v>3</v>
      </c>
      <c r="K154" s="481">
        <f t="shared" si="11"/>
        <v>16.510879265091862</v>
      </c>
    </row>
    <row r="155" spans="1:11">
      <c r="A155" s="684"/>
      <c r="B155" s="475" t="s">
        <v>199</v>
      </c>
      <c r="C155" s="478">
        <v>1</v>
      </c>
      <c r="D155" s="479">
        <v>30</v>
      </c>
      <c r="E155" s="480">
        <v>254</v>
      </c>
      <c r="F155" s="531">
        <f t="shared" si="9"/>
        <v>7620</v>
      </c>
      <c r="G155" s="527">
        <v>143062</v>
      </c>
      <c r="H155" s="525"/>
      <c r="I155" s="528">
        <f t="shared" si="10"/>
        <v>18.774540682414699</v>
      </c>
      <c r="J155" s="535">
        <v>3</v>
      </c>
      <c r="K155" s="481">
        <f t="shared" si="11"/>
        <v>15.774540682414699</v>
      </c>
    </row>
    <row r="156" spans="1:11">
      <c r="A156" s="684"/>
      <c r="B156" s="482" t="s">
        <v>200</v>
      </c>
      <c r="C156" s="478">
        <v>2</v>
      </c>
      <c r="D156" s="479">
        <v>30</v>
      </c>
      <c r="E156" s="480">
        <v>0</v>
      </c>
      <c r="F156" s="531">
        <f t="shared" si="9"/>
        <v>0</v>
      </c>
      <c r="G156" s="527">
        <v>0</v>
      </c>
      <c r="H156" s="525"/>
      <c r="I156" s="528">
        <v>0</v>
      </c>
      <c r="J156" s="535">
        <v>3</v>
      </c>
      <c r="K156" s="481">
        <f>I156-J156</f>
        <v>-3</v>
      </c>
    </row>
    <row r="157" spans="1:11">
      <c r="A157" s="684"/>
      <c r="B157" s="482" t="s">
        <v>201</v>
      </c>
      <c r="C157" s="478">
        <v>3</v>
      </c>
      <c r="D157" s="479">
        <v>30</v>
      </c>
      <c r="E157" s="480">
        <v>0</v>
      </c>
      <c r="F157" s="531">
        <f t="shared" si="9"/>
        <v>0</v>
      </c>
      <c r="G157" s="527">
        <v>0</v>
      </c>
      <c r="H157" s="525"/>
      <c r="I157" s="528">
        <v>0</v>
      </c>
      <c r="J157" s="535">
        <v>3</v>
      </c>
      <c r="K157" s="481">
        <f t="shared" si="11"/>
        <v>-3</v>
      </c>
    </row>
    <row r="158" spans="1:11">
      <c r="A158" s="684"/>
      <c r="B158" s="483" t="s">
        <v>202</v>
      </c>
      <c r="C158" s="478">
        <v>1</v>
      </c>
      <c r="D158" s="479">
        <v>30</v>
      </c>
      <c r="E158" s="480">
        <v>49</v>
      </c>
      <c r="F158" s="531">
        <f t="shared" si="9"/>
        <v>1470</v>
      </c>
      <c r="G158" s="527">
        <v>3395</v>
      </c>
      <c r="H158" s="525"/>
      <c r="I158" s="528">
        <f t="shared" ref="I158:I164" si="12">(G158+H158)/F158</f>
        <v>2.3095238095238093</v>
      </c>
      <c r="J158" s="535">
        <v>3</v>
      </c>
      <c r="K158" s="481">
        <f t="shared" si="11"/>
        <v>-0.69047619047619069</v>
      </c>
    </row>
    <row r="159" spans="1:11">
      <c r="A159" s="684"/>
      <c r="B159" s="484" t="s">
        <v>203</v>
      </c>
      <c r="C159" s="485">
        <v>5</v>
      </c>
      <c r="D159" s="479">
        <v>30</v>
      </c>
      <c r="E159" s="480">
        <v>80</v>
      </c>
      <c r="F159" s="531">
        <f t="shared" si="9"/>
        <v>12000</v>
      </c>
      <c r="G159" s="527">
        <v>163833</v>
      </c>
      <c r="H159" s="525"/>
      <c r="I159" s="528">
        <f t="shared" si="12"/>
        <v>13.652749999999999</v>
      </c>
      <c r="J159" s="535">
        <v>3</v>
      </c>
      <c r="K159" s="481">
        <f t="shared" si="11"/>
        <v>10.652749999999999</v>
      </c>
    </row>
    <row r="160" spans="1:11">
      <c r="A160" s="684"/>
      <c r="B160" s="484" t="s">
        <v>204</v>
      </c>
      <c r="C160" s="485">
        <v>1</v>
      </c>
      <c r="D160" s="479">
        <v>30</v>
      </c>
      <c r="E160" s="480">
        <v>936</v>
      </c>
      <c r="F160" s="531">
        <f t="shared" si="9"/>
        <v>28080</v>
      </c>
      <c r="G160" s="527">
        <v>386920</v>
      </c>
      <c r="H160" s="525"/>
      <c r="I160" s="528">
        <f t="shared" si="12"/>
        <v>13.779202279202279</v>
      </c>
      <c r="J160" s="535">
        <v>3</v>
      </c>
      <c r="K160" s="481">
        <f t="shared" si="11"/>
        <v>10.779202279202279</v>
      </c>
    </row>
    <row r="161" spans="1:16">
      <c r="A161" s="684"/>
      <c r="B161" s="484" t="s">
        <v>205</v>
      </c>
      <c r="C161" s="485">
        <v>4</v>
      </c>
      <c r="D161" s="479">
        <v>30</v>
      </c>
      <c r="E161" s="486">
        <v>34</v>
      </c>
      <c r="F161" s="531">
        <f t="shared" si="9"/>
        <v>4080</v>
      </c>
      <c r="G161" s="529">
        <v>5296</v>
      </c>
      <c r="H161" s="525">
        <v>28224</v>
      </c>
      <c r="I161" s="528">
        <f t="shared" si="12"/>
        <v>8.2156862745098032</v>
      </c>
      <c r="J161" s="535">
        <v>3</v>
      </c>
      <c r="K161" s="481">
        <f t="shared" si="11"/>
        <v>5.2156862745098032</v>
      </c>
    </row>
    <row r="162" spans="1:16">
      <c r="A162" s="684"/>
      <c r="B162" s="484" t="s">
        <v>206</v>
      </c>
      <c r="C162" s="485">
        <v>1</v>
      </c>
      <c r="D162" s="479">
        <v>30</v>
      </c>
      <c r="E162" s="486">
        <v>762</v>
      </c>
      <c r="F162" s="531">
        <f t="shared" si="9"/>
        <v>22860</v>
      </c>
      <c r="G162" s="529">
        <v>483052</v>
      </c>
      <c r="H162" s="525"/>
      <c r="I162" s="528">
        <f t="shared" si="12"/>
        <v>21.130883639545058</v>
      </c>
      <c r="J162" s="535">
        <v>3</v>
      </c>
      <c r="K162" s="481">
        <f t="shared" si="11"/>
        <v>18.130883639545058</v>
      </c>
    </row>
    <row r="163" spans="1:16">
      <c r="A163" s="684"/>
      <c r="B163" s="484" t="s">
        <v>207</v>
      </c>
      <c r="C163" s="485">
        <v>1</v>
      </c>
      <c r="D163" s="487">
        <v>26</v>
      </c>
      <c r="E163" s="488">
        <v>771</v>
      </c>
      <c r="F163" s="532">
        <f>C163*D163*E163</f>
        <v>20046</v>
      </c>
      <c r="G163" s="529">
        <v>205182</v>
      </c>
      <c r="H163" s="525"/>
      <c r="I163" s="528">
        <f t="shared" si="12"/>
        <v>10.235558216102962</v>
      </c>
      <c r="J163" s="536">
        <v>3</v>
      </c>
      <c r="K163" s="489">
        <f t="shared" si="11"/>
        <v>7.2355582161029623</v>
      </c>
    </row>
    <row r="164" spans="1:16">
      <c r="A164" s="684"/>
      <c r="B164" s="490" t="s">
        <v>208</v>
      </c>
      <c r="C164" s="491">
        <v>4</v>
      </c>
      <c r="D164" s="492">
        <v>26</v>
      </c>
      <c r="E164" s="493">
        <v>184</v>
      </c>
      <c r="F164" s="533">
        <f>C164*D164*E164</f>
        <v>19136</v>
      </c>
      <c r="G164" s="529">
        <v>95965</v>
      </c>
      <c r="H164" s="525"/>
      <c r="I164" s="528">
        <f t="shared" si="12"/>
        <v>5.014893394648829</v>
      </c>
      <c r="J164" s="537">
        <v>3</v>
      </c>
      <c r="K164" s="494">
        <f t="shared" si="11"/>
        <v>2.014893394648829</v>
      </c>
    </row>
    <row r="168" spans="1:16" ht="15" thickBot="1">
      <c r="H168" t="str">
        <f>IF(AND(F168&gt;0,G168&gt;0),G168/F168,"")</f>
        <v/>
      </c>
    </row>
    <row r="169" spans="1:16" ht="18.95" thickBot="1">
      <c r="A169" s="165" t="s">
        <v>209</v>
      </c>
      <c r="B169" s="86"/>
      <c r="C169" s="86"/>
      <c r="D169" s="87"/>
      <c r="E169" s="87"/>
      <c r="F169" s="87"/>
      <c r="G169" s="168"/>
      <c r="H169" s="166"/>
      <c r="I169" s="208"/>
      <c r="J169" s="312" t="s">
        <v>210</v>
      </c>
      <c r="K169" s="313"/>
      <c r="L169" s="314"/>
      <c r="M169" s="314"/>
      <c r="N169" s="314"/>
      <c r="O169" s="315"/>
    </row>
    <row r="170" spans="1:16" ht="15" thickBot="1"/>
    <row r="171" spans="1:16">
      <c r="A171" s="433" t="s">
        <v>211</v>
      </c>
      <c r="B171" s="202" t="s">
        <v>212</v>
      </c>
      <c r="C171" s="251" t="s">
        <v>213</v>
      </c>
      <c r="D171" s="167"/>
      <c r="E171" s="231" t="s">
        <v>40</v>
      </c>
      <c r="F171" s="231" t="s">
        <v>25</v>
      </c>
      <c r="G171" s="231" t="s">
        <v>41</v>
      </c>
      <c r="H171" s="231" t="s">
        <v>42</v>
      </c>
      <c r="I171" s="231" t="s">
        <v>43</v>
      </c>
      <c r="J171" s="231" t="s">
        <v>44</v>
      </c>
      <c r="K171" s="231" t="s">
        <v>45</v>
      </c>
      <c r="L171" s="231" t="s">
        <v>46</v>
      </c>
      <c r="M171" s="231" t="s">
        <v>47</v>
      </c>
      <c r="N171" s="231" t="s">
        <v>48</v>
      </c>
      <c r="O171" s="231" t="s">
        <v>49</v>
      </c>
      <c r="P171" s="3"/>
    </row>
    <row r="172" spans="1:16" ht="39.75" customHeight="1">
      <c r="A172" s="616" t="s">
        <v>214</v>
      </c>
      <c r="B172" s="621" t="s">
        <v>215</v>
      </c>
      <c r="C172" s="668" t="s">
        <v>216</v>
      </c>
      <c r="D172" s="316" t="s">
        <v>217</v>
      </c>
      <c r="E172" s="506">
        <v>0.7</v>
      </c>
      <c r="F172" s="506">
        <v>0.72</v>
      </c>
      <c r="G172" s="319"/>
      <c r="H172" s="317"/>
      <c r="I172" s="317"/>
      <c r="J172" s="317"/>
      <c r="K172" s="317"/>
      <c r="L172" s="318"/>
      <c r="M172" s="319"/>
      <c r="N172" s="319"/>
      <c r="O172" s="320"/>
      <c r="P172" s="3"/>
    </row>
    <row r="173" spans="1:16" ht="33" customHeight="1">
      <c r="A173" s="617"/>
      <c r="B173" s="621"/>
      <c r="C173" s="668"/>
      <c r="D173" s="316" t="s">
        <v>218</v>
      </c>
      <c r="E173" s="506">
        <v>0.68</v>
      </c>
      <c r="F173" s="578">
        <v>0.69520000000000004</v>
      </c>
      <c r="G173" s="319"/>
      <c r="H173" s="317"/>
      <c r="I173" s="317"/>
      <c r="J173" s="317"/>
      <c r="K173" s="317"/>
      <c r="L173" s="318"/>
      <c r="M173" s="319"/>
      <c r="N173" s="319"/>
      <c r="O173" s="320"/>
      <c r="P173" s="3"/>
    </row>
    <row r="174" spans="1:16" ht="48" customHeight="1">
      <c r="A174" s="616" t="s">
        <v>219</v>
      </c>
      <c r="B174" s="624" t="s">
        <v>215</v>
      </c>
      <c r="C174" s="669" t="s">
        <v>216</v>
      </c>
      <c r="D174" s="321" t="s">
        <v>217</v>
      </c>
      <c r="E174" s="506">
        <v>0.9</v>
      </c>
      <c r="F174" s="506">
        <v>0.9</v>
      </c>
      <c r="G174" s="326"/>
      <c r="H174" s="470"/>
      <c r="I174" s="470"/>
      <c r="J174" s="323"/>
      <c r="K174" s="323"/>
      <c r="L174" s="324"/>
      <c r="M174" s="325"/>
      <c r="N174" s="325"/>
      <c r="O174" s="326"/>
      <c r="P174" s="3"/>
    </row>
    <row r="175" spans="1:16" ht="34.5" customHeight="1">
      <c r="A175" s="617"/>
      <c r="B175" s="624"/>
      <c r="C175" s="669"/>
      <c r="D175" s="321" t="s">
        <v>218</v>
      </c>
      <c r="E175" s="506">
        <v>0.88</v>
      </c>
      <c r="F175" s="506">
        <v>0.92</v>
      </c>
      <c r="G175" s="326"/>
      <c r="H175" s="470"/>
      <c r="I175" s="470"/>
      <c r="J175" s="324"/>
      <c r="K175" s="324"/>
      <c r="L175" s="324"/>
      <c r="M175" s="325"/>
      <c r="N175" s="325"/>
      <c r="O175" s="326"/>
      <c r="P175" s="3"/>
    </row>
    <row r="176" spans="1:16" ht="42" customHeight="1">
      <c r="A176" s="616" t="s">
        <v>220</v>
      </c>
      <c r="B176" s="621" t="s">
        <v>215</v>
      </c>
      <c r="C176" s="668" t="s">
        <v>216</v>
      </c>
      <c r="D176" s="316" t="s">
        <v>217</v>
      </c>
      <c r="E176" s="506">
        <v>0.72</v>
      </c>
      <c r="F176" s="506">
        <v>0.81330000000000002</v>
      </c>
      <c r="G176" s="418"/>
      <c r="H176" s="318"/>
      <c r="I176" s="504"/>
      <c r="J176" s="317"/>
      <c r="K176" s="317"/>
      <c r="L176" s="318"/>
      <c r="M176" s="319"/>
      <c r="N176" s="319"/>
      <c r="O176" s="320"/>
      <c r="P176" s="3"/>
    </row>
    <row r="177" spans="1:16" ht="38.25" customHeight="1">
      <c r="A177" s="617"/>
      <c r="B177" s="621"/>
      <c r="C177" s="668"/>
      <c r="D177" s="316" t="s">
        <v>218</v>
      </c>
      <c r="E177" s="506">
        <v>0.54</v>
      </c>
      <c r="F177" s="579">
        <v>0.57469999999999999</v>
      </c>
      <c r="G177" s="418"/>
      <c r="H177" s="318"/>
      <c r="I177" s="504"/>
      <c r="J177" s="317"/>
      <c r="K177" s="317"/>
      <c r="L177" s="318"/>
      <c r="M177" s="319"/>
      <c r="N177" s="319"/>
      <c r="O177" s="320"/>
      <c r="P177" s="3"/>
    </row>
    <row r="178" spans="1:16" ht="39.75" customHeight="1">
      <c r="A178" s="616" t="s">
        <v>221</v>
      </c>
      <c r="B178" s="624" t="s">
        <v>215</v>
      </c>
      <c r="C178" s="669" t="s">
        <v>216</v>
      </c>
      <c r="D178" s="321" t="s">
        <v>217</v>
      </c>
      <c r="E178" s="506">
        <v>0.75</v>
      </c>
      <c r="F178" s="506">
        <v>0.75</v>
      </c>
      <c r="G178" s="329"/>
      <c r="H178" s="329"/>
      <c r="I178" s="329"/>
      <c r="J178" s="327"/>
      <c r="K178" s="328"/>
      <c r="L178" s="328"/>
      <c r="M178" s="328"/>
      <c r="N178" s="329"/>
      <c r="O178" s="330"/>
      <c r="P178" s="3"/>
    </row>
    <row r="179" spans="1:16" ht="39.75" customHeight="1">
      <c r="A179" s="617"/>
      <c r="B179" s="624"/>
      <c r="C179" s="669"/>
      <c r="D179" s="321" t="s">
        <v>218</v>
      </c>
      <c r="E179" s="506">
        <v>0.53</v>
      </c>
      <c r="F179" s="578">
        <v>0.54200000000000004</v>
      </c>
      <c r="G179" s="329"/>
      <c r="H179" s="329"/>
      <c r="I179" s="329"/>
      <c r="J179" s="327"/>
      <c r="K179" s="327"/>
      <c r="L179" s="328"/>
      <c r="M179" s="328"/>
      <c r="N179" s="329"/>
      <c r="O179" s="330"/>
      <c r="P179" s="3"/>
    </row>
    <row r="180" spans="1:16" ht="39.75" customHeight="1">
      <c r="A180" s="616" t="s">
        <v>222</v>
      </c>
      <c r="B180" s="621" t="s">
        <v>215</v>
      </c>
      <c r="C180" s="668" t="s">
        <v>216</v>
      </c>
      <c r="D180" s="316" t="s">
        <v>217</v>
      </c>
      <c r="E180" s="506">
        <v>0.71</v>
      </c>
      <c r="F180" s="579">
        <v>0.70630000000000004</v>
      </c>
      <c r="G180" s="333"/>
      <c r="H180" s="333"/>
      <c r="I180" s="333"/>
      <c r="J180" s="331"/>
      <c r="K180" s="331"/>
      <c r="L180" s="332"/>
      <c r="M180" s="333"/>
      <c r="N180" s="333"/>
      <c r="O180" s="334"/>
      <c r="P180" s="3"/>
    </row>
    <row r="181" spans="1:16" ht="45" customHeight="1">
      <c r="A181" s="617"/>
      <c r="B181" s="621"/>
      <c r="C181" s="668"/>
      <c r="D181" s="316" t="s">
        <v>218</v>
      </c>
      <c r="E181" s="506">
        <v>0.7</v>
      </c>
      <c r="F181" s="579">
        <v>0.74680000000000002</v>
      </c>
      <c r="G181" s="333"/>
      <c r="H181" s="333"/>
      <c r="I181" s="333"/>
      <c r="J181" s="331"/>
      <c r="K181" s="331"/>
      <c r="L181" s="332"/>
      <c r="M181" s="333"/>
      <c r="N181" s="333"/>
      <c r="O181" s="334"/>
      <c r="P181" s="3"/>
    </row>
    <row r="182" spans="1:16" ht="39" customHeight="1">
      <c r="A182" s="616" t="s">
        <v>223</v>
      </c>
      <c r="B182" s="624" t="s">
        <v>215</v>
      </c>
      <c r="C182" s="669" t="s">
        <v>216</v>
      </c>
      <c r="D182" s="321" t="s">
        <v>217</v>
      </c>
      <c r="E182" s="506">
        <v>0.7</v>
      </c>
      <c r="F182" s="579">
        <v>0.77429999999999999</v>
      </c>
      <c r="G182" s="329"/>
      <c r="H182" s="329"/>
      <c r="I182" s="329"/>
      <c r="J182" s="327"/>
      <c r="K182" s="327"/>
      <c r="L182" s="327"/>
      <c r="M182" s="329"/>
      <c r="N182" s="329"/>
      <c r="O182" s="335"/>
      <c r="P182" s="3"/>
    </row>
    <row r="183" spans="1:16" ht="43.5" customHeight="1">
      <c r="A183" s="617"/>
      <c r="B183" s="624"/>
      <c r="C183" s="669"/>
      <c r="D183" s="321" t="s">
        <v>218</v>
      </c>
      <c r="E183" s="506">
        <v>0.63</v>
      </c>
      <c r="F183" s="579">
        <v>0.65110000000000001</v>
      </c>
      <c r="G183" s="329"/>
      <c r="H183" s="329"/>
      <c r="I183" s="329"/>
      <c r="J183" s="322"/>
      <c r="K183" s="322"/>
      <c r="L183" s="327"/>
      <c r="M183" s="329"/>
      <c r="N183" s="329"/>
      <c r="O183" s="335"/>
      <c r="P183" s="3"/>
    </row>
    <row r="184" spans="1:16" ht="40.5" customHeight="1">
      <c r="A184" s="616" t="s">
        <v>224</v>
      </c>
      <c r="B184" s="621" t="s">
        <v>225</v>
      </c>
      <c r="C184" s="668" t="s">
        <v>216</v>
      </c>
      <c r="D184" s="316" t="s">
        <v>217</v>
      </c>
      <c r="E184" s="506">
        <v>0.74</v>
      </c>
      <c r="F184" s="579">
        <v>0.76919999999999999</v>
      </c>
      <c r="G184" s="333"/>
      <c r="H184" s="333"/>
      <c r="I184" s="333"/>
      <c r="J184" s="331"/>
      <c r="K184" s="331"/>
      <c r="L184" s="332"/>
      <c r="M184" s="333"/>
      <c r="N184" s="333"/>
      <c r="O184" s="334"/>
      <c r="P184" s="3"/>
    </row>
    <row r="185" spans="1:16" ht="51" customHeight="1">
      <c r="A185" s="617"/>
      <c r="B185" s="621"/>
      <c r="C185" s="668"/>
      <c r="D185" s="316" t="s">
        <v>218</v>
      </c>
      <c r="E185" s="506" t="s">
        <v>226</v>
      </c>
      <c r="F185" s="579">
        <v>0.85589999999999999</v>
      </c>
      <c r="G185" s="333"/>
      <c r="H185" s="333"/>
      <c r="I185" s="333"/>
      <c r="J185" s="331"/>
      <c r="K185" s="331"/>
      <c r="L185" s="332"/>
      <c r="M185" s="333"/>
      <c r="N185" s="333"/>
      <c r="O185" s="331"/>
      <c r="P185" s="3"/>
    </row>
    <row r="186" spans="1:16" ht="41.25" customHeight="1">
      <c r="A186" s="616" t="s">
        <v>227</v>
      </c>
      <c r="B186" s="624" t="s">
        <v>225</v>
      </c>
      <c r="C186" s="669" t="s">
        <v>216</v>
      </c>
      <c r="D186" s="321" t="s">
        <v>217</v>
      </c>
      <c r="E186" s="506" t="s">
        <v>228</v>
      </c>
      <c r="F186" s="579">
        <v>0.63039999999999996</v>
      </c>
      <c r="G186" s="329"/>
      <c r="H186" s="329"/>
      <c r="I186" s="329"/>
      <c r="J186" s="327"/>
      <c r="K186" s="322"/>
      <c r="L186" s="327"/>
      <c r="M186" s="329"/>
      <c r="N186" s="329"/>
      <c r="O186" s="322"/>
      <c r="P186" s="3"/>
    </row>
    <row r="187" spans="1:16" ht="46.5" customHeight="1">
      <c r="A187" s="617"/>
      <c r="B187" s="624"/>
      <c r="C187" s="669"/>
      <c r="D187" s="321" t="s">
        <v>218</v>
      </c>
      <c r="E187" s="506" t="s">
        <v>229</v>
      </c>
      <c r="F187" s="579">
        <v>0.64410000000000001</v>
      </c>
      <c r="G187" s="329"/>
      <c r="H187" s="329"/>
      <c r="I187" s="329"/>
      <c r="J187" s="327"/>
      <c r="K187" s="327"/>
      <c r="L187" s="327"/>
      <c r="M187" s="329"/>
      <c r="N187" s="329"/>
      <c r="O187" s="327"/>
      <c r="P187" s="3"/>
    </row>
    <row r="188" spans="1:16" ht="36.75" customHeight="1">
      <c r="A188" s="616" t="s">
        <v>230</v>
      </c>
      <c r="B188" s="621" t="s">
        <v>225</v>
      </c>
      <c r="C188" s="687" t="s">
        <v>216</v>
      </c>
      <c r="D188" s="316" t="s">
        <v>217</v>
      </c>
      <c r="E188" s="506" t="s">
        <v>231</v>
      </c>
      <c r="F188" s="579">
        <v>0.63349999999999995</v>
      </c>
      <c r="G188" s="333"/>
      <c r="H188" s="333"/>
      <c r="I188" s="333"/>
      <c r="J188" s="331"/>
      <c r="K188" s="331"/>
      <c r="L188" s="332"/>
      <c r="M188" s="333"/>
      <c r="N188" s="333"/>
      <c r="O188" s="331"/>
      <c r="P188" s="3"/>
    </row>
    <row r="189" spans="1:16" ht="38.25" customHeight="1">
      <c r="A189" s="617"/>
      <c r="B189" s="621"/>
      <c r="C189" s="687"/>
      <c r="D189" s="316" t="s">
        <v>218</v>
      </c>
      <c r="E189" s="506" t="s">
        <v>232</v>
      </c>
      <c r="F189" s="579">
        <v>0.54100000000000004</v>
      </c>
      <c r="G189" s="333"/>
      <c r="H189" s="333"/>
      <c r="I189" s="333"/>
      <c r="J189" s="331"/>
      <c r="K189" s="331"/>
      <c r="L189" s="332"/>
      <c r="M189" s="333"/>
      <c r="N189" s="333"/>
      <c r="O189" s="331"/>
      <c r="P189" s="3"/>
    </row>
    <row r="190" spans="1:16" ht="42.75" customHeight="1">
      <c r="A190" s="616" t="s">
        <v>233</v>
      </c>
      <c r="B190" s="624" t="s">
        <v>225</v>
      </c>
      <c r="C190" s="669" t="s">
        <v>216</v>
      </c>
      <c r="D190" s="321" t="s">
        <v>217</v>
      </c>
      <c r="E190" s="506" t="s">
        <v>231</v>
      </c>
      <c r="F190" s="506">
        <v>0.6</v>
      </c>
      <c r="G190" s="329"/>
      <c r="H190" s="329"/>
      <c r="I190" s="329"/>
      <c r="J190" s="327"/>
      <c r="K190" s="327"/>
      <c r="L190" s="327"/>
      <c r="M190" s="329"/>
      <c r="N190" s="329"/>
      <c r="O190" s="327"/>
      <c r="P190" s="3"/>
    </row>
    <row r="191" spans="1:16" ht="39.75" customHeight="1">
      <c r="A191" s="617"/>
      <c r="B191" s="624"/>
      <c r="C191" s="669"/>
      <c r="D191" s="321" t="s">
        <v>218</v>
      </c>
      <c r="E191" s="506" t="s">
        <v>234</v>
      </c>
      <c r="F191" s="579">
        <v>0.6099</v>
      </c>
      <c r="G191" s="329"/>
      <c r="H191" s="329"/>
      <c r="I191" s="329"/>
      <c r="J191" s="327"/>
      <c r="K191" s="327"/>
      <c r="L191" s="327"/>
      <c r="M191" s="329"/>
      <c r="N191" s="329"/>
      <c r="O191" s="327"/>
      <c r="P191" s="3"/>
    </row>
    <row r="192" spans="1:16" ht="41.25" customHeight="1">
      <c r="A192" s="616" t="s">
        <v>235</v>
      </c>
      <c r="B192" s="621" t="s">
        <v>215</v>
      </c>
      <c r="C192" s="687" t="s">
        <v>236</v>
      </c>
      <c r="D192" s="316" t="s">
        <v>217</v>
      </c>
      <c r="E192" s="506">
        <v>1</v>
      </c>
      <c r="F192" s="506">
        <v>1</v>
      </c>
      <c r="G192" s="328"/>
      <c r="H192" s="328"/>
      <c r="I192" s="328"/>
      <c r="J192" s="331"/>
      <c r="K192" s="331"/>
      <c r="L192" s="332"/>
      <c r="M192" s="336"/>
      <c r="N192" s="336"/>
      <c r="O192" s="331"/>
      <c r="P192" s="3"/>
    </row>
    <row r="193" spans="1:16" ht="21" customHeight="1">
      <c r="A193" s="617"/>
      <c r="B193" s="621"/>
      <c r="C193" s="687"/>
      <c r="D193" s="316" t="s">
        <v>218</v>
      </c>
      <c r="E193" s="506" t="s">
        <v>237</v>
      </c>
      <c r="F193" s="506">
        <v>0.98</v>
      </c>
      <c r="G193" s="328"/>
      <c r="H193" s="328"/>
      <c r="I193" s="328"/>
      <c r="J193" s="331"/>
      <c r="K193" s="331"/>
      <c r="L193" s="332"/>
      <c r="M193" s="336"/>
      <c r="N193" s="332"/>
      <c r="O193" s="331"/>
      <c r="P193" s="3"/>
    </row>
    <row r="194" spans="1:16" ht="19.5" customHeight="1">
      <c r="A194" s="685" t="s">
        <v>238</v>
      </c>
      <c r="B194" s="624" t="s">
        <v>225</v>
      </c>
      <c r="C194" s="669" t="s">
        <v>216</v>
      </c>
      <c r="D194" s="321" t="s">
        <v>217</v>
      </c>
      <c r="E194" s="506" t="s">
        <v>239</v>
      </c>
      <c r="F194" s="506">
        <v>0.95</v>
      </c>
      <c r="G194" s="328"/>
      <c r="H194" s="328"/>
      <c r="I194" s="328"/>
      <c r="J194" s="327"/>
      <c r="K194" s="327"/>
      <c r="L194" s="327"/>
      <c r="M194" s="328"/>
      <c r="N194" s="328"/>
      <c r="O194" s="327"/>
      <c r="P194" s="3"/>
    </row>
    <row r="195" spans="1:16" ht="33.75" customHeight="1">
      <c r="A195" s="686"/>
      <c r="B195" s="624"/>
      <c r="C195" s="669"/>
      <c r="D195" s="321" t="s">
        <v>218</v>
      </c>
      <c r="E195" s="506" t="s">
        <v>240</v>
      </c>
      <c r="F195" s="579">
        <v>0.96530000000000005</v>
      </c>
      <c r="G195" s="328"/>
      <c r="H195" s="328"/>
      <c r="I195" s="328"/>
      <c r="J195" s="327"/>
      <c r="K195" s="327"/>
      <c r="L195" s="327"/>
      <c r="M195" s="327"/>
      <c r="N195" s="327"/>
      <c r="O195" s="327"/>
      <c r="P195" s="3"/>
    </row>
    <row r="196" spans="1:16">
      <c r="E196" s="559"/>
    </row>
    <row r="197" spans="1:16" ht="15.95" thickBot="1">
      <c r="A197" s="203"/>
      <c r="E197" s="559"/>
    </row>
    <row r="198" spans="1:16">
      <c r="A198" t="s">
        <v>241</v>
      </c>
      <c r="B198" s="202" t="s">
        <v>212</v>
      </c>
      <c r="C198" s="251" t="s">
        <v>213</v>
      </c>
      <c r="D198" s="167"/>
      <c r="E198" s="560" t="s">
        <v>40</v>
      </c>
      <c r="F198" s="231" t="s">
        <v>25</v>
      </c>
      <c r="G198" s="231" t="s">
        <v>41</v>
      </c>
      <c r="H198" s="231" t="s">
        <v>42</v>
      </c>
      <c r="I198" s="231" t="s">
        <v>43</v>
      </c>
      <c r="J198" s="231" t="s">
        <v>44</v>
      </c>
      <c r="K198" s="231" t="s">
        <v>45</v>
      </c>
      <c r="L198" s="231" t="s">
        <v>46</v>
      </c>
      <c r="M198" s="231" t="s">
        <v>47</v>
      </c>
      <c r="N198" s="231" t="s">
        <v>48</v>
      </c>
      <c r="O198" s="231" t="s">
        <v>49</v>
      </c>
    </row>
    <row r="199" spans="1:16" ht="30" customHeight="1">
      <c r="A199" s="609" t="str">
        <f>IF(ISBLANK(A172),"",(A172))</f>
        <v>KP-1d⁽ᴹ⁾ Процент ЛУИН, охваченных программами по профилактике ВИЧ - минимальный пакет услуг</v>
      </c>
      <c r="B199" s="670" t="str">
        <f>IF(ISBLANK(B172),"",(B172))</f>
        <v>Топ 10</v>
      </c>
      <c r="C199" s="674" t="str">
        <f>IF(ISBLANK(C172),"",(C172))</f>
        <v>с текущим грантом</v>
      </c>
      <c r="D199" s="316" t="s">
        <v>217</v>
      </c>
      <c r="E199" s="561">
        <v>0.7</v>
      </c>
      <c r="F199" s="595">
        <v>0.72</v>
      </c>
      <c r="G199" s="337"/>
      <c r="H199" s="507"/>
      <c r="I199" s="507"/>
      <c r="J199" s="337"/>
      <c r="K199" s="337"/>
      <c r="L199" s="338"/>
      <c r="M199" s="338"/>
      <c r="N199" s="338"/>
      <c r="O199" s="338"/>
    </row>
    <row r="200" spans="1:16">
      <c r="A200" s="610"/>
      <c r="B200" s="670"/>
      <c r="C200" s="674"/>
      <c r="D200" s="316" t="s">
        <v>218</v>
      </c>
      <c r="E200" s="561">
        <v>0.68</v>
      </c>
      <c r="F200" s="596">
        <v>0.69520000000000004</v>
      </c>
      <c r="G200" s="337"/>
      <c r="H200" s="507"/>
      <c r="I200" s="507"/>
      <c r="J200" s="337"/>
      <c r="K200" s="337"/>
      <c r="L200" s="338"/>
      <c r="M200" s="338"/>
      <c r="N200" s="338"/>
      <c r="O200" s="338"/>
    </row>
    <row r="201" spans="1:16">
      <c r="A201" s="611" t="str">
        <f>IF(ISBLANK(A174),"",(A174))</f>
        <v>HTS-5 Процент людей с впервые выявленным ВИЧ, начавших АРТ</v>
      </c>
      <c r="B201" s="671" t="str">
        <f>IF(ISBLANK(B174),"",(B174))</f>
        <v>Топ 10</v>
      </c>
      <c r="C201" s="672" t="str">
        <f>IF(ISBLANK(C174),"",(C174))</f>
        <v>с текущим грантом</v>
      </c>
      <c r="D201" s="321" t="s">
        <v>217</v>
      </c>
      <c r="E201" s="562">
        <v>0.9</v>
      </c>
      <c r="F201" s="597">
        <v>0.9</v>
      </c>
      <c r="G201" s="339"/>
      <c r="H201" s="507"/>
      <c r="I201" s="508"/>
      <c r="J201" s="339"/>
      <c r="K201" s="339"/>
      <c r="L201" s="340"/>
      <c r="M201" s="340"/>
      <c r="N201" s="340"/>
      <c r="O201" s="340"/>
    </row>
    <row r="202" spans="1:16">
      <c r="A202" s="612"/>
      <c r="B202" s="671"/>
      <c r="C202" s="672"/>
      <c r="D202" s="321" t="s">
        <v>218</v>
      </c>
      <c r="E202" s="562">
        <v>0.88</v>
      </c>
      <c r="F202" s="598">
        <v>0.92</v>
      </c>
      <c r="G202" s="339"/>
      <c r="H202" s="509"/>
      <c r="I202" s="508"/>
      <c r="J202" s="339"/>
      <c r="K202" s="339"/>
      <c r="L202" s="340"/>
      <c r="M202" s="340"/>
      <c r="N202" s="340"/>
      <c r="O202" s="340"/>
    </row>
    <row r="203" spans="1:16" ht="25.5" customHeight="1">
      <c r="A203" s="613" t="str">
        <f>IF(ISBLANK(A176),"",(A176))</f>
        <v>TCS-1.1⁽ᴹ⁾ Процент людей, получающих АРТ, среди всех людей, живущих с ВИЧ, на конец отчетного периода</v>
      </c>
      <c r="B203" s="670" t="str">
        <f>IF(ISBLANK(B176),"",(B176))</f>
        <v>Топ 10</v>
      </c>
      <c r="C203" s="674" t="str">
        <f>IF(ISBLANK(C176),"",(C176))</f>
        <v>с текущим грантом</v>
      </c>
      <c r="D203" s="341" t="s">
        <v>217</v>
      </c>
      <c r="E203" s="561">
        <v>0.72</v>
      </c>
      <c r="F203" s="596">
        <v>0.81330000000000002</v>
      </c>
      <c r="G203" s="419"/>
      <c r="H203" s="337"/>
      <c r="I203" s="510"/>
      <c r="J203" s="337"/>
      <c r="K203" s="337"/>
      <c r="L203" s="338"/>
      <c r="M203" s="338"/>
      <c r="N203" s="338"/>
      <c r="O203" s="338"/>
    </row>
    <row r="204" spans="1:16">
      <c r="A204" s="610"/>
      <c r="B204" s="673"/>
      <c r="C204" s="675"/>
      <c r="D204" s="316" t="s">
        <v>218</v>
      </c>
      <c r="E204" s="594">
        <v>0.54</v>
      </c>
      <c r="F204" s="596">
        <v>0.57469999999999999</v>
      </c>
      <c r="G204" s="419"/>
      <c r="H204" s="337"/>
      <c r="I204" s="510"/>
      <c r="J204" s="337"/>
      <c r="K204" s="337"/>
      <c r="L204" s="338"/>
      <c r="M204" s="338"/>
      <c r="N204" s="338"/>
      <c r="O204" s="338"/>
    </row>
    <row r="205" spans="1:16">
      <c r="F205" t="str">
        <f>IF(AND(D205&gt;0,E205&gt;0),E205/D205,"")</f>
        <v/>
      </c>
      <c r="G205" s="75"/>
      <c r="H205" s="75"/>
    </row>
    <row r="206" spans="1:16" ht="18.95" thickBot="1">
      <c r="A206" s="352" t="s">
        <v>242</v>
      </c>
      <c r="B206" s="87"/>
      <c r="C206" s="87"/>
      <c r="D206" s="87"/>
      <c r="E206" s="168"/>
      <c r="F206" s="166"/>
      <c r="G206" s="208"/>
      <c r="H206" s="401" t="s">
        <v>210</v>
      </c>
      <c r="I206" s="402"/>
      <c r="J206" s="403"/>
      <c r="K206" s="403"/>
      <c r="L206" s="403"/>
      <c r="M206" s="404"/>
    </row>
    <row r="207" spans="1:16" ht="15" thickBot="1"/>
    <row r="208" spans="1:16" ht="39.75" customHeight="1">
      <c r="A208" s="433" t="s">
        <v>211</v>
      </c>
      <c r="B208" s="202" t="s">
        <v>212</v>
      </c>
      <c r="C208" s="251" t="s">
        <v>213</v>
      </c>
      <c r="D208" s="167"/>
      <c r="E208" s="231" t="s">
        <v>243</v>
      </c>
      <c r="F208" s="231" t="s">
        <v>244</v>
      </c>
      <c r="G208" s="231" t="s">
        <v>41</v>
      </c>
      <c r="H208" s="231" t="s">
        <v>42</v>
      </c>
      <c r="I208" s="505" t="s">
        <v>43</v>
      </c>
      <c r="J208" s="231" t="s">
        <v>44</v>
      </c>
      <c r="K208" s="231" t="s">
        <v>45</v>
      </c>
      <c r="L208" s="231" t="s">
        <v>46</v>
      </c>
      <c r="M208" s="231" t="s">
        <v>47</v>
      </c>
      <c r="N208" s="231" t="s">
        <v>48</v>
      </c>
      <c r="O208" s="231" t="s">
        <v>49</v>
      </c>
      <c r="P208" s="3"/>
    </row>
    <row r="209" spans="1:16" ht="40.5" customHeight="1">
      <c r="A209" s="435" t="s">
        <v>245</v>
      </c>
      <c r="B209" s="621" t="s">
        <v>225</v>
      </c>
      <c r="C209" s="622" t="s">
        <v>246</v>
      </c>
      <c r="D209" s="405" t="s">
        <v>217</v>
      </c>
      <c r="E209" s="549">
        <v>0.97</v>
      </c>
      <c r="F209" s="551">
        <v>0.98</v>
      </c>
      <c r="G209" s="351"/>
      <c r="H209" s="351"/>
      <c r="I209" s="351"/>
      <c r="J209" s="182"/>
      <c r="K209" s="182"/>
      <c r="L209" s="182"/>
      <c r="M209" s="182"/>
      <c r="N209" s="182"/>
      <c r="O209" s="182"/>
      <c r="P209" s="3"/>
    </row>
    <row r="210" spans="1:16" ht="23.25" customHeight="1">
      <c r="A210" s="436"/>
      <c r="B210" s="621"/>
      <c r="C210" s="623"/>
      <c r="D210" s="405" t="s">
        <v>247</v>
      </c>
      <c r="E210" s="549">
        <v>0.94</v>
      </c>
      <c r="F210" s="549">
        <v>0.95</v>
      </c>
      <c r="G210" s="182"/>
      <c r="H210" s="182"/>
      <c r="I210" s="182"/>
      <c r="J210" s="182"/>
      <c r="K210" s="182"/>
      <c r="L210" s="182"/>
      <c r="M210" s="182"/>
      <c r="N210" s="182"/>
      <c r="O210" s="182"/>
      <c r="P210" s="3"/>
    </row>
    <row r="211" spans="1:16" ht="48" customHeight="1">
      <c r="A211" s="614" t="s">
        <v>248</v>
      </c>
      <c r="B211" s="624" t="s">
        <v>215</v>
      </c>
      <c r="C211" s="627" t="s">
        <v>246</v>
      </c>
      <c r="D211" s="405" t="s">
        <v>217</v>
      </c>
      <c r="E211" s="550">
        <v>1697</v>
      </c>
      <c r="F211" s="550">
        <v>1832</v>
      </c>
      <c r="G211" s="183"/>
      <c r="H211" s="183"/>
      <c r="I211" s="292"/>
      <c r="J211" s="183"/>
      <c r="K211" s="183"/>
      <c r="L211" s="183"/>
      <c r="M211" s="183"/>
      <c r="N211" s="183"/>
      <c r="O211" s="183"/>
      <c r="P211" s="3"/>
    </row>
    <row r="212" spans="1:16" ht="15.75" customHeight="1">
      <c r="A212" s="615"/>
      <c r="B212" s="624"/>
      <c r="C212" s="628"/>
      <c r="D212" s="406" t="s">
        <v>247</v>
      </c>
      <c r="E212" s="550">
        <v>914</v>
      </c>
      <c r="F212" s="550">
        <v>858</v>
      </c>
      <c r="G212" s="201"/>
      <c r="H212" s="201"/>
      <c r="I212" s="201"/>
      <c r="J212" s="201"/>
      <c r="K212" s="201"/>
      <c r="L212" s="201"/>
      <c r="M212" s="183"/>
      <c r="N212" s="183"/>
      <c r="O212" s="183"/>
      <c r="P212" s="3"/>
    </row>
    <row r="213" spans="1:16" ht="38.25" customHeight="1">
      <c r="A213" s="435" t="s">
        <v>249</v>
      </c>
      <c r="B213" s="621" t="s">
        <v>225</v>
      </c>
      <c r="C213" s="622" t="s">
        <v>246</v>
      </c>
      <c r="D213" s="405" t="s">
        <v>217</v>
      </c>
      <c r="E213" s="550">
        <v>1612</v>
      </c>
      <c r="F213" s="550">
        <v>1832</v>
      </c>
      <c r="G213" s="183"/>
      <c r="H213" s="183"/>
      <c r="I213" s="292"/>
      <c r="J213" s="182"/>
      <c r="K213" s="182"/>
      <c r="L213" s="182"/>
      <c r="M213" s="182"/>
      <c r="N213" s="182"/>
      <c r="O213" s="182"/>
      <c r="P213" s="3"/>
    </row>
    <row r="214" spans="1:16" ht="39.75" customHeight="1">
      <c r="A214" s="434"/>
      <c r="B214" s="621"/>
      <c r="C214" s="623"/>
      <c r="D214" s="405" t="s">
        <v>247</v>
      </c>
      <c r="E214" s="550">
        <v>934</v>
      </c>
      <c r="F214" s="550">
        <v>904</v>
      </c>
      <c r="G214" s="271"/>
      <c r="H214" s="271"/>
      <c r="I214" s="271"/>
      <c r="J214" s="182"/>
      <c r="K214" s="182"/>
      <c r="L214" s="182"/>
      <c r="M214" s="182"/>
      <c r="N214" s="182"/>
      <c r="O214" s="182"/>
      <c r="P214" s="3"/>
    </row>
    <row r="215" spans="1:16" ht="39.75" customHeight="1">
      <c r="A215" s="614" t="s">
        <v>250</v>
      </c>
      <c r="B215" s="624" t="s">
        <v>215</v>
      </c>
      <c r="C215" s="627" t="s">
        <v>246</v>
      </c>
      <c r="D215" s="405" t="s">
        <v>217</v>
      </c>
      <c r="E215" s="549">
        <v>0.72</v>
      </c>
      <c r="F215" s="551">
        <v>0.75</v>
      </c>
      <c r="G215" s="351"/>
      <c r="H215" s="351"/>
      <c r="I215" s="351"/>
      <c r="J215" s="271"/>
      <c r="K215" s="271"/>
      <c r="L215" s="271"/>
      <c r="M215" s="271"/>
      <c r="N215" s="271"/>
      <c r="O215" s="271"/>
      <c r="P215" s="3"/>
    </row>
    <row r="216" spans="1:16" ht="39.75" customHeight="1">
      <c r="A216" s="615"/>
      <c r="B216" s="624"/>
      <c r="C216" s="628"/>
      <c r="D216" s="405" t="s">
        <v>247</v>
      </c>
      <c r="E216" s="549">
        <v>0.79</v>
      </c>
      <c r="F216" s="551">
        <v>0.86699999999999999</v>
      </c>
      <c r="G216" s="351"/>
      <c r="H216" s="351"/>
      <c r="I216" s="351"/>
      <c r="J216" s="271"/>
      <c r="K216" s="271"/>
      <c r="L216" s="271"/>
      <c r="M216" s="271"/>
      <c r="N216" s="271"/>
      <c r="O216" s="271"/>
      <c r="P216" s="3"/>
    </row>
    <row r="217" spans="1:16" ht="35.25" customHeight="1">
      <c r="A217" s="603" t="s">
        <v>251</v>
      </c>
      <c r="B217" s="621" t="s">
        <v>252</v>
      </c>
      <c r="C217" s="622"/>
      <c r="D217" s="405" t="s">
        <v>217</v>
      </c>
      <c r="E217" s="551">
        <v>0.23</v>
      </c>
      <c r="F217" s="551">
        <v>0.31</v>
      </c>
      <c r="G217" s="272"/>
      <c r="H217" s="272"/>
      <c r="I217" s="272"/>
      <c r="J217" s="272"/>
      <c r="K217" s="272"/>
      <c r="L217" s="272"/>
      <c r="M217" s="272"/>
      <c r="N217" s="272"/>
      <c r="O217" s="272"/>
      <c r="P217" s="3"/>
    </row>
    <row r="218" spans="1:16" ht="39" customHeight="1">
      <c r="A218" s="604"/>
      <c r="B218" s="621"/>
      <c r="C218" s="623"/>
      <c r="D218" s="406" t="s">
        <v>247</v>
      </c>
      <c r="E218" s="576">
        <v>0.18</v>
      </c>
      <c r="F218" s="576">
        <v>0.17299999999999999</v>
      </c>
      <c r="G218" s="272"/>
      <c r="H218" s="272"/>
      <c r="I218" s="272"/>
      <c r="J218" s="272"/>
      <c r="K218" s="272"/>
      <c r="L218" s="272"/>
      <c r="M218" s="272"/>
      <c r="N218" s="272"/>
      <c r="O218" s="272"/>
      <c r="P218" s="3"/>
    </row>
    <row r="219" spans="1:16" ht="43.5" customHeight="1">
      <c r="A219" s="603" t="s">
        <v>253</v>
      </c>
      <c r="B219" s="661" t="s">
        <v>252</v>
      </c>
      <c r="C219" s="627"/>
      <c r="D219" s="405" t="s">
        <v>217</v>
      </c>
      <c r="E219" s="549" t="s">
        <v>254</v>
      </c>
      <c r="F219" s="549" t="s">
        <v>254</v>
      </c>
      <c r="G219" s="351"/>
      <c r="H219" s="351"/>
      <c r="I219" s="351"/>
      <c r="J219" s="273"/>
      <c r="K219" s="273"/>
      <c r="L219" s="273"/>
      <c r="M219" s="273"/>
      <c r="N219" s="273"/>
      <c r="O219" s="301"/>
      <c r="P219" s="3"/>
    </row>
    <row r="220" spans="1:16" ht="40.5" customHeight="1">
      <c r="A220" s="604"/>
      <c r="B220" s="662"/>
      <c r="C220" s="628"/>
      <c r="D220" s="405" t="s">
        <v>255</v>
      </c>
      <c r="E220" s="549" t="s">
        <v>256</v>
      </c>
      <c r="F220" s="549" t="s">
        <v>257</v>
      </c>
      <c r="G220" s="351"/>
      <c r="H220" s="351"/>
      <c r="I220" s="351"/>
      <c r="J220" s="271"/>
      <c r="K220" s="271"/>
      <c r="L220" s="271"/>
      <c r="M220" s="273"/>
      <c r="N220" s="273"/>
      <c r="O220" s="273"/>
      <c r="P220" s="3"/>
    </row>
    <row r="221" spans="1:16" ht="20.25" customHeight="1"/>
    <row r="222" spans="1:16">
      <c r="A222" t="s">
        <v>241</v>
      </c>
    </row>
    <row r="223" spans="1:16" ht="4.5" customHeight="1" thickBot="1"/>
    <row r="224" spans="1:16" ht="15.95" hidden="1" thickBot="1">
      <c r="A224" s="203"/>
    </row>
    <row r="225" spans="1:15" ht="72" customHeight="1">
      <c r="A225" s="30"/>
      <c r="B225" s="503" t="s">
        <v>212</v>
      </c>
      <c r="C225" s="251" t="s">
        <v>213</v>
      </c>
      <c r="D225" s="167"/>
      <c r="E225" s="231" t="str">
        <f t="shared" ref="E225:O225" si="13">B30</f>
        <v>P1</v>
      </c>
      <c r="F225" s="231" t="str">
        <f t="shared" si="13"/>
        <v>P2</v>
      </c>
      <c r="G225" s="231" t="str">
        <f t="shared" si="13"/>
        <v>P3</v>
      </c>
      <c r="H225" s="231" t="str">
        <f t="shared" si="13"/>
        <v>P4</v>
      </c>
      <c r="I225" s="231" t="str">
        <f t="shared" si="13"/>
        <v>P5</v>
      </c>
      <c r="J225" s="231" t="str">
        <f t="shared" si="13"/>
        <v>P6</v>
      </c>
      <c r="K225" s="231" t="str">
        <f t="shared" si="13"/>
        <v>P7</v>
      </c>
      <c r="L225" s="231" t="str">
        <f t="shared" si="13"/>
        <v>P8</v>
      </c>
      <c r="M225" s="231" t="str">
        <f t="shared" si="13"/>
        <v>P9</v>
      </c>
      <c r="N225" s="231" t="str">
        <f t="shared" si="13"/>
        <v>P10</v>
      </c>
      <c r="O225" s="231" t="str">
        <f t="shared" si="13"/>
        <v>P11</v>
      </c>
    </row>
    <row r="226" spans="1:15" ht="47.25" customHeight="1">
      <c r="A226" s="605" t="str">
        <f>A209</f>
        <v>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v>
      </c>
      <c r="B226" s="653" t="str">
        <f>IF(ISBLANK(B209),"",(B209))</f>
        <v xml:space="preserve"> Топ 10</v>
      </c>
      <c r="C226" s="655" t="str">
        <f>IF(ISBLANK(C209),"",(C209))</f>
        <v>да</v>
      </c>
      <c r="D226" s="405" t="s">
        <v>217</v>
      </c>
      <c r="E226" s="552">
        <f t="shared" ref="E226:O226" si="14">E209</f>
        <v>0.97</v>
      </c>
      <c r="F226" s="552">
        <f t="shared" si="14"/>
        <v>0.98</v>
      </c>
      <c r="G226" s="407">
        <f t="shared" si="14"/>
        <v>0</v>
      </c>
      <c r="H226" s="407">
        <f t="shared" si="14"/>
        <v>0</v>
      </c>
      <c r="I226" s="407">
        <f t="shared" si="14"/>
        <v>0</v>
      </c>
      <c r="J226" s="407">
        <f t="shared" si="14"/>
        <v>0</v>
      </c>
      <c r="K226" s="407">
        <f t="shared" si="14"/>
        <v>0</v>
      </c>
      <c r="L226" s="407">
        <f t="shared" si="14"/>
        <v>0</v>
      </c>
      <c r="M226" s="407">
        <f t="shared" si="14"/>
        <v>0</v>
      </c>
      <c r="N226" s="407">
        <f t="shared" si="14"/>
        <v>0</v>
      </c>
      <c r="O226" s="407">
        <f t="shared" si="14"/>
        <v>0</v>
      </c>
    </row>
    <row r="227" spans="1:15">
      <c r="A227" s="606"/>
      <c r="B227" s="659"/>
      <c r="C227" s="660"/>
      <c r="D227" s="408" t="s">
        <v>247</v>
      </c>
      <c r="E227" s="552">
        <f t="shared" ref="E227:H231" si="15">E210</f>
        <v>0.94</v>
      </c>
      <c r="F227" s="552">
        <f>F210</f>
        <v>0.95</v>
      </c>
      <c r="G227" s="407">
        <f t="shared" si="15"/>
        <v>0</v>
      </c>
      <c r="H227" s="407">
        <f t="shared" si="15"/>
        <v>0</v>
      </c>
      <c r="I227" s="407">
        <f t="shared" ref="I227:O231" si="16">I210</f>
        <v>0</v>
      </c>
      <c r="J227" s="407">
        <f t="shared" si="16"/>
        <v>0</v>
      </c>
      <c r="K227" s="407">
        <f t="shared" si="16"/>
        <v>0</v>
      </c>
      <c r="L227" s="407">
        <f t="shared" si="16"/>
        <v>0</v>
      </c>
      <c r="M227" s="407">
        <f t="shared" si="16"/>
        <v>0</v>
      </c>
      <c r="N227" s="407">
        <f t="shared" si="16"/>
        <v>0</v>
      </c>
      <c r="O227" s="407">
        <f t="shared" si="16"/>
        <v>0</v>
      </c>
    </row>
    <row r="228" spans="1:15" ht="25.5" customHeight="1">
      <c r="A228" s="607" t="str">
        <f>A211</f>
        <v xml:space="preserve">MDR TB-2: Количество бактериологически подтвержденных зарегистрированных ЛУ-ТБ случаев (РУ-ТБ и/или МЛУ-ТБ)		</v>
      </c>
      <c r="B228" s="663" t="str">
        <f>IF(ISBLANK(B211),"",(B211))</f>
        <v>Топ 10</v>
      </c>
      <c r="C228" s="657" t="str">
        <f>IF(ISBLANK(C211),"",(C211))</f>
        <v>да</v>
      </c>
      <c r="D228" s="406" t="s">
        <v>217</v>
      </c>
      <c r="E228" s="553">
        <f t="shared" si="15"/>
        <v>1697</v>
      </c>
      <c r="F228" s="553">
        <f>F211</f>
        <v>1832</v>
      </c>
      <c r="G228" s="409">
        <f t="shared" si="15"/>
        <v>0</v>
      </c>
      <c r="H228" s="409">
        <f>H211</f>
        <v>0</v>
      </c>
      <c r="I228" s="409">
        <f t="shared" si="16"/>
        <v>0</v>
      </c>
      <c r="J228" s="409">
        <f t="shared" si="16"/>
        <v>0</v>
      </c>
      <c r="K228" s="409">
        <f t="shared" si="16"/>
        <v>0</v>
      </c>
      <c r="L228" s="409">
        <f t="shared" si="16"/>
        <v>0</v>
      </c>
      <c r="M228" s="409">
        <f t="shared" si="16"/>
        <v>0</v>
      </c>
      <c r="N228" s="409">
        <f t="shared" si="16"/>
        <v>0</v>
      </c>
      <c r="O228" s="409">
        <f t="shared" si="16"/>
        <v>0</v>
      </c>
    </row>
    <row r="229" spans="1:15">
      <c r="A229" s="608"/>
      <c r="B229" s="664"/>
      <c r="C229" s="658"/>
      <c r="D229" s="406" t="s">
        <v>247</v>
      </c>
      <c r="E229" s="553">
        <f t="shared" si="15"/>
        <v>914</v>
      </c>
      <c r="F229" s="553">
        <f t="shared" si="15"/>
        <v>858</v>
      </c>
      <c r="G229" s="409">
        <f t="shared" si="15"/>
        <v>0</v>
      </c>
      <c r="H229" s="409">
        <f t="shared" si="15"/>
        <v>0</v>
      </c>
      <c r="I229" s="409">
        <f t="shared" si="16"/>
        <v>0</v>
      </c>
      <c r="J229" s="409">
        <f t="shared" si="16"/>
        <v>0</v>
      </c>
      <c r="K229" s="409">
        <f t="shared" si="16"/>
        <v>0</v>
      </c>
      <c r="L229" s="409">
        <f t="shared" si="16"/>
        <v>0</v>
      </c>
      <c r="M229" s="409">
        <f t="shared" si="16"/>
        <v>0</v>
      </c>
      <c r="N229" s="409">
        <f t="shared" si="16"/>
        <v>0</v>
      </c>
      <c r="O229" s="409">
        <f t="shared" si="16"/>
        <v>0</v>
      </c>
    </row>
    <row r="230" spans="1:15" ht="58.5" customHeight="1">
      <c r="A230" s="605" t="str">
        <f>A213</f>
        <v>MDR TB-3: Количество случаев с РУ/МЛУ ТБ, начавших лечение препаратами второго ряда</v>
      </c>
      <c r="B230" s="653" t="str">
        <f>IF(ISBLANK(B213),"",(B213))</f>
        <v xml:space="preserve"> Топ 10</v>
      </c>
      <c r="C230" s="655" t="str">
        <f>IF(ISBLANK(C213),"",(C213))</f>
        <v>да</v>
      </c>
      <c r="D230" s="410" t="s">
        <v>217</v>
      </c>
      <c r="E230" s="554">
        <f t="shared" si="15"/>
        <v>1612</v>
      </c>
      <c r="F230" s="554">
        <f t="shared" si="15"/>
        <v>1832</v>
      </c>
      <c r="G230" s="407">
        <f t="shared" si="15"/>
        <v>0</v>
      </c>
      <c r="H230" s="411">
        <f t="shared" si="15"/>
        <v>0</v>
      </c>
      <c r="I230" s="407">
        <f t="shared" si="16"/>
        <v>0</v>
      </c>
      <c r="J230" s="407">
        <f t="shared" si="16"/>
        <v>0</v>
      </c>
      <c r="K230" s="407">
        <f t="shared" si="16"/>
        <v>0</v>
      </c>
      <c r="L230" s="407">
        <f t="shared" si="16"/>
        <v>0</v>
      </c>
      <c r="M230" s="407">
        <f t="shared" si="16"/>
        <v>0</v>
      </c>
      <c r="N230" s="407">
        <f t="shared" si="16"/>
        <v>0</v>
      </c>
      <c r="O230" s="407">
        <f t="shared" si="16"/>
        <v>0</v>
      </c>
    </row>
    <row r="231" spans="1:15" ht="15" thickBot="1">
      <c r="A231" s="606"/>
      <c r="B231" s="654"/>
      <c r="C231" s="656"/>
      <c r="D231" s="412" t="s">
        <v>247</v>
      </c>
      <c r="E231" s="555">
        <f t="shared" si="15"/>
        <v>934</v>
      </c>
      <c r="F231" s="555">
        <f t="shared" si="15"/>
        <v>904</v>
      </c>
      <c r="G231" s="413">
        <f t="shared" si="15"/>
        <v>0</v>
      </c>
      <c r="H231" s="414">
        <f t="shared" si="15"/>
        <v>0</v>
      </c>
      <c r="I231" s="407">
        <f t="shared" si="16"/>
        <v>0</v>
      </c>
      <c r="J231" s="407">
        <f t="shared" si="16"/>
        <v>0</v>
      </c>
      <c r="K231" s="407">
        <f t="shared" si="16"/>
        <v>0</v>
      </c>
      <c r="L231" s="407">
        <f t="shared" si="16"/>
        <v>0</v>
      </c>
      <c r="M231" s="407">
        <f t="shared" si="16"/>
        <v>0</v>
      </c>
      <c r="N231" s="407">
        <f t="shared" si="16"/>
        <v>0</v>
      </c>
      <c r="O231" s="407">
        <f t="shared" si="16"/>
        <v>0</v>
      </c>
    </row>
    <row r="234" spans="1:15" ht="14.25" customHeight="1"/>
    <row r="239" spans="1:15">
      <c r="G239" t="s">
        <v>258</v>
      </c>
    </row>
  </sheetData>
  <mergeCells count="106">
    <mergeCell ref="A194:A195"/>
    <mergeCell ref="B192:B193"/>
    <mergeCell ref="C192:C193"/>
    <mergeCell ref="B186:B187"/>
    <mergeCell ref="C186:C187"/>
    <mergeCell ref="B188:B189"/>
    <mergeCell ref="C188:C189"/>
    <mergeCell ref="B190:B191"/>
    <mergeCell ref="C190:C191"/>
    <mergeCell ref="A186:A187"/>
    <mergeCell ref="A188:A189"/>
    <mergeCell ref="A190:A191"/>
    <mergeCell ref="A192:A193"/>
    <mergeCell ref="N31:N34"/>
    <mergeCell ref="B174:B175"/>
    <mergeCell ref="C174:C175"/>
    <mergeCell ref="G130:H130"/>
    <mergeCell ref="B172:B173"/>
    <mergeCell ref="C172:C173"/>
    <mergeCell ref="A132:A146"/>
    <mergeCell ref="A147:A164"/>
    <mergeCell ref="A172:A173"/>
    <mergeCell ref="A174:A175"/>
    <mergeCell ref="B211:B212"/>
    <mergeCell ref="E64:H64"/>
    <mergeCell ref="C180:C181"/>
    <mergeCell ref="B182:B183"/>
    <mergeCell ref="C176:C177"/>
    <mergeCell ref="B178:B179"/>
    <mergeCell ref="C178:C179"/>
    <mergeCell ref="C182:C183"/>
    <mergeCell ref="B184:B185"/>
    <mergeCell ref="C184:C185"/>
    <mergeCell ref="B176:B177"/>
    <mergeCell ref="B180:B181"/>
    <mergeCell ref="A89:B89"/>
    <mergeCell ref="A90:B90"/>
    <mergeCell ref="B209:B210"/>
    <mergeCell ref="C209:C210"/>
    <mergeCell ref="C194:C195"/>
    <mergeCell ref="B199:B200"/>
    <mergeCell ref="B201:B202"/>
    <mergeCell ref="C201:C202"/>
    <mergeCell ref="B203:B204"/>
    <mergeCell ref="C203:C204"/>
    <mergeCell ref="C199:C200"/>
    <mergeCell ref="B194:B195"/>
    <mergeCell ref="B230:B231"/>
    <mergeCell ref="C230:C231"/>
    <mergeCell ref="C228:C229"/>
    <mergeCell ref="B226:B227"/>
    <mergeCell ref="C226:C227"/>
    <mergeCell ref="C217:C218"/>
    <mergeCell ref="C219:C220"/>
    <mergeCell ref="B219:B220"/>
    <mergeCell ref="B217:B218"/>
    <mergeCell ref="B228:B229"/>
    <mergeCell ref="B1:C1"/>
    <mergeCell ref="B8:C8"/>
    <mergeCell ref="A14:I14"/>
    <mergeCell ref="B6:C6"/>
    <mergeCell ref="D6:E6"/>
    <mergeCell ref="H6:I6"/>
    <mergeCell ref="H8:I8"/>
    <mergeCell ref="B10:C10"/>
    <mergeCell ref="D12:E12"/>
    <mergeCell ref="F12:I12"/>
    <mergeCell ref="A2:I2"/>
    <mergeCell ref="B4:C4"/>
    <mergeCell ref="D4:E4"/>
    <mergeCell ref="D10:E10"/>
    <mergeCell ref="B12:C12"/>
    <mergeCell ref="A176:A177"/>
    <mergeCell ref="A178:A179"/>
    <mergeCell ref="A180:A181"/>
    <mergeCell ref="A182:A183"/>
    <mergeCell ref="A184:A185"/>
    <mergeCell ref="F10:I10"/>
    <mergeCell ref="B213:B214"/>
    <mergeCell ref="C213:C214"/>
    <mergeCell ref="B215:B216"/>
    <mergeCell ref="A18:B18"/>
    <mergeCell ref="C215:C216"/>
    <mergeCell ref="A26:B26"/>
    <mergeCell ref="A88:B88"/>
    <mergeCell ref="A77:C77"/>
    <mergeCell ref="A91:B91"/>
    <mergeCell ref="A29:M29"/>
    <mergeCell ref="A92:B92"/>
    <mergeCell ref="G16:H16"/>
    <mergeCell ref="C24:D24"/>
    <mergeCell ref="F24:G24"/>
    <mergeCell ref="H24:I24"/>
    <mergeCell ref="C18:E18"/>
    <mergeCell ref="A21:I21"/>
    <mergeCell ref="C211:C212"/>
    <mergeCell ref="A219:A220"/>
    <mergeCell ref="A217:A218"/>
    <mergeCell ref="A226:A227"/>
    <mergeCell ref="A228:A229"/>
    <mergeCell ref="A230:A231"/>
    <mergeCell ref="A199:A200"/>
    <mergeCell ref="A201:A202"/>
    <mergeCell ref="A203:A204"/>
    <mergeCell ref="A211:A212"/>
    <mergeCell ref="A215:A216"/>
  </mergeCells>
  <phoneticPr fontId="30" type="noConversion"/>
  <conditionalFormatting sqref="A32 E32:G32 A34">
    <cfRule type="expression" dxfId="46" priority="28" stopIfTrue="1">
      <formula>+AND(A31&gt;=#REF!,A31&lt;=#REF!)</formula>
    </cfRule>
  </conditionalFormatting>
  <conditionalFormatting sqref="B12:C12">
    <cfRule type="cellIs" dxfId="45" priority="34" stopIfTrue="1" operator="equal">
      <formula>"C"</formula>
    </cfRule>
    <cfRule type="cellIs" dxfId="44" priority="35" stopIfTrue="1" operator="equal">
      <formula>"B2"</formula>
    </cfRule>
    <cfRule type="cellIs" dxfId="43" priority="36" stopIfTrue="1" operator="equal">
      <formula>"B1"</formula>
    </cfRule>
  </conditionalFormatting>
  <conditionalFormatting sqref="B33:C33">
    <cfRule type="expression" dxfId="42" priority="12" stopIfTrue="1">
      <formula>+AND(B32&gt;=#REF!,B32&lt;=#REF!)</formula>
    </cfRule>
  </conditionalFormatting>
  <conditionalFormatting sqref="B30:M30 B118:M118">
    <cfRule type="cellIs" dxfId="41" priority="32" stopIfTrue="1" operator="equal">
      <formula>$B$16</formula>
    </cfRule>
  </conditionalFormatting>
  <conditionalFormatting sqref="B34:M34">
    <cfRule type="expression" dxfId="40" priority="13" stopIfTrue="1">
      <formula>+AND(B32&gt;=#REF!,B32&lt;=#REF!)</formula>
    </cfRule>
  </conditionalFormatting>
  <conditionalFormatting sqref="D32:D33 E33:M33">
    <cfRule type="expression" dxfId="39" priority="3" stopIfTrue="1">
      <formula>+AND(D31&gt;=#REF!,D31&lt;=#REF!)</formula>
    </cfRule>
  </conditionalFormatting>
  <conditionalFormatting sqref="E64:H64">
    <cfRule type="expression" dxfId="38" priority="17" stopIfTrue="1">
      <formula>LEFT($E$64,3)="Все"</formula>
    </cfRule>
  </conditionalFormatting>
  <conditionalFormatting sqref="E171:O171">
    <cfRule type="cellIs" dxfId="37" priority="43" stopIfTrue="1" operator="equal">
      <formula>$B$16</formula>
    </cfRule>
  </conditionalFormatting>
  <conditionalFormatting sqref="E198:O225">
    <cfRule type="cellIs" dxfId="36" priority="6" stopIfTrue="1" operator="equal">
      <formula>$B$16</formula>
    </cfRule>
  </conditionalFormatting>
  <dataValidations count="9">
    <dataValidation type="list" allowBlank="1" showInputMessage="1" showErrorMessage="1" sqref="F6 IW163 SS163 ACO163 AMK163 AWG163 BGC163 BPY163 BZU163 CJQ163 CTM163 DDI163 DNE163 DXA163 EGW163 EQS163 FAO163 FKK163 FUG163 GEC163 GNY163 GXU163 HHQ163 HRM163 IBI163 ILE163 IVA163 JEW163 JOS163 JYO163 KIK163 KSG163 LCC163 LLY163 LVU163 MFQ163 MPM163 MZI163 NJE163 NTA163 OCW163 OMS163 OWO163 PGK163 PQG163 QAC163 QJY163 QTU163 RDQ163 RNM163 RXI163 SHE163 SRA163 TAW163 TKS163 TUO163 UEK163 UOG163 UYC163 VHY163 VRU163 WBQ163 WLM163 WVI163" xr:uid="{00000000-0002-0000-0200-000000000000}">
      <formula1>Component</formula1>
    </dataValidation>
    <dataValidation type="list" allowBlank="1" showInputMessage="1" showErrorMessage="1" sqref="B16" xr:uid="{00000000-0002-0000-0200-000001000000}">
      <formula1>PERIOD</formula1>
    </dataValidation>
    <dataValidation type="list" allowBlank="1" showInputMessage="1" showErrorMessage="1" sqref="F10:I10" xr:uid="{00000000-0002-0000-0200-000002000000}">
      <formula1>LFA</formula1>
    </dataValidation>
    <dataValidation type="list" allowBlank="1" showInputMessage="1" showErrorMessage="1" sqref="B12:C12" xr:uid="{00000000-0002-0000-0200-000003000000}">
      <formula1>Rating</formula1>
    </dataValidation>
    <dataValidation type="list" allowBlank="1" showInputMessage="1" showErrorMessage="1" sqref="H8:I8" xr:uid="{00000000-0002-0000-0200-000004000000}">
      <formula1>Phase</formula1>
    </dataValidation>
    <dataValidation type="list" allowBlank="1" showInputMessage="1" showErrorMessage="1" sqref="F8" xr:uid="{00000000-0002-0000-0200-000005000000}">
      <formula1>Round</formula1>
    </dataValidation>
    <dataValidation type="list" allowBlank="1" showInputMessage="1" showErrorMessage="1" sqref="C26" xr:uid="{00000000-0002-0000-0200-000006000000}">
      <formula1>Currency</formula1>
    </dataValidation>
    <dataValidation type="list" allowBlank="1" showInputMessage="1" showErrorMessage="1" sqref="B147:B164 ST143:ST162 ACP143:ACP162 AML143:AML162 AWH143:AWH162 BGD143:BGD162 BPZ143:BPZ162 BZV143:BZV162 CJR143:CJR162 CTN143:CTN162 DDJ143:DDJ162 DNF143:DNF162 DXB143:DXB162 EGX143:EGX162 EQT143:EQT162 FAP143:FAP162 FKL143:FKL162 FUH143:FUH162 GED143:GED162 GNZ143:GNZ162 GXV143:GXV162 HHR143:HHR162 HRN143:HRN162 IBJ143:IBJ162 ILF143:ILF162 IVB143:IVB162 JEX143:JEX162 JOT143:JOT162 JYP143:JYP162 KIL143:KIL162 KSH143:KSH162 LCD143:LCD162 LLZ143:LLZ162 LVV143:LVV162 MFR143:MFR162 MPN143:MPN162 MZJ143:MZJ162 NJF143:NJF162 NTB143:NTB162 OCX143:OCX162 OMT143:OMT162 OWP143:OWP162 PGL143:PGL162 PQH143:PQH162 QAD143:QAD162 QJZ143:QJZ162 QTV143:QTV162 RDR143:RDR162 RNN143:RNN162 RXJ143:RXJ162 SHF143:SHF162 SRB143:SRB162 TAX143:TAX162 TKT143:TKT162 TUP143:TUP162 UEL143:UEL162 UOH143:UOH162 UYD143:UYD162 VHZ143:VHZ162 VRV143:VRV162 WBR143:WBR162 WLN143:WLN162 WVJ143:WVJ162 IX143:IX162 WLO139:WLO142 WBS139:WBS142 VRW139:VRW142 VIA139:VIA142 UYE139:UYE142 UOI139:UOI142 UEM139:UEM142 TUQ139:TUQ142 TKU139:TKU142 TAY139:TAY142 SRC139:SRC142 SHG139:SHG142 RXK139:RXK142 RNO139:RNO142 RDS139:RDS142 QTW139:QTW142 QKA139:QKA142 QAE139:QAE142 PQI139:PQI142 PGM139:PGM142 OWQ139:OWQ142 OMU139:OMU142 OCY139:OCY142 NTC139:NTC142 NJG139:NJG142 MZK139:MZK142 MPO139:MPO142 MFS139:MFS142 LVW139:LVW142 LMA139:LMA142 LCE139:LCE142 KSI139:KSI142 KIM139:KIM142 JYQ139:JYQ142 JOU139:JOU142 JEY139:JEY142 IVC139:IVC142 ILG139:ILG142 IBK139:IBK142 HRO139:HRO142 HHS139:HHS142 GXW139:GXW142 GOA139:GOA142 GEE139:GEE142 FUI139:FUI142 FKM139:FKM142 FAQ139:FAQ142 EQU139:EQU142 EGY139:EGY142 DXC139:DXC142 DNG139:DNG142 DDK139:DDK142 CTO139:CTO142 CJS139:CJS142 BZW139:BZW142 BQA139:BQA142 BGE139:BGE142 AWI139:AWI142 AMM139:AMM142 ACQ139:ACQ142 SU139:SU142 IY139:IY142 WVK139:WVK142" xr:uid="{00000000-0002-0000-0200-000007000000}">
      <formula1>мва</formula1>
    </dataValidation>
    <dataValidation type="list" allowBlank="1" showInputMessage="1" showErrorMessage="1" sqref="WVJ163:WVJ166 IX163:IX166 ST163:ST166 ACP163:ACP166 AML163:AML166 AWH163:AWH166 BGD163:BGD166 BPZ163:BPZ166 BZV163:BZV166 CJR163:CJR166 CTN163:CTN166 DDJ163:DDJ166 DNF163:DNF166 DXB163:DXB166 EGX163:EGX166 EQT163:EQT166 FAP163:FAP166 FKL163:FKL166 FUH163:FUH166 GED163:GED166 GNZ163:GNZ166 GXV163:GXV166 HHR163:HHR166 HRN163:HRN166 IBJ163:IBJ166 ILF163:ILF166 IVB163:IVB166 JEX163:JEX166 JOT163:JOT166 JYP163:JYP166 KIL163:KIL166 KSH163:KSH166 LCD163:LCD166 LLZ163:LLZ166 LVV163:LVV166 MFR163:MFR166 MPN163:MPN166 MZJ163:MZJ166 NJF163:NJF166 NTB163:NTB166 OCX163:OCX166 OMT163:OMT166 OWP163:OWP166 PGL163:PGL166 PQH163:PQH166 QAD163:QAD166 QJZ163:QJZ166 QTV163:QTV166 RDR163:RDR166 RNN163:RNN166 RXJ163:RXJ166 SHF163:SHF166 SRB163:SRB166 TAX163:TAX166 TKT163:TKT166 TUP163:TUP166 UEL163:UEL166 UOH163:UOH166 UYD163:UYD166 VHZ163:VHZ166 VRV163:VRV166 WBR163:WBR166 WLN163:WLN166 B138:B146" xr:uid="{00000000-0002-0000-0200-000008000000}">
      <formula1>Medicaments</formula1>
    </dataValidation>
  </dataValidations>
  <printOptions horizontalCentered="1"/>
  <pageMargins left="0.45866141700000002" right="0.45866141700000002" top="0.74803149606299202" bottom="0.74803149606299202" header="0.31496062992126" footer="0.31496062992126"/>
  <pageSetup paperSize="8" scale="70" orientation="landscape" r:id="rId1"/>
  <headerFooter>
    <oddFooter>&amp;L&amp;F&amp;C&amp;A&amp;RV1.0          &amp;D</oddFooter>
  </headerFooter>
  <rowBreaks count="1" manualBreakCount="1">
    <brk id="65" max="16383" man="1"/>
  </rowBreaks>
  <ignoredErrors>
    <ignoredError sqref="B226 E225:I225 J225:O2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V76"/>
  <sheetViews>
    <sheetView showGridLines="0" zoomScale="75" zoomScaleNormal="100" workbookViewId="0">
      <pane ySplit="2" topLeftCell="A30" activePane="bottomLeft" state="frozen"/>
      <selection pane="bottomLeft" activeCell="E47" sqref="E47:I47"/>
      <selection activeCell="E22" sqref="E22"/>
    </sheetView>
  </sheetViews>
  <sheetFormatPr defaultColWidth="11" defaultRowHeight="14.45"/>
  <cols>
    <col min="1" max="1" width="2.7109375" customWidth="1"/>
    <col min="2" max="2" width="21.42578125" customWidth="1"/>
    <col min="3" max="3" width="11.42578125" customWidth="1"/>
    <col min="4" max="4" width="4.5703125" customWidth="1"/>
    <col min="5" max="5" width="16.42578125" customWidth="1"/>
    <col min="6" max="6" width="15.7109375" customWidth="1"/>
    <col min="7" max="7" width="37.28515625" customWidth="1"/>
    <col min="8" max="8" width="17.28515625" customWidth="1"/>
    <col min="9" max="9" width="44.140625" customWidth="1"/>
    <col min="10" max="10" width="14.140625" customWidth="1"/>
    <col min="11" max="11" width="16" customWidth="1"/>
    <col min="12" max="12" width="20.42578125" customWidth="1"/>
    <col min="13" max="13" width="49.42578125" customWidth="1"/>
    <col min="14" max="14" width="2.5703125" customWidth="1"/>
    <col min="15" max="15" width="3" customWidth="1"/>
    <col min="16" max="16" width="2.5703125" customWidth="1"/>
    <col min="17" max="17" width="16.140625" customWidth="1"/>
    <col min="18" max="18" width="28" customWidth="1"/>
    <col min="19" max="19" width="26.7109375" customWidth="1"/>
    <col min="20" max="20" width="14.85546875" customWidth="1"/>
    <col min="21" max="21" width="16" customWidth="1"/>
    <col min="22" max="22" width="11.42578125" hidden="1" customWidth="1"/>
    <col min="23" max="23" width="15.5703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5703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2:15" ht="34.5" customHeight="1"/>
    <row r="2" spans="2:15" ht="36" customHeight="1">
      <c r="B2" s="785" t="str">
        <f>+"Панель показателей: "&amp;" "&amp;+IF('Ввод данных'!B4="Выберите","",'Ввод данных'!B4&amp;" - ")&amp;+IF('Ввод данных'!F6="Выберите","",'Ввод данных'!F6)</f>
        <v>Панель показателей:  Кыргызстан - ВИЧ/СПИД/ТБ</v>
      </c>
      <c r="C2" s="785"/>
      <c r="D2" s="785"/>
      <c r="E2" s="785"/>
      <c r="F2" s="785"/>
      <c r="G2" s="785"/>
      <c r="H2" s="785"/>
      <c r="I2" s="785"/>
      <c r="J2" s="785"/>
      <c r="K2" s="785"/>
      <c r="L2" s="785"/>
      <c r="M2" s="785"/>
    </row>
    <row r="3" spans="2:15" ht="15.75" customHeight="1">
      <c r="B3" s="152"/>
      <c r="C3" s="152"/>
      <c r="D3" s="152"/>
      <c r="E3" s="152"/>
      <c r="F3" s="152"/>
      <c r="G3" s="152"/>
      <c r="H3" s="152"/>
      <c r="I3" s="152"/>
      <c r="J3" s="152"/>
      <c r="K3" s="153"/>
      <c r="L3" s="153"/>
    </row>
    <row r="5" spans="2:15" ht="23.45">
      <c r="B5" s="769" t="s">
        <v>259</v>
      </c>
      <c r="C5" s="769"/>
      <c r="D5" s="769"/>
      <c r="E5" s="769"/>
      <c r="F5" s="769"/>
      <c r="G5" s="769"/>
      <c r="H5" s="769"/>
      <c r="I5" s="769"/>
      <c r="J5" s="769"/>
      <c r="K5" s="769"/>
      <c r="L5" s="769"/>
      <c r="M5" s="769"/>
      <c r="N5" s="769"/>
      <c r="O5" s="769"/>
    </row>
    <row r="7" spans="2:15" s="31" customFormat="1" ht="21">
      <c r="B7" s="786" t="s">
        <v>260</v>
      </c>
      <c r="C7" s="787"/>
      <c r="D7" s="788"/>
      <c r="E7" s="786" t="s">
        <v>261</v>
      </c>
      <c r="F7" s="787"/>
      <c r="G7" s="787"/>
      <c r="H7" s="787"/>
      <c r="I7" s="788"/>
      <c r="J7" s="786" t="s">
        <v>262</v>
      </c>
      <c r="K7" s="787"/>
      <c r="L7" s="788"/>
      <c r="M7" s="786" t="s">
        <v>263</v>
      </c>
      <c r="N7" s="787"/>
      <c r="O7" s="788"/>
    </row>
    <row r="8" spans="2:15" ht="68.25" customHeight="1">
      <c r="B8" s="754" t="str">
        <f>+'Ввод данных'!A27</f>
        <v>F1: Бюджет и выплаты Глобальным фондом</v>
      </c>
      <c r="C8" s="792"/>
      <c r="D8" s="793"/>
      <c r="E8" s="789" t="s">
        <v>264</v>
      </c>
      <c r="F8" s="790"/>
      <c r="G8" s="790"/>
      <c r="H8" s="790"/>
      <c r="I8" s="791"/>
      <c r="J8" s="780" t="s">
        <v>265</v>
      </c>
      <c r="K8" s="781"/>
      <c r="L8" s="782"/>
      <c r="M8" s="780" t="s">
        <v>266</v>
      </c>
      <c r="N8" s="781"/>
      <c r="O8" s="782"/>
    </row>
    <row r="9" spans="2:15" ht="66.75" customHeight="1">
      <c r="B9" s="742" t="str">
        <f>+'Ввод данных'!A36</f>
        <v>F2: Бюджет и фактические расходы согласно задачам гранта</v>
      </c>
      <c r="C9" s="794"/>
      <c r="D9" s="795"/>
      <c r="E9" s="745" t="s">
        <v>267</v>
      </c>
      <c r="F9" s="746"/>
      <c r="G9" s="746"/>
      <c r="H9" s="746"/>
      <c r="I9" s="747"/>
      <c r="J9" s="780" t="s">
        <v>268</v>
      </c>
      <c r="K9" s="781"/>
      <c r="L9" s="782"/>
      <c r="M9" s="780" t="s">
        <v>266</v>
      </c>
      <c r="N9" s="781"/>
      <c r="O9" s="782"/>
    </row>
    <row r="10" spans="2:15" ht="207" customHeight="1">
      <c r="B10" s="742" t="str">
        <f>+'Ввод данных'!A66</f>
        <v>F3: Выплаты и расходы</v>
      </c>
      <c r="C10" s="794"/>
      <c r="D10" s="795"/>
      <c r="E10" s="745" t="s">
        <v>269</v>
      </c>
      <c r="F10" s="746"/>
      <c r="G10" s="746"/>
      <c r="H10" s="746"/>
      <c r="I10" s="747"/>
      <c r="J10" s="780" t="s">
        <v>270</v>
      </c>
      <c r="K10" s="781"/>
      <c r="L10" s="782"/>
      <c r="M10" s="780" t="s">
        <v>271</v>
      </c>
      <c r="N10" s="781"/>
      <c r="O10" s="782"/>
    </row>
    <row r="11" spans="2:15" ht="252.75" customHeight="1">
      <c r="B11" s="742" t="str">
        <f>+'Ввод данных'!A75</f>
        <v>F4: Последний отчетный и платежный цикл ОР</v>
      </c>
      <c r="C11" s="743"/>
      <c r="D11" s="744"/>
      <c r="E11" s="745" t="s">
        <v>272</v>
      </c>
      <c r="F11" s="746"/>
      <c r="G11" s="746"/>
      <c r="H11" s="746"/>
      <c r="I11" s="747"/>
      <c r="J11" s="780" t="s">
        <v>273</v>
      </c>
      <c r="K11" s="781"/>
      <c r="L11" s="782"/>
      <c r="M11" s="780" t="s">
        <v>274</v>
      </c>
      <c r="N11" s="781"/>
      <c r="O11" s="782"/>
    </row>
    <row r="12" spans="2:15">
      <c r="B12" s="797"/>
      <c r="C12" s="797"/>
      <c r="D12" s="797"/>
      <c r="E12" s="783"/>
      <c r="F12" s="783"/>
      <c r="G12" s="783"/>
      <c r="H12" s="783"/>
      <c r="I12" s="783"/>
      <c r="J12" s="783"/>
      <c r="K12" s="783"/>
      <c r="L12" s="783"/>
      <c r="M12" s="783"/>
      <c r="N12" s="783"/>
      <c r="O12" s="783"/>
    </row>
    <row r="13" spans="2:15">
      <c r="B13" s="796"/>
      <c r="C13" s="796"/>
      <c r="D13" s="796"/>
      <c r="E13" s="784"/>
      <c r="F13" s="784"/>
      <c r="G13" s="784"/>
      <c r="H13" s="784"/>
      <c r="I13" s="784"/>
      <c r="J13" s="784"/>
      <c r="K13" s="784"/>
      <c r="L13" s="784"/>
      <c r="M13" s="784"/>
      <c r="N13" s="784"/>
      <c r="O13" s="784"/>
    </row>
    <row r="14" spans="2:15">
      <c r="B14" s="796"/>
      <c r="C14" s="796"/>
      <c r="D14" s="796"/>
      <c r="E14" s="784"/>
      <c r="F14" s="784"/>
      <c r="G14" s="784"/>
      <c r="H14" s="784"/>
      <c r="I14" s="784"/>
      <c r="J14" s="784"/>
      <c r="K14" s="784"/>
      <c r="L14" s="784"/>
      <c r="M14" s="784"/>
      <c r="N14" s="784"/>
      <c r="O14" s="784"/>
    </row>
    <row r="15" spans="2:15">
      <c r="B15" s="796"/>
      <c r="C15" s="796"/>
      <c r="D15" s="796"/>
      <c r="E15" s="784"/>
      <c r="F15" s="784"/>
      <c r="G15" s="784"/>
      <c r="H15" s="784"/>
      <c r="I15" s="784"/>
      <c r="J15" s="784"/>
      <c r="K15" s="784"/>
      <c r="L15" s="784"/>
      <c r="M15" s="784"/>
      <c r="N15" s="784"/>
      <c r="O15" s="784"/>
    </row>
    <row r="16" spans="2:15" ht="23.45">
      <c r="B16" s="779" t="s">
        <v>275</v>
      </c>
      <c r="C16" s="779"/>
      <c r="D16" s="779"/>
      <c r="E16" s="779"/>
      <c r="F16" s="779"/>
      <c r="G16" s="779"/>
      <c r="H16" s="779"/>
      <c r="I16" s="779"/>
      <c r="J16" s="779"/>
      <c r="K16" s="779"/>
      <c r="L16" s="779"/>
      <c r="M16" s="779"/>
      <c r="N16" s="779"/>
      <c r="O16" s="779"/>
    </row>
    <row r="17" spans="1:15">
      <c r="B17" s="540"/>
      <c r="C17" s="540"/>
      <c r="D17" s="540"/>
      <c r="E17" s="540"/>
      <c r="F17" s="540"/>
      <c r="G17" s="540"/>
      <c r="H17" s="540"/>
      <c r="I17" s="540"/>
      <c r="J17" s="540"/>
      <c r="K17" s="540"/>
      <c r="L17" s="540"/>
      <c r="M17" s="540"/>
      <c r="N17" s="540"/>
      <c r="O17" s="540"/>
    </row>
    <row r="18" spans="1:15" ht="21">
      <c r="B18" s="776" t="s">
        <v>260</v>
      </c>
      <c r="C18" s="777"/>
      <c r="D18" s="778"/>
      <c r="E18" s="776" t="s">
        <v>261</v>
      </c>
      <c r="F18" s="777"/>
      <c r="G18" s="777"/>
      <c r="H18" s="777"/>
      <c r="I18" s="778"/>
      <c r="J18" s="776" t="s">
        <v>262</v>
      </c>
      <c r="K18" s="777"/>
      <c r="L18" s="778"/>
      <c r="M18" s="776" t="s">
        <v>276</v>
      </c>
      <c r="N18" s="777"/>
      <c r="O18" s="778"/>
    </row>
    <row r="19" spans="1:15" ht="62.25" customHeight="1">
      <c r="B19" s="754" t="str">
        <f>+'Ввод данных'!A86</f>
        <v>M1: Статус Предварительных условий (ПУ) и Действий с установленным сроком исполнения (ДУС)</v>
      </c>
      <c r="C19" s="755"/>
      <c r="D19" s="756"/>
      <c r="E19" s="745" t="s">
        <v>277</v>
      </c>
      <c r="F19" s="809"/>
      <c r="G19" s="809"/>
      <c r="H19" s="809"/>
      <c r="I19" s="810"/>
      <c r="J19" s="739" t="s">
        <v>278</v>
      </c>
      <c r="K19" s="740"/>
      <c r="L19" s="741"/>
      <c r="M19" s="739" t="s">
        <v>279</v>
      </c>
      <c r="N19" s="740"/>
      <c r="O19" s="741"/>
    </row>
    <row r="20" spans="1:15" ht="66.75" customHeight="1">
      <c r="B20" s="742" t="str">
        <f>+'Ввод данных'!A95</f>
        <v>M2: Статус ключевых руководящих должностей в структуре ОР</v>
      </c>
      <c r="C20" s="743"/>
      <c r="D20" s="744"/>
      <c r="E20" s="745" t="s">
        <v>280</v>
      </c>
      <c r="F20" s="746"/>
      <c r="G20" s="746"/>
      <c r="H20" s="746"/>
      <c r="I20" s="747"/>
      <c r="J20" s="739" t="s">
        <v>281</v>
      </c>
      <c r="K20" s="740"/>
      <c r="L20" s="741"/>
      <c r="M20" s="739" t="s">
        <v>282</v>
      </c>
      <c r="N20" s="740"/>
      <c r="O20" s="741"/>
    </row>
    <row r="21" spans="1:15" ht="127.5" customHeight="1">
      <c r="B21" s="754" t="str">
        <f>+'Ввод данных'!A102</f>
        <v xml:space="preserve">M3: Контрактные соглашения (СР) </v>
      </c>
      <c r="C21" s="755"/>
      <c r="D21" s="756"/>
      <c r="E21" s="739" t="s">
        <v>283</v>
      </c>
      <c r="F21" s="746"/>
      <c r="G21" s="746"/>
      <c r="H21" s="746"/>
      <c r="I21" s="747"/>
      <c r="J21" s="739" t="s">
        <v>284</v>
      </c>
      <c r="K21" s="740"/>
      <c r="L21" s="741"/>
      <c r="M21" s="739" t="s">
        <v>285</v>
      </c>
      <c r="N21" s="740"/>
      <c r="O21" s="741"/>
    </row>
    <row r="22" spans="1:15" ht="57.75" customHeight="1">
      <c r="B22" s="754" t="str">
        <f>+'Ввод данных'!A108</f>
        <v>M4: Количество полных отчетов, полученных к установленному сроку</v>
      </c>
      <c r="C22" s="755"/>
      <c r="D22" s="756"/>
      <c r="E22" s="739" t="s">
        <v>286</v>
      </c>
      <c r="F22" s="740"/>
      <c r="G22" s="740"/>
      <c r="H22" s="740"/>
      <c r="I22" s="741"/>
      <c r="J22" s="739" t="s">
        <v>287</v>
      </c>
      <c r="K22" s="740"/>
      <c r="L22" s="741"/>
      <c r="M22" s="739" t="s">
        <v>288</v>
      </c>
      <c r="N22" s="740"/>
      <c r="O22" s="741"/>
    </row>
    <row r="23" spans="1:15" ht="157.5" customHeight="1">
      <c r="B23" s="757" t="str">
        <f>'Ввод данных'!A116</f>
        <v>M5: Бюджет и закупки товаров медицинского назначения, медицинского оборудования,  лекарственных средств и фармацевтических препаратов</v>
      </c>
      <c r="C23" s="758"/>
      <c r="D23" s="759"/>
      <c r="E23" s="766" t="s">
        <v>289</v>
      </c>
      <c r="F23" s="767"/>
      <c r="G23" s="767"/>
      <c r="H23" s="767"/>
      <c r="I23" s="768"/>
      <c r="J23" s="798" t="s">
        <v>290</v>
      </c>
      <c r="K23" s="799"/>
      <c r="L23" s="800"/>
      <c r="M23" s="798" t="s">
        <v>291</v>
      </c>
      <c r="N23" s="799"/>
      <c r="O23" s="800"/>
    </row>
    <row r="24" spans="1:15" ht="72.75" customHeight="1">
      <c r="B24" s="760"/>
      <c r="C24" s="761"/>
      <c r="D24" s="762"/>
      <c r="E24" s="751" t="s">
        <v>292</v>
      </c>
      <c r="F24" s="752"/>
      <c r="G24" s="752"/>
      <c r="H24" s="752"/>
      <c r="I24" s="753"/>
      <c r="J24" s="801"/>
      <c r="K24" s="802"/>
      <c r="L24" s="803"/>
      <c r="M24" s="801"/>
      <c r="N24" s="802"/>
      <c r="O24" s="803"/>
    </row>
    <row r="25" spans="1:15" ht="173.25" customHeight="1">
      <c r="B25" s="754" t="str">
        <f>+'Ввод данных'!A129</f>
        <v>M6: Разница между текущим и резервным запасами</v>
      </c>
      <c r="C25" s="755"/>
      <c r="D25" s="756"/>
      <c r="E25" s="748" t="s">
        <v>293</v>
      </c>
      <c r="F25" s="749"/>
      <c r="G25" s="749"/>
      <c r="H25" s="749"/>
      <c r="I25" s="750"/>
      <c r="J25" s="748" t="s">
        <v>294</v>
      </c>
      <c r="K25" s="807"/>
      <c r="L25" s="808"/>
      <c r="M25" s="804" t="s">
        <v>295</v>
      </c>
      <c r="N25" s="805"/>
      <c r="O25" s="806"/>
    </row>
    <row r="27" spans="1:15" hidden="1"/>
    <row r="29" spans="1:15" ht="18.600000000000001" hidden="1">
      <c r="B29" s="169"/>
    </row>
    <row r="30" spans="1:15" ht="23.45">
      <c r="B30" s="769" t="s">
        <v>211</v>
      </c>
      <c r="C30" s="769"/>
      <c r="D30" s="769"/>
      <c r="E30" s="769"/>
      <c r="F30" s="769"/>
      <c r="G30" s="769"/>
      <c r="H30" s="769"/>
      <c r="I30" s="769"/>
      <c r="J30" s="769"/>
      <c r="K30" s="769"/>
      <c r="L30" s="769"/>
      <c r="M30" s="769"/>
      <c r="N30" s="769"/>
      <c r="O30" s="769"/>
    </row>
    <row r="32" spans="1:15" ht="28.5" customHeight="1">
      <c r="A32" s="19"/>
      <c r="B32" s="770" t="s">
        <v>296</v>
      </c>
      <c r="C32" s="771"/>
      <c r="D32" s="772"/>
      <c r="E32" s="773" t="s">
        <v>297</v>
      </c>
      <c r="F32" s="774"/>
      <c r="G32" s="774"/>
      <c r="H32" s="774"/>
      <c r="I32" s="775"/>
      <c r="J32" s="773" t="s">
        <v>262</v>
      </c>
      <c r="K32" s="774"/>
      <c r="L32" s="775"/>
      <c r="M32" s="773" t="s">
        <v>263</v>
      </c>
      <c r="N32" s="774"/>
      <c r="O32" s="775"/>
    </row>
    <row r="33" spans="1:19" ht="101.25" customHeight="1">
      <c r="A33" s="19"/>
      <c r="B33" s="727" t="s">
        <v>214</v>
      </c>
      <c r="C33" s="728"/>
      <c r="D33" s="729"/>
      <c r="E33" s="688" t="s">
        <v>298</v>
      </c>
      <c r="F33" s="717"/>
      <c r="G33" s="717"/>
      <c r="H33" s="717"/>
      <c r="I33" s="718"/>
      <c r="J33" s="691" t="s">
        <v>299</v>
      </c>
      <c r="K33" s="698"/>
      <c r="L33" s="699"/>
      <c r="M33" s="691" t="s">
        <v>300</v>
      </c>
      <c r="N33" s="698"/>
      <c r="O33" s="699"/>
    </row>
    <row r="34" spans="1:19" ht="61.5" customHeight="1">
      <c r="A34" s="19"/>
      <c r="B34" s="694" t="s">
        <v>219</v>
      </c>
      <c r="C34" s="694"/>
      <c r="D34" s="694"/>
      <c r="E34" s="695" t="s">
        <v>301</v>
      </c>
      <c r="F34" s="696"/>
      <c r="G34" s="696"/>
      <c r="H34" s="696"/>
      <c r="I34" s="697"/>
      <c r="J34" s="691" t="s">
        <v>302</v>
      </c>
      <c r="K34" s="698"/>
      <c r="L34" s="699"/>
      <c r="M34" s="691" t="s">
        <v>303</v>
      </c>
      <c r="N34" s="698"/>
      <c r="O34" s="699"/>
    </row>
    <row r="35" spans="1:19" ht="90" customHeight="1">
      <c r="A35" s="19"/>
      <c r="B35" s="719" t="s">
        <v>220</v>
      </c>
      <c r="C35" s="720"/>
      <c r="D35" s="721"/>
      <c r="E35" s="688" t="s">
        <v>304</v>
      </c>
      <c r="F35" s="717"/>
      <c r="G35" s="717"/>
      <c r="H35" s="717"/>
      <c r="I35" s="718"/>
      <c r="J35" s="691" t="s">
        <v>305</v>
      </c>
      <c r="K35" s="698"/>
      <c r="L35" s="699"/>
      <c r="M35" s="691" t="s">
        <v>303</v>
      </c>
      <c r="N35" s="698"/>
      <c r="O35" s="699"/>
    </row>
    <row r="36" spans="1:19" ht="157.5" customHeight="1">
      <c r="A36" s="19"/>
      <c r="B36" s="724" t="s">
        <v>221</v>
      </c>
      <c r="C36" s="725"/>
      <c r="D36" s="726"/>
      <c r="E36" s="691" t="s">
        <v>306</v>
      </c>
      <c r="F36" s="698"/>
      <c r="G36" s="698"/>
      <c r="H36" s="698"/>
      <c r="I36" s="699"/>
      <c r="J36" s="691" t="s">
        <v>307</v>
      </c>
      <c r="K36" s="698"/>
      <c r="L36" s="699"/>
      <c r="M36" s="691" t="s">
        <v>308</v>
      </c>
      <c r="N36" s="698"/>
      <c r="O36" s="699"/>
      <c r="Q36" s="817"/>
      <c r="R36" s="818"/>
      <c r="S36" s="819"/>
    </row>
    <row r="37" spans="1:19" ht="108.75" customHeight="1">
      <c r="A37" s="19"/>
      <c r="B37" s="727" t="s">
        <v>222</v>
      </c>
      <c r="C37" s="728"/>
      <c r="D37" s="729"/>
      <c r="E37" s="688" t="s">
        <v>309</v>
      </c>
      <c r="F37" s="722"/>
      <c r="G37" s="722"/>
      <c r="H37" s="722"/>
      <c r="I37" s="723"/>
      <c r="J37" s="691" t="s">
        <v>310</v>
      </c>
      <c r="K37" s="698"/>
      <c r="L37" s="699"/>
      <c r="M37" s="691" t="s">
        <v>300</v>
      </c>
      <c r="N37" s="698"/>
      <c r="O37" s="699"/>
    </row>
    <row r="38" spans="1:19" ht="90" customHeight="1">
      <c r="A38" s="19"/>
      <c r="B38" s="727" t="s">
        <v>223</v>
      </c>
      <c r="C38" s="728"/>
      <c r="D38" s="729"/>
      <c r="E38" s="730" t="s">
        <v>311</v>
      </c>
      <c r="F38" s="731"/>
      <c r="G38" s="731"/>
      <c r="H38" s="731"/>
      <c r="I38" s="732"/>
      <c r="J38" s="691" t="s">
        <v>312</v>
      </c>
      <c r="K38" s="698"/>
      <c r="L38" s="699"/>
      <c r="M38" s="691" t="s">
        <v>300</v>
      </c>
      <c r="N38" s="698"/>
      <c r="O38" s="699"/>
    </row>
    <row r="39" spans="1:19" ht="87" customHeight="1">
      <c r="A39" s="19"/>
      <c r="B39" s="727" t="s">
        <v>224</v>
      </c>
      <c r="C39" s="728"/>
      <c r="D39" s="729"/>
      <c r="E39" s="820" t="s">
        <v>313</v>
      </c>
      <c r="F39" s="821"/>
      <c r="G39" s="821"/>
      <c r="H39" s="821"/>
      <c r="I39" s="822"/>
      <c r="J39" s="691" t="s">
        <v>314</v>
      </c>
      <c r="K39" s="698"/>
      <c r="L39" s="699"/>
      <c r="M39" s="691" t="s">
        <v>315</v>
      </c>
      <c r="N39" s="698"/>
      <c r="O39" s="699"/>
    </row>
    <row r="40" spans="1:19" ht="101.1" customHeight="1">
      <c r="A40" s="19"/>
      <c r="B40" s="719" t="s">
        <v>227</v>
      </c>
      <c r="C40" s="823"/>
      <c r="D40" s="824"/>
      <c r="E40" s="688" t="s">
        <v>316</v>
      </c>
      <c r="F40" s="722"/>
      <c r="G40" s="722"/>
      <c r="H40" s="722"/>
      <c r="I40" s="723"/>
      <c r="J40" s="691" t="s">
        <v>317</v>
      </c>
      <c r="K40" s="698"/>
      <c r="L40" s="699"/>
      <c r="M40" s="691" t="s">
        <v>300</v>
      </c>
      <c r="N40" s="698"/>
      <c r="O40" s="699"/>
    </row>
    <row r="41" spans="1:19" ht="96" customHeight="1">
      <c r="A41" s="19"/>
      <c r="B41" s="719" t="s">
        <v>230</v>
      </c>
      <c r="C41" s="823"/>
      <c r="D41" s="824"/>
      <c r="E41" s="688" t="s">
        <v>318</v>
      </c>
      <c r="F41" s="722"/>
      <c r="G41" s="722"/>
      <c r="H41" s="722"/>
      <c r="I41" s="723"/>
      <c r="J41" s="691" t="s">
        <v>319</v>
      </c>
      <c r="K41" s="698"/>
      <c r="L41" s="699"/>
      <c r="M41" s="691" t="s">
        <v>300</v>
      </c>
      <c r="N41" s="698"/>
      <c r="O41" s="699"/>
    </row>
    <row r="42" spans="1:19" ht="102.6" customHeight="1">
      <c r="A42" s="19"/>
      <c r="B42" s="719" t="s">
        <v>233</v>
      </c>
      <c r="C42" s="720"/>
      <c r="D42" s="721"/>
      <c r="E42" s="688" t="s">
        <v>320</v>
      </c>
      <c r="F42" s="722"/>
      <c r="G42" s="722"/>
      <c r="H42" s="722"/>
      <c r="I42" s="723"/>
      <c r="J42" s="691" t="s">
        <v>321</v>
      </c>
      <c r="K42" s="698"/>
      <c r="L42" s="699"/>
      <c r="M42" s="691" t="s">
        <v>300</v>
      </c>
      <c r="N42" s="698"/>
      <c r="O42" s="699"/>
    </row>
    <row r="43" spans="1:19" ht="203.25" customHeight="1">
      <c r="A43" s="19"/>
      <c r="B43" s="719" t="s">
        <v>235</v>
      </c>
      <c r="C43" s="720"/>
      <c r="D43" s="721"/>
      <c r="E43" s="688" t="s">
        <v>322</v>
      </c>
      <c r="F43" s="722"/>
      <c r="G43" s="722"/>
      <c r="H43" s="722"/>
      <c r="I43" s="723"/>
      <c r="J43" s="691" t="s">
        <v>323</v>
      </c>
      <c r="K43" s="698"/>
      <c r="L43" s="699"/>
      <c r="M43" s="691" t="s">
        <v>303</v>
      </c>
      <c r="N43" s="698"/>
      <c r="O43" s="699"/>
    </row>
    <row r="44" spans="1:19" ht="84.75" customHeight="1">
      <c r="A44" s="19"/>
      <c r="B44" s="719" t="s">
        <v>324</v>
      </c>
      <c r="C44" s="720"/>
      <c r="D44" s="721"/>
      <c r="E44" s="688" t="s">
        <v>325</v>
      </c>
      <c r="F44" s="717"/>
      <c r="G44" s="717"/>
      <c r="H44" s="717"/>
      <c r="I44" s="718"/>
      <c r="J44" s="691" t="s">
        <v>326</v>
      </c>
      <c r="K44" s="698"/>
      <c r="L44" s="699"/>
      <c r="M44" s="691" t="s">
        <v>327</v>
      </c>
      <c r="N44" s="698"/>
      <c r="O44" s="699"/>
    </row>
    <row r="45" spans="1:19" ht="27" customHeight="1">
      <c r="A45" s="19"/>
      <c r="B45" s="811" t="s">
        <v>328</v>
      </c>
      <c r="C45" s="812"/>
      <c r="D45" s="813"/>
      <c r="E45" s="703" t="s">
        <v>297</v>
      </c>
      <c r="F45" s="704"/>
      <c r="G45" s="704"/>
      <c r="H45" s="704"/>
      <c r="I45" s="705"/>
      <c r="J45" s="703" t="s">
        <v>329</v>
      </c>
      <c r="K45" s="704"/>
      <c r="L45" s="705"/>
      <c r="M45" s="703" t="s">
        <v>263</v>
      </c>
      <c r="N45" s="704"/>
      <c r="O45" s="705"/>
    </row>
    <row r="46" spans="1:19" ht="81" customHeight="1">
      <c r="A46" s="19"/>
      <c r="B46" s="763" t="s">
        <v>245</v>
      </c>
      <c r="C46" s="764"/>
      <c r="D46" s="765"/>
      <c r="E46" s="691" t="s">
        <v>330</v>
      </c>
      <c r="F46" s="734"/>
      <c r="G46" s="734"/>
      <c r="H46" s="734"/>
      <c r="I46" s="735"/>
      <c r="J46" s="691" t="s">
        <v>331</v>
      </c>
      <c r="K46" s="698"/>
      <c r="L46" s="699"/>
      <c r="M46" s="691" t="s">
        <v>332</v>
      </c>
      <c r="N46" s="698"/>
      <c r="O46" s="699"/>
    </row>
    <row r="47" spans="1:19" ht="54.75" customHeight="1">
      <c r="A47" s="19"/>
      <c r="B47" s="763" t="s">
        <v>333</v>
      </c>
      <c r="C47" s="764"/>
      <c r="D47" s="765"/>
      <c r="E47" s="691" t="s">
        <v>334</v>
      </c>
      <c r="F47" s="734"/>
      <c r="G47" s="734"/>
      <c r="H47" s="734"/>
      <c r="I47" s="735"/>
      <c r="J47" s="691" t="s">
        <v>335</v>
      </c>
      <c r="K47" s="698"/>
      <c r="L47" s="699"/>
      <c r="M47" s="691" t="s">
        <v>336</v>
      </c>
      <c r="N47" s="698"/>
      <c r="O47" s="699"/>
    </row>
    <row r="48" spans="1:19" ht="69" customHeight="1">
      <c r="A48" s="19"/>
      <c r="B48" s="733" t="s">
        <v>337</v>
      </c>
      <c r="C48" s="734"/>
      <c r="D48" s="735"/>
      <c r="E48" s="691" t="s">
        <v>338</v>
      </c>
      <c r="F48" s="698"/>
      <c r="G48" s="698"/>
      <c r="H48" s="698"/>
      <c r="I48" s="699"/>
      <c r="J48" s="691" t="s">
        <v>335</v>
      </c>
      <c r="K48" s="698"/>
      <c r="L48" s="699"/>
      <c r="M48" s="691" t="s">
        <v>339</v>
      </c>
      <c r="N48" s="698"/>
      <c r="O48" s="699"/>
    </row>
    <row r="49" spans="1:15" ht="78" customHeight="1">
      <c r="A49" s="19"/>
      <c r="B49" s="733" t="s">
        <v>250</v>
      </c>
      <c r="C49" s="734"/>
      <c r="D49" s="735"/>
      <c r="E49" s="691" t="s">
        <v>340</v>
      </c>
      <c r="F49" s="698"/>
      <c r="G49" s="698"/>
      <c r="H49" s="698"/>
      <c r="I49" s="699"/>
      <c r="J49" s="691" t="s">
        <v>341</v>
      </c>
      <c r="K49" s="698"/>
      <c r="L49" s="699"/>
      <c r="M49" s="691" t="s">
        <v>342</v>
      </c>
      <c r="N49" s="698"/>
      <c r="O49" s="699"/>
    </row>
    <row r="50" spans="1:15" ht="142.5" customHeight="1">
      <c r="A50" s="19"/>
      <c r="B50" s="733" t="s">
        <v>343</v>
      </c>
      <c r="C50" s="734"/>
      <c r="D50" s="735"/>
      <c r="E50" s="814" t="s">
        <v>344</v>
      </c>
      <c r="F50" s="815"/>
      <c r="G50" s="815"/>
      <c r="H50" s="815"/>
      <c r="I50" s="816"/>
      <c r="J50" s="736" t="s">
        <v>345</v>
      </c>
      <c r="K50" s="737"/>
      <c r="L50" s="738"/>
      <c r="M50" s="691" t="s">
        <v>346</v>
      </c>
      <c r="N50" s="698"/>
      <c r="O50" s="699"/>
    </row>
    <row r="51" spans="1:15" ht="152.25" customHeight="1">
      <c r="A51" s="19"/>
      <c r="B51" s="733" t="s">
        <v>253</v>
      </c>
      <c r="C51" s="734"/>
      <c r="D51" s="735"/>
      <c r="E51" s="691" t="s">
        <v>347</v>
      </c>
      <c r="F51" s="698"/>
      <c r="G51" s="698"/>
      <c r="H51" s="698"/>
      <c r="I51" s="699"/>
      <c r="J51" s="691"/>
      <c r="K51" s="698"/>
      <c r="L51" s="699"/>
      <c r="M51" s="691" t="s">
        <v>348</v>
      </c>
      <c r="N51" s="698"/>
      <c r="O51" s="699"/>
    </row>
    <row r="52" spans="1:15" ht="2.25" hidden="1" customHeight="1">
      <c r="A52" s="19"/>
      <c r="B52" s="709"/>
      <c r="C52" s="715"/>
      <c r="D52" s="716"/>
      <c r="E52" s="691"/>
      <c r="F52" s="698"/>
      <c r="G52" s="698"/>
      <c r="H52" s="698"/>
      <c r="I52" s="699"/>
      <c r="J52" s="691"/>
      <c r="K52" s="698"/>
      <c r="L52" s="699"/>
      <c r="M52" s="691"/>
      <c r="N52" s="698"/>
      <c r="O52" s="699"/>
    </row>
    <row r="53" spans="1:15" ht="27" customHeight="1">
      <c r="A53" s="19"/>
      <c r="B53" s="709"/>
      <c r="C53" s="715"/>
      <c r="D53" s="716"/>
      <c r="E53" s="688"/>
      <c r="F53" s="717"/>
      <c r="G53" s="717"/>
      <c r="H53" s="717"/>
      <c r="I53" s="718"/>
      <c r="J53" s="691"/>
      <c r="K53" s="698"/>
      <c r="L53" s="699"/>
      <c r="M53" s="691"/>
      <c r="N53" s="698"/>
      <c r="O53" s="699"/>
    </row>
    <row r="54" spans="1:15" ht="14.25" customHeight="1">
      <c r="A54" s="19"/>
      <c r="B54" s="709"/>
      <c r="C54" s="710"/>
      <c r="D54" s="711"/>
      <c r="E54" s="688"/>
      <c r="F54" s="689"/>
      <c r="G54" s="689"/>
      <c r="H54" s="689"/>
      <c r="I54" s="690"/>
      <c r="J54" s="691"/>
      <c r="K54" s="692"/>
      <c r="L54" s="693"/>
      <c r="M54" s="541"/>
      <c r="N54" s="542"/>
      <c r="O54" s="543"/>
    </row>
    <row r="55" spans="1:15" ht="119.25" hidden="1" customHeight="1">
      <c r="A55" s="19"/>
      <c r="B55" s="709"/>
      <c r="C55" s="710"/>
      <c r="D55" s="711"/>
      <c r="E55" s="688"/>
      <c r="F55" s="689"/>
      <c r="G55" s="689"/>
      <c r="H55" s="689"/>
      <c r="I55" s="690"/>
      <c r="J55" s="691"/>
      <c r="K55" s="692"/>
      <c r="L55" s="693"/>
      <c r="M55" s="691"/>
      <c r="N55" s="692"/>
      <c r="O55" s="693"/>
    </row>
    <row r="56" spans="1:15" ht="88.5" hidden="1" customHeight="1">
      <c r="A56" s="19"/>
      <c r="B56" s="709"/>
      <c r="C56" s="710"/>
      <c r="D56" s="711"/>
      <c r="E56" s="688"/>
      <c r="F56" s="689"/>
      <c r="G56" s="689"/>
      <c r="H56" s="689"/>
      <c r="I56" s="690"/>
      <c r="J56" s="691"/>
      <c r="K56" s="692"/>
      <c r="L56" s="693"/>
      <c r="M56" s="541"/>
      <c r="N56" s="542"/>
      <c r="O56" s="543"/>
    </row>
    <row r="57" spans="1:15" ht="30" customHeight="1">
      <c r="B57" s="706" t="s">
        <v>349</v>
      </c>
      <c r="C57" s="707"/>
      <c r="D57" s="708"/>
      <c r="E57" s="703" t="s">
        <v>261</v>
      </c>
      <c r="F57" s="704"/>
      <c r="G57" s="704"/>
      <c r="H57" s="704"/>
      <c r="I57" s="705"/>
      <c r="J57" s="703" t="s">
        <v>262</v>
      </c>
      <c r="K57" s="704"/>
      <c r="L57" s="705"/>
      <c r="M57" s="703" t="s">
        <v>263</v>
      </c>
      <c r="N57" s="704"/>
      <c r="O57" s="705"/>
    </row>
    <row r="58" spans="1:15" ht="33.75" customHeight="1">
      <c r="B58" s="544"/>
      <c r="C58" s="539"/>
      <c r="D58" s="539"/>
      <c r="E58" s="545"/>
      <c r="F58" s="546"/>
      <c r="G58" s="546"/>
      <c r="H58" s="546"/>
      <c r="I58" s="546"/>
      <c r="J58" s="545"/>
      <c r="K58" s="545"/>
      <c r="L58" s="547"/>
      <c r="M58" s="548"/>
      <c r="N58" s="545"/>
      <c r="O58" s="547"/>
    </row>
    <row r="59" spans="1:15" ht="15.75" customHeight="1">
      <c r="B59" s="712" t="s">
        <v>350</v>
      </c>
      <c r="C59" s="713"/>
      <c r="D59" s="713"/>
      <c r="E59" s="713"/>
      <c r="F59" s="713"/>
      <c r="G59" s="713"/>
      <c r="H59" s="713"/>
      <c r="I59" s="713"/>
      <c r="J59" s="713"/>
      <c r="K59" s="713"/>
      <c r="L59" s="714"/>
      <c r="M59" s="700" t="s">
        <v>351</v>
      </c>
      <c r="N59" s="701"/>
      <c r="O59" s="702"/>
    </row>
    <row r="60" spans="1:15">
      <c r="D60" s="154"/>
    </row>
    <row r="62" spans="1:15">
      <c r="D62" s="154"/>
    </row>
    <row r="63" spans="1:15">
      <c r="D63" s="154"/>
    </row>
    <row r="76" spans="1:1">
      <c r="A76" s="156"/>
    </row>
  </sheetData>
  <mergeCells count="174">
    <mergeCell ref="Q36:S36"/>
    <mergeCell ref="M44:O44"/>
    <mergeCell ref="M38:O38"/>
    <mergeCell ref="B39:D39"/>
    <mergeCell ref="E39:I39"/>
    <mergeCell ref="J39:L39"/>
    <mergeCell ref="M39:O39"/>
    <mergeCell ref="M40:O40"/>
    <mergeCell ref="B41:D41"/>
    <mergeCell ref="E41:I41"/>
    <mergeCell ref="J41:L41"/>
    <mergeCell ref="M41:O41"/>
    <mergeCell ref="B37:D37"/>
    <mergeCell ref="E37:I37"/>
    <mergeCell ref="J37:L37"/>
    <mergeCell ref="B40:D40"/>
    <mergeCell ref="E40:I40"/>
    <mergeCell ref="J40:L40"/>
    <mergeCell ref="M37:O37"/>
    <mergeCell ref="M42:O42"/>
    <mergeCell ref="M43:O43"/>
    <mergeCell ref="B44:D44"/>
    <mergeCell ref="E44:I44"/>
    <mergeCell ref="M51:O51"/>
    <mergeCell ref="B45:D45"/>
    <mergeCell ref="E45:I45"/>
    <mergeCell ref="J45:L45"/>
    <mergeCell ref="M45:O45"/>
    <mergeCell ref="M46:O46"/>
    <mergeCell ref="B47:D47"/>
    <mergeCell ref="J48:L48"/>
    <mergeCell ref="M48:O48"/>
    <mergeCell ref="M50:O50"/>
    <mergeCell ref="B50:D50"/>
    <mergeCell ref="E50:I50"/>
    <mergeCell ref="B51:D51"/>
    <mergeCell ref="E51:I51"/>
    <mergeCell ref="E46:I46"/>
    <mergeCell ref="J46:L46"/>
    <mergeCell ref="M47:O47"/>
    <mergeCell ref="B48:D48"/>
    <mergeCell ref="E47:I47"/>
    <mergeCell ref="J47:L47"/>
    <mergeCell ref="E48:I48"/>
    <mergeCell ref="M49:O49"/>
    <mergeCell ref="B15:D15"/>
    <mergeCell ref="B13:D13"/>
    <mergeCell ref="B12:D12"/>
    <mergeCell ref="J11:L11"/>
    <mergeCell ref="E14:I14"/>
    <mergeCell ref="M23:O24"/>
    <mergeCell ref="B25:D25"/>
    <mergeCell ref="M21:O21"/>
    <mergeCell ref="M22:O22"/>
    <mergeCell ref="B21:D21"/>
    <mergeCell ref="E21:I21"/>
    <mergeCell ref="M19:O19"/>
    <mergeCell ref="J23:L24"/>
    <mergeCell ref="J20:L20"/>
    <mergeCell ref="M20:O20"/>
    <mergeCell ref="M25:O25"/>
    <mergeCell ref="J25:L25"/>
    <mergeCell ref="J21:L21"/>
    <mergeCell ref="E18:I18"/>
    <mergeCell ref="J15:L15"/>
    <mergeCell ref="E19:I19"/>
    <mergeCell ref="B18:D18"/>
    <mergeCell ref="B19:D19"/>
    <mergeCell ref="B14:D14"/>
    <mergeCell ref="J14:L14"/>
    <mergeCell ref="M14:O14"/>
    <mergeCell ref="J13:L13"/>
    <mergeCell ref="E13:I13"/>
    <mergeCell ref="M34:O34"/>
    <mergeCell ref="B2:M2"/>
    <mergeCell ref="B5:O5"/>
    <mergeCell ref="M8:O8"/>
    <mergeCell ref="J8:L8"/>
    <mergeCell ref="E7:I7"/>
    <mergeCell ref="B7:D7"/>
    <mergeCell ref="E8:I8"/>
    <mergeCell ref="J7:L7"/>
    <mergeCell ref="M7:O7"/>
    <mergeCell ref="B8:D8"/>
    <mergeCell ref="M9:O9"/>
    <mergeCell ref="B9:D9"/>
    <mergeCell ref="E9:I9"/>
    <mergeCell ref="J9:L9"/>
    <mergeCell ref="J10:L10"/>
    <mergeCell ref="E10:I10"/>
    <mergeCell ref="M10:O10"/>
    <mergeCell ref="B10:D10"/>
    <mergeCell ref="E15:I15"/>
    <mergeCell ref="B11:D11"/>
    <mergeCell ref="E11:I11"/>
    <mergeCell ref="B46:D46"/>
    <mergeCell ref="E23:I23"/>
    <mergeCell ref="E22:I22"/>
    <mergeCell ref="M33:O33"/>
    <mergeCell ref="B30:O30"/>
    <mergeCell ref="B32:D32"/>
    <mergeCell ref="E32:I32"/>
    <mergeCell ref="J32:L32"/>
    <mergeCell ref="M32:O32"/>
    <mergeCell ref="E33:I33"/>
    <mergeCell ref="M18:O18"/>
    <mergeCell ref="J18:L18"/>
    <mergeCell ref="B16:O16"/>
    <mergeCell ref="J33:L33"/>
    <mergeCell ref="B35:D35"/>
    <mergeCell ref="J19:L19"/>
    <mergeCell ref="M11:O11"/>
    <mergeCell ref="J12:L12"/>
    <mergeCell ref="M12:O12"/>
    <mergeCell ref="E12:I12"/>
    <mergeCell ref="M15:O15"/>
    <mergeCell ref="M13:O13"/>
    <mergeCell ref="J22:L22"/>
    <mergeCell ref="B20:D20"/>
    <mergeCell ref="E20:I20"/>
    <mergeCell ref="E25:I25"/>
    <mergeCell ref="E24:I24"/>
    <mergeCell ref="B22:D22"/>
    <mergeCell ref="B23:D24"/>
    <mergeCell ref="B33:D33"/>
    <mergeCell ref="M36:O36"/>
    <mergeCell ref="E35:I35"/>
    <mergeCell ref="J35:L35"/>
    <mergeCell ref="M35:O35"/>
    <mergeCell ref="B52:D52"/>
    <mergeCell ref="E52:I52"/>
    <mergeCell ref="E53:I53"/>
    <mergeCell ref="B43:D43"/>
    <mergeCell ref="E43:I43"/>
    <mergeCell ref="J43:L43"/>
    <mergeCell ref="B36:D36"/>
    <mergeCell ref="E36:I36"/>
    <mergeCell ref="J36:L36"/>
    <mergeCell ref="B38:D38"/>
    <mergeCell ref="E38:I38"/>
    <mergeCell ref="J38:L38"/>
    <mergeCell ref="B42:D42"/>
    <mergeCell ref="E42:I42"/>
    <mergeCell ref="J42:L42"/>
    <mergeCell ref="J51:L51"/>
    <mergeCell ref="B49:D49"/>
    <mergeCell ref="E49:I49"/>
    <mergeCell ref="J49:L49"/>
    <mergeCell ref="J44:L44"/>
    <mergeCell ref="J50:L50"/>
    <mergeCell ref="E56:I56"/>
    <mergeCell ref="M55:O55"/>
    <mergeCell ref="E55:I55"/>
    <mergeCell ref="B34:D34"/>
    <mergeCell ref="E34:I34"/>
    <mergeCell ref="J34:L34"/>
    <mergeCell ref="M59:O59"/>
    <mergeCell ref="M57:O57"/>
    <mergeCell ref="J53:L53"/>
    <mergeCell ref="M52:O52"/>
    <mergeCell ref="J52:L52"/>
    <mergeCell ref="B57:D57"/>
    <mergeCell ref="M53:O53"/>
    <mergeCell ref="E57:I57"/>
    <mergeCell ref="J57:L57"/>
    <mergeCell ref="B54:D54"/>
    <mergeCell ref="B55:D55"/>
    <mergeCell ref="B56:D56"/>
    <mergeCell ref="J56:L56"/>
    <mergeCell ref="E54:I54"/>
    <mergeCell ref="J54:L54"/>
    <mergeCell ref="J55:L55"/>
    <mergeCell ref="B59:L59"/>
    <mergeCell ref="B53:D53"/>
  </mergeCells>
  <phoneticPr fontId="30" type="noConversion"/>
  <pageMargins left="0.70866141732283472" right="0.70866141732283472" top="0.74803149606299213" bottom="0.74803149606299213" header="0.31496062992125984" footer="0.31496062992125984"/>
  <pageSetup paperSize="8" orientation="landscape" r:id="rId1"/>
  <headerFooter alignWithMargins="0">
    <oddFooter>&amp;L&amp;F&amp;C&amp;A&amp;RV1.0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X17"/>
  <sheetViews>
    <sheetView showGridLines="0" zoomScale="90" zoomScaleNormal="110" zoomScaleSheetLayoutView="100" workbookViewId="0">
      <selection activeCell="C227" sqref="C227"/>
    </sheetView>
  </sheetViews>
  <sheetFormatPr defaultColWidth="11.42578125" defaultRowHeight="14.45"/>
  <cols>
    <col min="1" max="1" width="21.140625" customWidth="1"/>
    <col min="2" max="2" width="19.5703125" customWidth="1"/>
    <col min="3" max="3" width="20.5703125" customWidth="1"/>
    <col min="4" max="4" width="20.42578125" customWidth="1"/>
    <col min="5" max="5" width="10.85546875" customWidth="1"/>
    <col min="6" max="6" width="17.42578125" customWidth="1"/>
    <col min="7" max="7" width="15.5703125" customWidth="1"/>
    <col min="8" max="8" width="20.140625" bestFit="1" customWidth="1"/>
    <col min="9" max="9" width="9.42578125" customWidth="1"/>
    <col min="10" max="10" width="10.28515625" customWidth="1"/>
    <col min="11" max="11" width="11.42578125" customWidth="1"/>
    <col min="12" max="12" width="8.140625" customWidth="1"/>
    <col min="13" max="13" width="9.7109375" customWidth="1"/>
    <col min="14" max="14" width="8.5703125" customWidth="1"/>
    <col min="15" max="15" width="7.140625" customWidth="1"/>
  </cols>
  <sheetData>
    <row r="1" spans="1:24" ht="21" customHeight="1">
      <c r="G1" s="178"/>
    </row>
    <row r="2" spans="1:24" ht="25.5" customHeight="1"/>
    <row r="3" spans="1:24" ht="36">
      <c r="B3" s="825" t="str">
        <f>+"Панель показателей: "&amp;" "&amp;+IF('Ввод данных'!B4="Выберите","",'Ввод данных'!B4&amp;" - ")&amp;+IF('Ввод данных'!F6="Выберите","",'Ввод данных'!F6)</f>
        <v>Панель показателей:  Кыргызстан - ВИЧ/СПИД/ТБ</v>
      </c>
      <c r="C3" s="825"/>
      <c r="D3" s="825"/>
      <c r="E3" s="825"/>
      <c r="F3" s="825"/>
      <c r="G3" s="825"/>
      <c r="H3" s="825"/>
      <c r="I3" s="825"/>
      <c r="J3" s="825"/>
      <c r="K3" s="2"/>
      <c r="L3" s="2"/>
      <c r="M3" s="2"/>
      <c r="N3" s="3"/>
      <c r="O3" s="3"/>
      <c r="P3" s="3"/>
      <c r="Q3" s="3"/>
      <c r="R3" s="3"/>
      <c r="S3" s="3"/>
      <c r="T3" s="3"/>
    </row>
    <row r="4" spans="1:24" ht="15" customHeight="1">
      <c r="L4" s="3"/>
      <c r="M4" s="3"/>
      <c r="N4" s="3"/>
      <c r="O4" s="3"/>
      <c r="P4" s="3"/>
      <c r="Q4" s="3"/>
      <c r="R4" s="3"/>
      <c r="S4" s="3"/>
      <c r="T4" s="3"/>
    </row>
    <row r="5" spans="1:24">
      <c r="L5" s="3"/>
      <c r="M5" s="3"/>
      <c r="N5" s="3"/>
      <c r="O5" s="3"/>
      <c r="P5" s="3"/>
      <c r="Q5" s="3"/>
      <c r="R5" s="3"/>
      <c r="S5" s="3"/>
      <c r="T5" s="3"/>
    </row>
    <row r="6" spans="1:24" ht="32.25" customHeight="1">
      <c r="A6" s="459" t="s">
        <v>2</v>
      </c>
      <c r="B6" s="827" t="str">
        <f>+IF('Ввод данных'!B4="Выберите","",'Ввод данных'!B4)</f>
        <v>Кыргызстан</v>
      </c>
      <c r="C6" s="827"/>
      <c r="D6" s="831" t="s">
        <v>4</v>
      </c>
      <c r="E6" s="831"/>
      <c r="F6" s="832" t="str">
        <f>+'Ввод данных'!F4</f>
        <v>«Эффективный контроль за ВИЧ-инфекцией и туберкулезом в Кыргызской Республике»</v>
      </c>
      <c r="G6" s="832"/>
      <c r="H6" s="832"/>
      <c r="I6" s="832"/>
      <c r="J6" s="832"/>
      <c r="K6" s="35"/>
      <c r="L6" s="57"/>
      <c r="M6" s="35"/>
      <c r="N6" s="35"/>
      <c r="O6" s="35"/>
      <c r="P6" s="36"/>
      <c r="Q6" s="12"/>
      <c r="R6" s="12"/>
      <c r="S6" s="12"/>
      <c r="T6" s="12"/>
      <c r="U6" s="12"/>
    </row>
    <row r="7" spans="1:24" ht="8.25" customHeight="1">
      <c r="B7" s="4"/>
      <c r="C7" s="5"/>
      <c r="D7" s="5"/>
      <c r="E7" s="6"/>
      <c r="F7" s="6"/>
      <c r="G7" s="5"/>
      <c r="H7" s="5"/>
      <c r="K7" s="35"/>
      <c r="L7" s="35"/>
      <c r="M7" s="35"/>
      <c r="N7" s="35"/>
      <c r="O7" s="35"/>
      <c r="P7" s="36"/>
      <c r="Q7" s="12"/>
      <c r="R7" s="12"/>
      <c r="S7" s="12"/>
      <c r="T7" s="12"/>
      <c r="U7" s="12"/>
    </row>
    <row r="8" spans="1:24" ht="3.75" customHeight="1">
      <c r="C8" s="7"/>
      <c r="D8" s="7"/>
      <c r="E8" s="7"/>
      <c r="F8" s="7"/>
      <c r="G8" s="7"/>
      <c r="H8" s="7"/>
      <c r="I8" s="7"/>
      <c r="J8" s="7"/>
      <c r="K8" s="35"/>
      <c r="L8" s="35"/>
      <c r="M8" s="35"/>
      <c r="N8" s="35"/>
      <c r="O8" s="37"/>
      <c r="P8" s="36"/>
      <c r="Q8" s="37"/>
      <c r="R8" s="38"/>
      <c r="S8" s="12"/>
      <c r="T8" s="12"/>
      <c r="U8" s="12"/>
    </row>
    <row r="9" spans="1:24" ht="15.6">
      <c r="A9" s="458" t="s">
        <v>8</v>
      </c>
      <c r="B9" s="253" t="str">
        <f>+IF('Ввод данных'!F6="Please Select","",'Ввод данных'!F6)</f>
        <v>ВИЧ/СПИД/ТБ</v>
      </c>
      <c r="C9" s="155" t="s">
        <v>352</v>
      </c>
      <c r="D9" s="210" t="str">
        <f>+'Ввод данных'!B6</f>
        <v>KGZ-C-UNDP</v>
      </c>
      <c r="E9" s="829" t="s">
        <v>353</v>
      </c>
      <c r="F9" s="829"/>
      <c r="G9" s="211">
        <f>+IF(ISBLANK('Ввод данных'!B10),"",'Ввод данных'!B10)</f>
        <v>44197</v>
      </c>
      <c r="H9" s="264" t="s">
        <v>354</v>
      </c>
      <c r="I9" s="828" t="str">
        <f>+IF(ISBLANK('Ввод данных'!H6),"",'Ввод данных'!H6)</f>
        <v xml:space="preserve">34061297
</v>
      </c>
      <c r="J9" s="828"/>
      <c r="K9" s="35"/>
      <c r="L9" s="35"/>
      <c r="M9" s="35"/>
      <c r="N9" s="35"/>
      <c r="O9" s="37"/>
      <c r="P9" s="36"/>
      <c r="Q9" s="37"/>
      <c r="R9" s="38"/>
      <c r="S9" s="12"/>
      <c r="T9" s="8"/>
      <c r="U9" s="8"/>
      <c r="V9" s="7"/>
      <c r="W9" s="7"/>
      <c r="X9" s="7"/>
    </row>
    <row r="10" spans="1:24" ht="15.75" customHeight="1">
      <c r="A10" s="458" t="s">
        <v>14</v>
      </c>
      <c r="B10" s="254">
        <f>+IF('Ввод данных'!F8="Please Select","",'Ввод данных'!F8)</f>
        <v>0</v>
      </c>
      <c r="C10" s="155" t="s">
        <v>15</v>
      </c>
      <c r="D10" s="252">
        <f>+IF('Ввод данных'!H8="Please Select","",'Ввод данных'!H8)</f>
        <v>0</v>
      </c>
      <c r="E10" s="833" t="s">
        <v>12</v>
      </c>
      <c r="F10" s="1125"/>
      <c r="G10" s="826" t="str">
        <f>+'Ввод данных'!B8</f>
        <v>ПРООН</v>
      </c>
      <c r="H10" s="826"/>
      <c r="I10" s="826"/>
      <c r="J10" s="826"/>
      <c r="K10" s="12"/>
      <c r="L10" s="12"/>
      <c r="M10" s="35"/>
      <c r="N10" s="12"/>
      <c r="O10" s="37"/>
      <c r="P10" s="36"/>
      <c r="Q10" s="8"/>
      <c r="R10" s="38"/>
      <c r="S10" s="12"/>
      <c r="T10" s="8"/>
      <c r="U10" s="8"/>
    </row>
    <row r="11" spans="1:24" ht="31.5" customHeight="1">
      <c r="A11" s="458" t="s">
        <v>355</v>
      </c>
      <c r="B11" s="457" t="str">
        <f>+'Ввод данных'!B16</f>
        <v>P2</v>
      </c>
      <c r="C11" s="206" t="s">
        <v>26</v>
      </c>
      <c r="D11" s="460">
        <f>+IF(ISBLANK('Ввод данных'!D16),"",'Ввод данных'!D16)</f>
        <v>44562</v>
      </c>
      <c r="E11" s="829" t="s">
        <v>356</v>
      </c>
      <c r="F11" s="829"/>
      <c r="G11" s="460">
        <f>+IF(ISBLANK('Ввод данных'!F16),"",'Ввод данных'!F16)</f>
        <v>44926</v>
      </c>
      <c r="H11" s="263" t="s">
        <v>357</v>
      </c>
      <c r="I11" s="834" t="str">
        <f>+IF('Ввод данных'!B12="Пожалуйста Выберите","",'Ввод данных'!B12)</f>
        <v/>
      </c>
      <c r="J11" s="834"/>
      <c r="K11" s="58"/>
      <c r="L11" s="12"/>
      <c r="M11" s="35"/>
      <c r="N11" s="12"/>
      <c r="O11" s="12"/>
      <c r="P11" s="36"/>
      <c r="Q11" s="8"/>
      <c r="R11" s="38"/>
      <c r="S11" s="12"/>
      <c r="T11" s="9"/>
      <c r="U11" s="8"/>
    </row>
    <row r="12" spans="1:24" ht="31.5" customHeight="1">
      <c r="A12" s="256" t="s">
        <v>17</v>
      </c>
      <c r="B12" s="826" t="str">
        <f>+IF('Ввод данных'!F10="Пожалуйста Выберите","",'Ввод данных'!F10)</f>
        <v>UNOPS</v>
      </c>
      <c r="C12" s="826"/>
      <c r="D12" s="826"/>
      <c r="E12" s="830" t="s">
        <v>358</v>
      </c>
      <c r="F12" s="830"/>
      <c r="G12" s="826" t="str">
        <f>+'Ввод данных'!F12</f>
        <v>Алексей Бобрик</v>
      </c>
      <c r="H12" s="826"/>
      <c r="I12" s="826"/>
      <c r="J12" s="826"/>
      <c r="K12" s="12"/>
      <c r="L12" s="12"/>
      <c r="M12" s="35"/>
      <c r="N12" s="12"/>
      <c r="O12" s="12"/>
      <c r="P12" s="36"/>
      <c r="Q12" s="8"/>
      <c r="R12" s="38"/>
      <c r="S12" s="12"/>
      <c r="T12" s="8"/>
      <c r="U12" s="39"/>
      <c r="V12" s="8"/>
      <c r="W12" s="9"/>
      <c r="X12" s="8"/>
    </row>
    <row r="13" spans="1:24" ht="27.75" customHeight="1">
      <c r="A13" s="255" t="s">
        <v>359</v>
      </c>
      <c r="B13" s="826" t="str">
        <f>+'Ввод данных'!C18</f>
        <v>ПРООН</v>
      </c>
      <c r="C13" s="826"/>
      <c r="D13" s="826"/>
      <c r="E13" s="830" t="s">
        <v>360</v>
      </c>
      <c r="F13" s="830"/>
      <c r="G13" s="835">
        <f>+IF(ISBLANK('Ввод данных'!I16),"",'Ввод данных'!I16)</f>
        <v>45030</v>
      </c>
      <c r="H13" s="1125"/>
      <c r="I13" s="1125"/>
      <c r="J13" s="1125"/>
      <c r="K13" s="12"/>
      <c r="L13" s="13"/>
      <c r="M13" s="13"/>
      <c r="N13" s="13"/>
      <c r="O13" s="12"/>
      <c r="P13" s="13"/>
      <c r="Q13" s="13"/>
      <c r="R13" s="38"/>
      <c r="S13" s="12"/>
      <c r="T13" s="13"/>
      <c r="U13" s="40"/>
    </row>
    <row r="14" spans="1:24">
      <c r="A14" s="11"/>
      <c r="B14" s="11"/>
      <c r="C14" s="10"/>
      <c r="D14" s="10"/>
      <c r="E14" s="10"/>
      <c r="F14" s="10"/>
      <c r="L14" s="10"/>
      <c r="M14" s="10"/>
      <c r="N14" s="10"/>
      <c r="O14" s="10"/>
      <c r="P14" s="10"/>
      <c r="Q14" s="10"/>
      <c r="R14" s="10"/>
      <c r="S14" s="10"/>
      <c r="T14" s="10"/>
      <c r="U14" s="10"/>
    </row>
    <row r="15" spans="1:24">
      <c r="A15" s="10"/>
      <c r="B15" s="10"/>
      <c r="C15" s="10"/>
      <c r="D15" s="10"/>
      <c r="E15" s="10"/>
      <c r="F15" s="10"/>
      <c r="L15" s="10"/>
      <c r="M15" s="10"/>
      <c r="N15" s="10"/>
      <c r="O15" s="10"/>
      <c r="P15" s="10"/>
      <c r="Q15" s="10"/>
      <c r="R15" s="10"/>
      <c r="S15" s="10"/>
      <c r="T15" s="10"/>
      <c r="U15" s="10"/>
    </row>
    <row r="16" spans="1:24">
      <c r="A16" s="10"/>
      <c r="B16" s="10"/>
      <c r="C16" s="163"/>
      <c r="D16" s="10"/>
      <c r="E16" s="415"/>
      <c r="L16" s="10"/>
      <c r="M16" s="10"/>
      <c r="N16" s="10"/>
      <c r="O16" s="10"/>
      <c r="P16" s="10"/>
      <c r="Q16" s="10"/>
      <c r="R16" s="10"/>
      <c r="S16" s="10"/>
      <c r="T16" s="10"/>
      <c r="U16" s="10"/>
    </row>
    <row r="17" spans="1:5">
      <c r="A17" s="10"/>
      <c r="B17" s="10"/>
      <c r="C17" s="10"/>
      <c r="D17" s="10"/>
      <c r="E17" s="10"/>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5" priority="1" stopIfTrue="1" operator="equal">
      <formula>"C"</formula>
    </cfRule>
    <cfRule type="cellIs" dxfId="34" priority="2" stopIfTrue="1" operator="equal">
      <formula>"B2"</formula>
    </cfRule>
    <cfRule type="cellIs" dxfId="33"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8"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sheetPr>
  <dimension ref="B1:Q36"/>
  <sheetViews>
    <sheetView showGridLines="0" tabSelected="1" topLeftCell="A19" zoomScale="110" zoomScaleNormal="110" workbookViewId="0">
      <selection activeCell="K23" sqref="K23:M23"/>
    </sheetView>
  </sheetViews>
  <sheetFormatPr defaultColWidth="11" defaultRowHeight="14.45"/>
  <cols>
    <col min="1" max="1" width="3.85546875" customWidth="1"/>
    <col min="2" max="2" width="11.7109375" customWidth="1"/>
    <col min="3" max="3" width="5.140625" customWidth="1"/>
    <col min="4" max="4" width="12.42578125" customWidth="1"/>
    <col min="5" max="5" width="11.42578125" customWidth="1"/>
    <col min="6" max="6" width="14.28515625" customWidth="1"/>
    <col min="7" max="9" width="3.85546875" customWidth="1"/>
    <col min="10" max="10" width="10.28515625" customWidth="1"/>
    <col min="11" max="11" width="14.7109375" customWidth="1"/>
    <col min="12" max="12" width="12" customWidth="1"/>
    <col min="13" max="13" width="11.7109375" customWidth="1"/>
  </cols>
  <sheetData>
    <row r="1" spans="2:17" ht="30.75" customHeight="1"/>
    <row r="2" spans="2:17" ht="27.75" customHeight="1">
      <c r="B2" s="847" t="str">
        <f>+"Панель показателей:  "&amp;"  "&amp;IF(+'Ввод данных'!B4="Выберите","",'Ввод данных'!B4&amp;" - ")&amp;IF('Ввод данных'!F6="Выберите","",'Ввод данных'!F6)</f>
        <v>Панель показателей:    Кыргызстан - ВИЧ/СПИД/ТБ</v>
      </c>
      <c r="C2" s="847"/>
      <c r="D2" s="847"/>
      <c r="E2" s="847"/>
      <c r="F2" s="847"/>
      <c r="G2" s="847"/>
      <c r="H2" s="847"/>
      <c r="I2" s="847"/>
      <c r="J2" s="847"/>
      <c r="K2" s="847"/>
      <c r="L2" s="847"/>
      <c r="M2" s="847"/>
      <c r="N2" s="1"/>
      <c r="O2" s="1"/>
      <c r="P2" s="1"/>
      <c r="Q2" s="1"/>
    </row>
    <row r="3" spans="2:17">
      <c r="B3" s="257">
        <f>+IF('Ввод данных'!F8="Выберите","",'Ввод данных'!F8)</f>
        <v>0</v>
      </c>
      <c r="C3" s="852"/>
      <c r="D3" s="852"/>
      <c r="E3" s="851"/>
      <c r="F3" s="851"/>
      <c r="G3" s="851"/>
      <c r="H3" s="851"/>
      <c r="I3" s="851"/>
      <c r="J3" s="851"/>
      <c r="K3" s="849" t="str">
        <f>+'Ввод данных'!A16</f>
        <v>Отчетный период</v>
      </c>
      <c r="L3" s="849"/>
      <c r="M3" s="140" t="str">
        <f>+'Ввод данных'!B16</f>
        <v>P2</v>
      </c>
      <c r="N3" s="58"/>
    </row>
    <row r="4" spans="2:17" ht="21.95">
      <c r="B4" s="265" t="str">
        <f>+'Ввод данных'!A12</f>
        <v>Последняя оценка:</v>
      </c>
      <c r="C4" s="853" t="str">
        <f>+IF('Ввод данных'!B12="Выберите","",'Ввод данных'!B12)</f>
        <v>Пожалуйста выберите</v>
      </c>
      <c r="D4" s="853"/>
      <c r="E4" s="851" t="str">
        <f>+'Ввод данных'!B8</f>
        <v>ПРООН</v>
      </c>
      <c r="F4" s="851"/>
      <c r="G4" s="851"/>
      <c r="H4" s="851"/>
      <c r="I4" s="851"/>
      <c r="J4" s="851"/>
      <c r="K4" s="849" t="str">
        <f>+'Ввод данных'!C16</f>
        <v>с:</v>
      </c>
      <c r="L4" s="850"/>
      <c r="M4" s="141">
        <f>+IF(ISBLANK('Ввод данных'!D16),"",'Ввод данных'!D16)</f>
        <v>44562</v>
      </c>
    </row>
    <row r="5" spans="2:17" ht="18.75" customHeight="1">
      <c r="B5" s="90"/>
      <c r="C5" s="90"/>
      <c r="D5" s="848" t="str">
        <f>+'Ввод данных'!F4</f>
        <v>«Эффективный контроль за ВИЧ-инфекцией и туберкулезом в Кыргызской Республике»</v>
      </c>
      <c r="E5" s="848"/>
      <c r="F5" s="848"/>
      <c r="G5" s="848"/>
      <c r="H5" s="848"/>
      <c r="I5" s="848"/>
      <c r="J5" s="848"/>
      <c r="K5" s="848"/>
      <c r="L5" s="90" t="str">
        <f>+'Ввод данных'!E16</f>
        <v>до:</v>
      </c>
      <c r="M5" s="141">
        <f>+IF(ISBLANK('Ввод данных'!F16),"",'Ввод данных'!F16)</f>
        <v>44926</v>
      </c>
    </row>
    <row r="6" spans="2:17" ht="18.600000000000001">
      <c r="B6" s="15"/>
      <c r="C6" s="90"/>
      <c r="D6" s="88"/>
      <c r="E6" s="836" t="s">
        <v>361</v>
      </c>
      <c r="F6" s="836"/>
      <c r="G6" s="836"/>
      <c r="H6" s="836"/>
      <c r="I6" s="836"/>
      <c r="J6" s="836"/>
    </row>
    <row r="7" spans="2:17" ht="10.5" customHeight="1">
      <c r="B7" s="15"/>
      <c r="C7" s="90"/>
      <c r="D7" s="91"/>
      <c r="E7" s="92"/>
      <c r="F7" s="92"/>
      <c r="G7" s="92"/>
      <c r="H7" s="92"/>
      <c r="I7" s="92"/>
      <c r="J7" s="92"/>
      <c r="K7" s="461"/>
      <c r="L7" s="461"/>
      <c r="M7" s="89"/>
    </row>
    <row r="8" spans="2:17">
      <c r="B8" s="144" t="str">
        <f>+'Ввод данных'!A27&amp; " - в ("&amp;'Ввод данных'!C26&amp;")  "&amp;+K3&amp;" "&amp;+M3</f>
        <v>F1: Бюджет и выплаты Глобальным фондом - в ($)  Отчетный период P2</v>
      </c>
      <c r="C8" s="93"/>
      <c r="J8" s="144" t="str">
        <f>+'Ввод данных'!A66&amp; " - в ("&amp;'Ввод данных'!C26&amp;")         "&amp;+K3&amp;" "&amp;+M3</f>
        <v>F3: Выплаты и расходы - в ($)         Отчетный период P2</v>
      </c>
    </row>
    <row r="9" spans="2:17" ht="21.75" customHeight="1">
      <c r="B9" s="212" t="s">
        <v>362</v>
      </c>
      <c r="C9" s="844" t="s">
        <v>363</v>
      </c>
      <c r="D9" s="845"/>
      <c r="E9" s="845"/>
      <c r="F9" s="846"/>
      <c r="J9" s="213" t="s">
        <v>362</v>
      </c>
      <c r="K9" s="854" t="s">
        <v>364</v>
      </c>
      <c r="L9" s="845"/>
      <c r="M9" s="846"/>
    </row>
    <row r="22" spans="2:13" ht="17.25" customHeight="1">
      <c r="B22" s="144" t="str">
        <f>+'Ввод данных'!A36&amp; " - в ("&amp;'Ввод данных'!C26&amp;")  "&amp;+K3&amp;" "&amp;+M3</f>
        <v>F2: Бюджет и фактические расходы согласно задачам гранта - в ($)  Отчетный период P2</v>
      </c>
      <c r="J22" s="144" t="str">
        <f>+'Ввод данных'!A75&amp;"      "&amp;+K3&amp;" "&amp;+M3</f>
        <v>F4: Последний отчетный и платежный цикл ОР      Отчетный период P2</v>
      </c>
    </row>
    <row r="23" spans="2:13" ht="25.5" customHeight="1">
      <c r="B23" s="212" t="s">
        <v>362</v>
      </c>
      <c r="C23" s="854" t="s">
        <v>365</v>
      </c>
      <c r="D23" s="845"/>
      <c r="E23" s="845"/>
      <c r="F23" s="846"/>
      <c r="G23" s="224"/>
      <c r="H23" s="224"/>
      <c r="I23" s="224"/>
      <c r="J23" s="212" t="s">
        <v>362</v>
      </c>
      <c r="K23" s="854" t="s">
        <v>366</v>
      </c>
      <c r="L23" s="855"/>
      <c r="M23" s="856"/>
    </row>
    <row r="24" spans="2:13" ht="15" thickBot="1">
      <c r="B24" s="151"/>
      <c r="C24" s="151"/>
      <c r="D24" s="151"/>
      <c r="E24" s="151"/>
      <c r="F24" s="151"/>
      <c r="G24" s="151"/>
      <c r="H24" s="151"/>
      <c r="I24" s="151"/>
      <c r="J24" s="151"/>
      <c r="K24" s="151"/>
      <c r="L24" s="151"/>
      <c r="M24" s="151"/>
    </row>
    <row r="25" spans="2:13" ht="29.25" customHeight="1" thickBot="1">
      <c r="G25" s="204"/>
      <c r="H25" s="204"/>
      <c r="I25" s="204"/>
      <c r="J25" s="837" t="s">
        <v>114</v>
      </c>
      <c r="K25" s="838"/>
      <c r="L25" s="838"/>
      <c r="M25" s="839"/>
    </row>
    <row r="26" spans="2:13" ht="24.6">
      <c r="J26" s="840"/>
      <c r="K26" s="841"/>
      <c r="L26" s="193" t="s">
        <v>115</v>
      </c>
      <c r="M26" s="194" t="s">
        <v>116</v>
      </c>
    </row>
    <row r="27" spans="2:13" ht="23.25" customHeight="1">
      <c r="G27" s="205"/>
      <c r="H27" s="205"/>
      <c r="I27" s="205"/>
      <c r="J27" s="842" t="str">
        <f>'Ввод данных'!A79</f>
        <v xml:space="preserve">Сколько дней понадобилось для подачи ИОР/ЗПС в офис МАФ </v>
      </c>
      <c r="K27" s="843"/>
      <c r="L27" s="195">
        <f>+'Ввод данных'!C79</f>
        <v>60</v>
      </c>
      <c r="M27" s="192">
        <f>+'Ввод данных'!D79</f>
        <v>59</v>
      </c>
    </row>
    <row r="28" spans="2:13" ht="21" customHeight="1">
      <c r="G28" s="205"/>
      <c r="H28" s="205"/>
      <c r="I28" s="205"/>
      <c r="J28" s="842" t="str">
        <f>'Ввод данных'!A80</f>
        <v xml:space="preserve">Спустя сколько дней ОР получил платеж </v>
      </c>
      <c r="K28" s="843"/>
      <c r="L28" s="195" t="str">
        <f>+'Ввод данных'!C80</f>
        <v>н/п</v>
      </c>
      <c r="M28" s="192" t="str">
        <f>+'Ввод данных'!D80</f>
        <v>н/п</v>
      </c>
    </row>
    <row r="29" spans="2:13" ht="21" customHeight="1" thickBot="1">
      <c r="G29" s="205"/>
      <c r="H29" s="205"/>
      <c r="I29" s="205"/>
      <c r="J29" s="857" t="str">
        <f>'Ввод данных'!A81</f>
        <v>Спустя сколько дней суб-реципиенты получили платежи</v>
      </c>
      <c r="K29" s="858"/>
      <c r="L29" s="196" t="str">
        <f>+'Ввод данных'!C81</f>
        <v>н/п</v>
      </c>
      <c r="M29" s="197" t="str">
        <f>+'Ввод данных'!D81</f>
        <v>н/п</v>
      </c>
    </row>
    <row r="31" spans="2:13">
      <c r="D31" s="164"/>
    </row>
    <row r="32" spans="2:13">
      <c r="D32" s="164"/>
    </row>
    <row r="34" spans="2:2">
      <c r="B34" s="147" t="s">
        <v>367</v>
      </c>
    </row>
    <row r="35" spans="2:2">
      <c r="B35" s="157"/>
    </row>
    <row r="36" spans="2:2">
      <c r="B36" s="147" t="s">
        <v>368</v>
      </c>
    </row>
  </sheetData>
  <sheetProtection password="CFC9" sheet="1"/>
  <mergeCells count="18">
    <mergeCell ref="J28:K28"/>
    <mergeCell ref="J29:K29"/>
    <mergeCell ref="B2:M2"/>
    <mergeCell ref="D5:K5"/>
    <mergeCell ref="K4:L4"/>
    <mergeCell ref="K3:L3"/>
    <mergeCell ref="E3:J3"/>
    <mergeCell ref="C3:D3"/>
    <mergeCell ref="C4:D4"/>
    <mergeCell ref="E4:J4"/>
    <mergeCell ref="E6:J6"/>
    <mergeCell ref="J25:M25"/>
    <mergeCell ref="J26:K26"/>
    <mergeCell ref="J27:K27"/>
    <mergeCell ref="C9:F9"/>
    <mergeCell ref="K23:M23"/>
    <mergeCell ref="C23:F23"/>
    <mergeCell ref="K9:M9"/>
  </mergeCells>
  <phoneticPr fontId="30" type="noConversion"/>
  <conditionalFormatting sqref="C4:D4">
    <cfRule type="cellIs" dxfId="32" priority="3" stopIfTrue="1" operator="equal">
      <formula>"C"</formula>
    </cfRule>
    <cfRule type="cellIs" dxfId="31" priority="4" stopIfTrue="1" operator="equal">
      <formula>"B2"</formula>
    </cfRule>
    <cfRule type="cellIs" dxfId="30" priority="5" stopIfTrue="1" operator="equal">
      <formula>"B1"</formula>
    </cfRule>
  </conditionalFormatting>
  <conditionalFormatting sqref="M27:M29">
    <cfRule type="expression" dxfId="29" priority="1" stopIfTrue="1">
      <formula>$M27&gt;$L27</formula>
    </cfRule>
    <cfRule type="expression" dxfId="28" priority="2" stopIfTrue="1">
      <formula>$M27&lt;=$L27</formula>
    </cfRule>
  </conditionalFormatting>
  <pageMargins left="0.70866141732283472" right="0.70866141732283472" top="0.74803149606299213" bottom="0.74803149606299213" header="0.31496062992125984" footer="0.31496062992125984"/>
  <pageSetup paperSize="8"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1"/>
  </sheetPr>
  <dimension ref="B1:AI71"/>
  <sheetViews>
    <sheetView showGridLines="0" topLeftCell="I8" zoomScale="70" zoomScaleNormal="70" workbookViewId="0">
      <selection activeCell="M9" sqref="M9:Q9"/>
    </sheetView>
  </sheetViews>
  <sheetFormatPr defaultColWidth="11" defaultRowHeight="14.45"/>
  <cols>
    <col min="1" max="1" width="3.42578125" customWidth="1"/>
    <col min="2" max="2" width="14.140625" customWidth="1"/>
    <col min="3" max="3" width="16.140625" customWidth="1"/>
    <col min="4" max="4" width="26.140625" customWidth="1"/>
    <col min="5" max="5" width="14.42578125" customWidth="1"/>
    <col min="6" max="6" width="11.5703125" customWidth="1"/>
    <col min="7" max="7" width="5.7109375" customWidth="1"/>
    <col min="8" max="8" width="6.28515625" customWidth="1"/>
    <col min="9" max="9" width="6" customWidth="1"/>
    <col min="10" max="10" width="5.5703125" customWidth="1"/>
    <col min="11" max="11" width="21.5703125" customWidth="1"/>
    <col min="12" max="12" width="12.28515625" customWidth="1"/>
    <col min="13" max="13" width="5" customWidth="1"/>
    <col min="14" max="14" width="6.5703125" customWidth="1"/>
    <col min="15" max="15" width="4.140625" customWidth="1"/>
    <col min="16" max="16" width="10.7109375" customWidth="1"/>
    <col min="17" max="17" width="53" customWidth="1"/>
    <col min="18" max="18" width="87.28515625" customWidth="1"/>
    <col min="19" max="19" width="21.42578125" customWidth="1"/>
  </cols>
  <sheetData>
    <row r="1" spans="2:35" ht="26.25" customHeight="1"/>
    <row r="2" spans="2:35" ht="21.75" customHeight="1">
      <c r="B2" s="847" t="str">
        <f>+"Панель показателей:  "&amp;"  "&amp;IF(+'Ввод данных'!B4="Выберите","",'Ввод данных'!B4&amp;" - ")&amp;IF('Ввод данных'!F6="Выберите","",'Ввод данных'!F6)</f>
        <v>Панель показателей:    Кыргызстан - ВИЧ/СПИД/ТБ</v>
      </c>
      <c r="C2" s="847"/>
      <c r="D2" s="847"/>
      <c r="E2" s="847"/>
      <c r="F2" s="847"/>
      <c r="G2" s="847"/>
      <c r="H2" s="847"/>
      <c r="I2" s="847"/>
      <c r="J2" s="847"/>
      <c r="K2" s="847"/>
      <c r="L2" s="847"/>
      <c r="M2" s="847"/>
      <c r="N2" s="847"/>
      <c r="O2" s="847"/>
      <c r="P2" s="847"/>
      <c r="Q2" s="847"/>
    </row>
    <row r="3" spans="2:35" ht="18.600000000000001">
      <c r="B3" s="90">
        <f>+IF('Ввод данных'!F8="Выберите","",'Ввод данных'!F8)</f>
        <v>0</v>
      </c>
      <c r="C3" s="852">
        <f>+IF('Ввод данных'!H8="Выберите","",'Ввод данных'!H8)</f>
        <v>0</v>
      </c>
      <c r="D3" s="852"/>
      <c r="E3" s="851"/>
      <c r="F3" s="851"/>
      <c r="G3" s="851"/>
      <c r="H3" s="851"/>
      <c r="I3" s="599"/>
      <c r="J3" s="599"/>
      <c r="K3" s="599"/>
      <c r="O3" s="849" t="str">
        <f>+'Ввод данных'!A16</f>
        <v>Отчетный период</v>
      </c>
      <c r="P3" s="849"/>
      <c r="Q3" s="140" t="str">
        <f>+'Ввод данных'!B16</f>
        <v>P2</v>
      </c>
    </row>
    <row r="4" spans="2:35">
      <c r="B4" s="268" t="str">
        <f>+'Ввод данных'!A12</f>
        <v>Последняя оценка:</v>
      </c>
      <c r="C4" s="940" t="str">
        <f>+IF('Ввод данных'!B12="Выберите","",'Ввод данных'!B12)</f>
        <v>Пожалуйста выберите</v>
      </c>
      <c r="D4" s="940"/>
      <c r="E4" s="851" t="str">
        <f>+'Ввод данных'!B8</f>
        <v>ПРООН</v>
      </c>
      <c r="F4" s="851"/>
      <c r="G4" s="851"/>
      <c r="H4" s="851"/>
      <c r="I4" s="851"/>
      <c r="J4" s="851"/>
      <c r="K4" s="851"/>
      <c r="L4" s="851"/>
      <c r="O4" s="15"/>
      <c r="P4" s="90" t="str">
        <f>+'Ввод данных'!C16</f>
        <v>с:</v>
      </c>
      <c r="Q4" s="556">
        <v>44562</v>
      </c>
      <c r="Y4" s="12"/>
      <c r="Z4" s="12"/>
      <c r="AA4" s="12"/>
      <c r="AB4" s="12"/>
      <c r="AC4" s="12"/>
    </row>
    <row r="5" spans="2:35" ht="15.75" customHeight="1">
      <c r="B5" s="90"/>
      <c r="C5" s="90"/>
      <c r="D5" s="851" t="str">
        <f>+'Ввод данных'!F4</f>
        <v>«Эффективный контроль за ВИЧ-инфекцией и туберкулезом в Кыргызской Республике»</v>
      </c>
      <c r="E5" s="851"/>
      <c r="F5" s="851"/>
      <c r="G5" s="851"/>
      <c r="H5" s="851"/>
      <c r="I5" s="851"/>
      <c r="J5" s="851"/>
      <c r="K5" s="851"/>
      <c r="L5" s="851"/>
      <c r="M5" s="851"/>
      <c r="N5" s="851"/>
      <c r="P5" s="90" t="str">
        <f>+'Ввод данных'!E16</f>
        <v>до:</v>
      </c>
      <c r="Q5" s="556">
        <v>44926</v>
      </c>
      <c r="S5" s="156"/>
      <c r="T5" s="156"/>
      <c r="U5" s="156"/>
      <c r="V5" s="156"/>
      <c r="W5" s="156"/>
      <c r="X5" s="156"/>
      <c r="Y5" s="12"/>
      <c r="Z5" s="12"/>
      <c r="AA5" s="12" t="s">
        <v>369</v>
      </c>
      <c r="AB5" s="12"/>
      <c r="AC5" s="12" t="s">
        <v>370</v>
      </c>
      <c r="AD5" s="156"/>
      <c r="AE5" s="156"/>
      <c r="AF5" s="156"/>
      <c r="AG5" s="156"/>
      <c r="AH5" s="156"/>
      <c r="AI5" s="156"/>
    </row>
    <row r="6" spans="2:35" ht="15.75" customHeight="1">
      <c r="B6" s="90"/>
      <c r="C6" s="90"/>
      <c r="D6" s="462"/>
      <c r="E6" s="863" t="s">
        <v>371</v>
      </c>
      <c r="F6" s="864"/>
      <c r="G6" s="864"/>
      <c r="H6" s="864"/>
      <c r="I6" s="864"/>
      <c r="J6" s="864"/>
      <c r="K6" s="864"/>
      <c r="L6" s="864"/>
      <c r="O6" s="142"/>
      <c r="P6" s="345"/>
      <c r="S6" s="156"/>
      <c r="T6" s="156"/>
      <c r="U6" s="156"/>
      <c r="V6" s="156"/>
      <c r="W6" s="156"/>
      <c r="X6" s="156"/>
      <c r="Y6" s="12"/>
      <c r="Z6" s="12"/>
      <c r="AA6" s="12"/>
      <c r="AB6" s="12"/>
      <c r="AC6" s="12"/>
      <c r="AD6" s="156"/>
      <c r="AE6" s="156"/>
      <c r="AF6" s="156"/>
      <c r="AG6" s="156"/>
      <c r="AH6" s="156"/>
      <c r="AI6" s="156"/>
    </row>
    <row r="7" spans="2:35" ht="3" customHeight="1">
      <c r="B7" s="90"/>
      <c r="C7" s="90"/>
      <c r="D7" s="462"/>
      <c r="E7" s="462"/>
      <c r="F7" s="462"/>
      <c r="G7" s="462"/>
      <c r="H7" s="462"/>
      <c r="I7" s="462"/>
      <c r="J7" s="462"/>
      <c r="K7" s="462"/>
      <c r="L7" s="462"/>
      <c r="O7" s="142"/>
      <c r="P7" s="141"/>
      <c r="Q7" s="141"/>
      <c r="S7" s="156"/>
      <c r="T7" s="156"/>
      <c r="U7" s="156"/>
      <c r="V7" s="156"/>
      <c r="W7" s="156"/>
      <c r="X7" s="156"/>
      <c r="Y7" s="12"/>
      <c r="Z7" s="12"/>
      <c r="AA7" s="12"/>
      <c r="AB7" s="12"/>
      <c r="AC7" s="12"/>
      <c r="AD7" s="156"/>
      <c r="AE7" s="156"/>
      <c r="AF7" s="156"/>
      <c r="AG7" s="156"/>
      <c r="AH7" s="156"/>
      <c r="AI7" s="156"/>
    </row>
    <row r="8" spans="2:35" ht="60.75" customHeight="1">
      <c r="B8" s="941" t="s">
        <v>214</v>
      </c>
      <c r="C8" s="941"/>
      <c r="D8" s="941"/>
      <c r="E8" s="941"/>
      <c r="F8" s="941" t="s">
        <v>219</v>
      </c>
      <c r="G8" s="941"/>
      <c r="H8" s="941"/>
      <c r="I8" s="941"/>
      <c r="J8" s="941"/>
      <c r="K8" s="941"/>
      <c r="L8" s="941" t="s">
        <v>220</v>
      </c>
      <c r="M8" s="941"/>
      <c r="N8" s="941"/>
      <c r="O8" s="941"/>
      <c r="P8" s="941"/>
      <c r="Q8" s="941"/>
      <c r="S8" s="156"/>
      <c r="T8" s="156"/>
      <c r="U8" s="156"/>
      <c r="V8" s="156"/>
      <c r="W8" s="156"/>
      <c r="X8" s="156"/>
      <c r="Y8" s="12"/>
      <c r="Z8" s="12"/>
      <c r="AA8" s="12"/>
      <c r="AB8" s="12"/>
      <c r="AC8" s="12"/>
      <c r="AD8" s="156"/>
      <c r="AE8" s="156"/>
      <c r="AF8" s="156"/>
      <c r="AG8" s="156"/>
      <c r="AH8" s="156"/>
      <c r="AI8" s="156"/>
    </row>
    <row r="9" spans="2:35" ht="140.25" customHeight="1">
      <c r="B9" s="519" t="s">
        <v>372</v>
      </c>
      <c r="C9" s="942" t="s">
        <v>373</v>
      </c>
      <c r="D9" s="943"/>
      <c r="E9" s="943"/>
      <c r="F9" s="520" t="s">
        <v>372</v>
      </c>
      <c r="G9" s="942" t="s">
        <v>374</v>
      </c>
      <c r="H9" s="944"/>
      <c r="I9" s="944"/>
      <c r="J9" s="944"/>
      <c r="K9" s="945"/>
      <c r="L9" s="520" t="s">
        <v>372</v>
      </c>
      <c r="M9" s="946" t="s">
        <v>375</v>
      </c>
      <c r="N9" s="947"/>
      <c r="O9" s="947"/>
      <c r="P9" s="947"/>
      <c r="Q9" s="948"/>
      <c r="S9" s="382"/>
      <c r="T9" s="156"/>
      <c r="U9" s="156"/>
      <c r="V9" s="156"/>
      <c r="W9" s="156"/>
      <c r="X9" s="156"/>
      <c r="Y9" s="156"/>
      <c r="Z9" s="156"/>
      <c r="AA9" s="156"/>
      <c r="AB9" s="156"/>
      <c r="AC9" s="156"/>
      <c r="AD9" s="156"/>
      <c r="AE9" s="156"/>
      <c r="AF9" s="156"/>
      <c r="AG9" s="156"/>
      <c r="AH9" s="156"/>
      <c r="AI9" s="156"/>
    </row>
    <row r="10" spans="2:35" ht="18.75" customHeight="1">
      <c r="B10" s="90"/>
      <c r="C10" s="90"/>
      <c r="D10" s="462"/>
      <c r="E10" s="462"/>
      <c r="F10" s="462"/>
      <c r="G10" s="462"/>
      <c r="H10" s="462"/>
      <c r="I10" s="462"/>
      <c r="J10" s="462"/>
      <c r="K10" s="462"/>
      <c r="L10" s="462"/>
      <c r="O10" s="142"/>
      <c r="P10" s="141"/>
      <c r="S10" s="156"/>
      <c r="T10" s="156"/>
      <c r="U10" s="156"/>
      <c r="V10" s="156"/>
      <c r="W10" s="156"/>
      <c r="X10" s="156"/>
      <c r="Y10" s="156"/>
      <c r="Z10" s="156"/>
      <c r="AA10" s="156"/>
      <c r="AB10" s="156"/>
      <c r="AC10" s="156"/>
      <c r="AD10" s="156"/>
      <c r="AE10" s="156"/>
      <c r="AF10" s="156"/>
      <c r="AG10" s="156"/>
      <c r="AH10" s="156"/>
      <c r="AI10" s="156"/>
    </row>
    <row r="11" spans="2:35" ht="18.75" customHeight="1">
      <c r="B11" s="90"/>
      <c r="C11" s="90"/>
      <c r="D11" s="462"/>
      <c r="E11" s="462"/>
      <c r="F11" s="462"/>
      <c r="G11" s="462"/>
      <c r="H11" s="462"/>
      <c r="I11" s="462"/>
      <c r="J11" s="462"/>
      <c r="K11" s="462"/>
      <c r="L11" s="462"/>
      <c r="O11" s="142"/>
      <c r="P11" s="141"/>
      <c r="S11" s="156"/>
      <c r="T11" s="156"/>
      <c r="U11" s="156"/>
      <c r="V11" s="156"/>
      <c r="W11" s="156"/>
      <c r="X11" s="156"/>
      <c r="Y11" s="156"/>
      <c r="Z11" s="156"/>
      <c r="AA11" s="156"/>
      <c r="AB11" s="156"/>
      <c r="AC11" s="156"/>
      <c r="AD11" s="156"/>
      <c r="AE11" s="156"/>
      <c r="AF11" s="156"/>
      <c r="AG11" s="156"/>
      <c r="AH11" s="156"/>
      <c r="AI11" s="156"/>
    </row>
    <row r="12" spans="2:35" ht="18.75" customHeight="1">
      <c r="B12" s="90"/>
      <c r="C12" s="90"/>
      <c r="D12" s="462"/>
      <c r="E12" s="462"/>
      <c r="F12" s="462"/>
      <c r="G12" s="462"/>
      <c r="H12" s="462"/>
      <c r="I12" s="462"/>
      <c r="J12" s="462"/>
      <c r="K12" s="462"/>
      <c r="L12" s="462"/>
      <c r="O12" s="142"/>
      <c r="P12" s="141"/>
      <c r="S12" s="156"/>
      <c r="T12" s="156"/>
      <c r="U12" s="156"/>
      <c r="V12" s="156"/>
      <c r="W12" s="156"/>
      <c r="X12" s="156"/>
      <c r="Y12" s="156"/>
      <c r="Z12" s="156"/>
      <c r="AA12" s="156"/>
      <c r="AB12" s="156"/>
      <c r="AC12" s="156"/>
      <c r="AD12" s="156"/>
      <c r="AE12" s="156"/>
      <c r="AF12" s="156"/>
      <c r="AG12" s="156"/>
      <c r="AH12" s="156"/>
      <c r="AI12" s="156"/>
    </row>
    <row r="13" spans="2:35" ht="18.75" customHeight="1">
      <c r="B13" s="90"/>
      <c r="C13" s="90"/>
      <c r="D13" s="462"/>
      <c r="E13" s="462"/>
      <c r="F13" s="462"/>
      <c r="G13" s="462"/>
      <c r="H13" s="462"/>
      <c r="I13" s="462"/>
      <c r="J13" s="462"/>
      <c r="K13" s="462"/>
      <c r="L13" s="462"/>
      <c r="O13" s="142"/>
      <c r="P13" s="141"/>
      <c r="S13" s="156"/>
      <c r="T13" s="156"/>
      <c r="U13" s="156"/>
      <c r="V13" s="156"/>
      <c r="W13" s="156"/>
      <c r="X13" s="156"/>
      <c r="Y13" s="156"/>
      <c r="Z13" s="156"/>
      <c r="AA13" s="156"/>
      <c r="AB13" s="156"/>
      <c r="AC13" s="156"/>
      <c r="AD13" s="156"/>
      <c r="AE13" s="156"/>
      <c r="AF13" s="156"/>
      <c r="AG13" s="156"/>
      <c r="AH13" s="156"/>
      <c r="AI13" s="156"/>
    </row>
    <row r="14" spans="2:35" ht="18.75" customHeight="1">
      <c r="B14" s="90"/>
      <c r="C14" s="90"/>
      <c r="D14" s="462"/>
      <c r="E14" s="462"/>
      <c r="F14" s="462"/>
      <c r="G14" s="462"/>
      <c r="H14" s="462"/>
      <c r="I14" s="462"/>
      <c r="J14" s="462"/>
      <c r="K14" s="462"/>
      <c r="L14" s="462"/>
      <c r="O14" s="142"/>
      <c r="P14" s="141"/>
      <c r="S14" s="156"/>
      <c r="T14" s="156"/>
      <c r="U14" s="156"/>
      <c r="V14" s="156"/>
      <c r="W14" s="156"/>
      <c r="X14" s="156"/>
      <c r="Y14" s="156"/>
      <c r="Z14" s="156"/>
      <c r="AA14" s="156"/>
      <c r="AB14" s="156"/>
      <c r="AC14" s="156"/>
      <c r="AD14" s="156"/>
      <c r="AE14" s="156"/>
      <c r="AF14" s="156"/>
      <c r="AG14" s="156"/>
      <c r="AH14" s="156"/>
      <c r="AI14" s="156"/>
    </row>
    <row r="15" spans="2:35" ht="18.75" customHeight="1">
      <c r="B15" s="90"/>
      <c r="C15" s="90"/>
      <c r="D15" s="462"/>
      <c r="E15" s="462"/>
      <c r="F15" s="462"/>
      <c r="G15" s="462"/>
      <c r="H15" s="462"/>
      <c r="I15" s="462"/>
      <c r="J15" s="462"/>
      <c r="K15" s="462"/>
      <c r="L15" s="462"/>
      <c r="O15" s="142"/>
      <c r="P15" s="141"/>
      <c r="S15" s="156"/>
      <c r="T15" s="156"/>
      <c r="U15" s="156"/>
      <c r="V15" s="156"/>
      <c r="W15" s="156"/>
      <c r="X15" s="156"/>
      <c r="Y15" s="156"/>
      <c r="Z15" s="156"/>
      <c r="AA15" s="156"/>
      <c r="AB15" s="156"/>
      <c r="AC15" s="156"/>
      <c r="AD15" s="156"/>
      <c r="AE15" s="156"/>
      <c r="AF15" s="156"/>
      <c r="AG15" s="156"/>
      <c r="AH15" s="156"/>
      <c r="AI15" s="156"/>
    </row>
    <row r="16" spans="2:35" ht="18.75" customHeight="1">
      <c r="B16" s="90"/>
      <c r="C16" s="90"/>
      <c r="D16" s="462"/>
      <c r="E16" s="462"/>
      <c r="F16" s="462"/>
      <c r="G16" s="462"/>
      <c r="H16" s="462"/>
      <c r="I16" s="462"/>
      <c r="J16" s="462"/>
      <c r="K16" s="462"/>
      <c r="L16" s="462"/>
      <c r="O16" s="142"/>
      <c r="P16" s="141"/>
      <c r="S16" s="156"/>
      <c r="T16" s="156"/>
      <c r="U16" s="156"/>
      <c r="V16" s="156"/>
      <c r="W16" s="156"/>
      <c r="X16" s="156"/>
      <c r="Y16" s="156"/>
      <c r="Z16" s="156"/>
      <c r="AA16" s="156"/>
      <c r="AB16" s="156"/>
      <c r="AC16" s="156"/>
      <c r="AD16" s="156"/>
      <c r="AE16" s="156"/>
      <c r="AF16" s="156"/>
      <c r="AG16" s="156"/>
      <c r="AH16" s="156"/>
      <c r="AI16" s="156"/>
    </row>
    <row r="17" spans="2:35" ht="18.75" customHeight="1">
      <c r="B17" s="90"/>
      <c r="C17" s="90"/>
      <c r="D17" s="462"/>
      <c r="E17" s="462"/>
      <c r="F17" s="462"/>
      <c r="G17" s="462"/>
      <c r="H17" s="462"/>
      <c r="I17" s="462"/>
      <c r="J17" s="462"/>
      <c r="K17" s="462"/>
      <c r="L17" s="462"/>
      <c r="O17" s="142"/>
      <c r="P17" s="141"/>
      <c r="S17" s="156"/>
      <c r="T17" s="156"/>
      <c r="U17" s="156"/>
      <c r="V17" s="156"/>
      <c r="W17" s="156"/>
      <c r="X17" s="156"/>
      <c r="Y17" s="156"/>
      <c r="Z17" s="156"/>
      <c r="AA17" s="156"/>
      <c r="AB17" s="156"/>
      <c r="AC17" s="156"/>
      <c r="AD17" s="156"/>
      <c r="AE17" s="156"/>
      <c r="AF17" s="156"/>
      <c r="AG17" s="156"/>
      <c r="AH17" s="156"/>
      <c r="AI17" s="156"/>
    </row>
    <row r="18" spans="2:35" ht="18.75" customHeight="1">
      <c r="B18" s="90"/>
      <c r="C18" s="90"/>
      <c r="D18" s="462"/>
      <c r="E18" s="462"/>
      <c r="F18" s="462"/>
      <c r="G18" s="462"/>
      <c r="H18" s="462"/>
      <c r="I18" s="462"/>
      <c r="J18" s="462"/>
      <c r="K18" s="462"/>
      <c r="L18" s="462"/>
      <c r="O18" s="142"/>
      <c r="P18" s="141"/>
      <c r="S18" s="156"/>
      <c r="T18" s="156"/>
      <c r="U18" s="156"/>
      <c r="V18" s="156"/>
      <c r="W18" s="156"/>
      <c r="X18" s="156"/>
      <c r="Y18" s="156"/>
      <c r="Z18" s="156"/>
      <c r="AA18" s="156"/>
      <c r="AB18" s="156"/>
      <c r="AC18" s="156"/>
      <c r="AD18" s="156"/>
      <c r="AE18" s="156"/>
      <c r="AF18" s="156"/>
      <c r="AG18" s="156"/>
      <c r="AH18" s="156"/>
      <c r="AI18" s="156"/>
    </row>
    <row r="19" spans="2:35" ht="17.25" customHeight="1">
      <c r="B19" s="90"/>
      <c r="C19" s="90"/>
      <c r="D19" s="462"/>
      <c r="E19" s="462"/>
      <c r="F19" s="462"/>
      <c r="G19" s="462"/>
      <c r="H19" s="462"/>
      <c r="I19" s="462"/>
      <c r="J19" s="462"/>
      <c r="K19" s="462"/>
      <c r="L19" s="462"/>
      <c r="O19" s="142"/>
      <c r="P19" s="141"/>
      <c r="S19" s="156"/>
      <c r="T19" s="156"/>
      <c r="U19" s="156"/>
      <c r="V19" s="156"/>
      <c r="W19" s="156"/>
      <c r="X19" s="156"/>
      <c r="Y19" s="156"/>
      <c r="Z19" s="156"/>
      <c r="AA19" s="156"/>
      <c r="AB19" s="156"/>
      <c r="AC19" s="156"/>
      <c r="AD19" s="156"/>
      <c r="AE19" s="156"/>
      <c r="AF19" s="156"/>
      <c r="AG19" s="156"/>
      <c r="AH19" s="156"/>
      <c r="AI19" s="156"/>
    </row>
    <row r="20" spans="2:35" ht="6" customHeight="1">
      <c r="B20" s="15"/>
      <c r="C20" s="90"/>
      <c r="D20" s="88"/>
      <c r="E20" s="901"/>
      <c r="F20" s="901"/>
      <c r="G20" s="901"/>
      <c r="H20" s="901"/>
      <c r="I20" s="901"/>
      <c r="J20" s="901"/>
      <c r="K20" s="901"/>
      <c r="S20" s="156"/>
      <c r="T20" s="156"/>
      <c r="U20" s="156"/>
      <c r="V20" s="156"/>
      <c r="W20" s="156"/>
      <c r="X20" s="156"/>
      <c r="Y20" s="156"/>
      <c r="Z20" s="156"/>
      <c r="AA20" s="156"/>
      <c r="AB20" s="156"/>
      <c r="AC20" s="156"/>
      <c r="AD20" s="156"/>
      <c r="AE20" s="156"/>
      <c r="AF20" s="156"/>
      <c r="AG20" s="156"/>
      <c r="AH20" s="156"/>
      <c r="AI20" s="156"/>
    </row>
    <row r="21" spans="2:35" ht="45" customHeight="1">
      <c r="B21" s="949" t="s">
        <v>376</v>
      </c>
      <c r="C21" s="949"/>
      <c r="D21" s="949"/>
      <c r="E21" s="467" t="s">
        <v>217</v>
      </c>
      <c r="F21" s="467" t="s">
        <v>247</v>
      </c>
      <c r="G21" s="934" t="s">
        <v>377</v>
      </c>
      <c r="H21" s="935"/>
      <c r="I21" s="882" t="s">
        <v>378</v>
      </c>
      <c r="J21" s="883"/>
      <c r="K21" s="346" t="s">
        <v>379</v>
      </c>
      <c r="L21" s="872" t="s">
        <v>380</v>
      </c>
      <c r="M21" s="873"/>
      <c r="N21" s="873"/>
      <c r="O21" s="873"/>
      <c r="P21" s="873"/>
      <c r="Q21" s="874"/>
      <c r="S21" s="46" t="s">
        <v>381</v>
      </c>
      <c r="T21" s="47">
        <v>0</v>
      </c>
      <c r="U21" s="48">
        <v>0.3</v>
      </c>
      <c r="V21" s="48">
        <v>0.6</v>
      </c>
      <c r="W21" s="48">
        <v>0.9</v>
      </c>
      <c r="X21" s="48">
        <v>1</v>
      </c>
      <c r="Y21" s="12"/>
      <c r="Z21" s="12"/>
      <c r="AA21" s="46" t="s">
        <v>381</v>
      </c>
      <c r="AB21" s="47">
        <v>0</v>
      </c>
      <c r="AC21" s="48">
        <v>0.2</v>
      </c>
      <c r="AD21" s="48">
        <v>0.4</v>
      </c>
      <c r="AE21" s="48">
        <v>0.6</v>
      </c>
      <c r="AF21" s="48">
        <v>0.8</v>
      </c>
      <c r="AG21" s="12"/>
      <c r="AH21" s="12"/>
      <c r="AI21" s="12"/>
    </row>
    <row r="22" spans="2:35" ht="63" customHeight="1">
      <c r="B22" s="884" t="s">
        <v>214</v>
      </c>
      <c r="C22" s="885"/>
      <c r="D22" s="886"/>
      <c r="E22" s="521">
        <v>0.72</v>
      </c>
      <c r="F22" s="523" t="s">
        <v>382</v>
      </c>
      <c r="G22" s="869">
        <v>0.97</v>
      </c>
      <c r="H22" s="870"/>
      <c r="I22" s="870"/>
      <c r="J22" s="870"/>
      <c r="K22" s="871"/>
      <c r="L22" s="862" t="s">
        <v>383</v>
      </c>
      <c r="M22" s="862"/>
      <c r="N22" s="862"/>
      <c r="O22" s="862"/>
      <c r="P22" s="862"/>
      <c r="Q22" s="862"/>
      <c r="S22" s="46" t="s">
        <v>384</v>
      </c>
      <c r="T22" s="48">
        <v>0.3</v>
      </c>
      <c r="U22" s="48">
        <v>0.6</v>
      </c>
      <c r="V22" s="48">
        <v>0.9</v>
      </c>
      <c r="W22" s="48">
        <v>1</v>
      </c>
      <c r="X22" s="48">
        <v>2</v>
      </c>
      <c r="Y22" s="12"/>
      <c r="Z22" s="12"/>
      <c r="AA22" s="46" t="s">
        <v>384</v>
      </c>
      <c r="AB22" s="48">
        <v>0.2</v>
      </c>
      <c r="AC22" s="48">
        <v>0.4</v>
      </c>
      <c r="AD22" s="48">
        <v>0.6</v>
      </c>
      <c r="AE22" s="48">
        <v>0.8</v>
      </c>
      <c r="AF22" s="48">
        <v>1</v>
      </c>
      <c r="AG22" s="12"/>
      <c r="AH22" s="12"/>
      <c r="AI22" s="12"/>
    </row>
    <row r="23" spans="2:35" ht="44.25" customHeight="1">
      <c r="B23" s="887" t="s">
        <v>219</v>
      </c>
      <c r="C23" s="887"/>
      <c r="D23" s="887"/>
      <c r="E23" s="522" t="s">
        <v>385</v>
      </c>
      <c r="F23" s="580">
        <v>0.92069999999999996</v>
      </c>
      <c r="G23" s="869">
        <v>1.02</v>
      </c>
      <c r="H23" s="870"/>
      <c r="I23" s="870"/>
      <c r="J23" s="870"/>
      <c r="K23" s="871"/>
      <c r="L23" s="862" t="s">
        <v>386</v>
      </c>
      <c r="M23" s="862"/>
      <c r="N23" s="862"/>
      <c r="O23" s="862"/>
      <c r="P23" s="862"/>
      <c r="Q23" s="862"/>
      <c r="S23" s="49"/>
      <c r="T23" s="50" t="str">
        <f>"de "&amp;T21&amp;" a "&amp;T22</f>
        <v>de 0 a 0.3</v>
      </c>
      <c r="U23" s="50" t="str">
        <f>"de "&amp;U21&amp;" a "&amp;U22</f>
        <v>de 0.3 a 0.6</v>
      </c>
      <c r="V23" s="50" t="str">
        <f>"de "&amp;V21&amp;" a "&amp;V22</f>
        <v>de 0.6 a 0.9</v>
      </c>
      <c r="W23" s="50" t="str">
        <f>"de "&amp;W21&amp;" a "&amp;W22</f>
        <v>de 0.9 a 1</v>
      </c>
      <c r="X23" s="50" t="str">
        <f>"de "&amp;X21&amp;" a "&amp;X22</f>
        <v>de 1 a 2</v>
      </c>
      <c r="Y23" s="12"/>
      <c r="Z23" s="12" t="s">
        <v>387</v>
      </c>
      <c r="AA23" s="49" t="s">
        <v>370</v>
      </c>
      <c r="AB23" s="50" t="str">
        <f>"de "&amp;AB21&amp;" a "&amp;AB22</f>
        <v>de 0 a 0.2</v>
      </c>
      <c r="AC23" s="50" t="str">
        <f>"de "&amp;AC21&amp;" a "&amp;AC22</f>
        <v>de 0.2 a 0.4</v>
      </c>
      <c r="AD23" s="50" t="str">
        <f>"de "&amp;AD21&amp;" a "&amp;AD22</f>
        <v>de 0.4 a 0.6</v>
      </c>
      <c r="AE23" s="50" t="str">
        <f>"de "&amp;AE21&amp;" a "&amp;AE22</f>
        <v>de 0.6 a 0.8</v>
      </c>
      <c r="AF23" s="50" t="str">
        <f>"de "&amp;AF21&amp;" a "&amp;AF22</f>
        <v>de 0.8 a 1</v>
      </c>
      <c r="AG23" s="12"/>
      <c r="AH23" s="12"/>
      <c r="AI23" s="12"/>
    </row>
    <row r="24" spans="2:35" ht="234.95" customHeight="1">
      <c r="B24" s="866" t="s">
        <v>220</v>
      </c>
      <c r="C24" s="867"/>
      <c r="D24" s="868"/>
      <c r="E24" s="522" t="s">
        <v>388</v>
      </c>
      <c r="F24" s="523" t="s">
        <v>389</v>
      </c>
      <c r="G24" s="869">
        <v>0.71</v>
      </c>
      <c r="H24" s="870"/>
      <c r="I24" s="870"/>
      <c r="J24" s="870"/>
      <c r="K24" s="871"/>
      <c r="L24" s="888" t="s">
        <v>390</v>
      </c>
      <c r="M24" s="927"/>
      <c r="N24" s="927"/>
      <c r="O24" s="927"/>
      <c r="P24" s="927"/>
      <c r="Q24" s="928"/>
      <c r="S24" s="49"/>
      <c r="T24" s="50"/>
      <c r="U24" s="50"/>
      <c r="V24" s="50"/>
      <c r="W24" s="50"/>
      <c r="X24" s="50"/>
      <c r="Y24" s="12"/>
      <c r="Z24" s="12"/>
      <c r="AA24" s="49"/>
      <c r="AB24" s="50"/>
      <c r="AC24" s="50"/>
      <c r="AD24" s="50"/>
      <c r="AE24" s="50"/>
      <c r="AF24" s="50"/>
      <c r="AG24" s="12"/>
      <c r="AH24" s="12"/>
      <c r="AI24" s="12"/>
    </row>
    <row r="25" spans="2:35" ht="233.25" customHeight="1">
      <c r="B25" s="884" t="s">
        <v>221</v>
      </c>
      <c r="C25" s="885"/>
      <c r="D25" s="886"/>
      <c r="E25" s="522" t="s">
        <v>391</v>
      </c>
      <c r="F25" s="523" t="s">
        <v>392</v>
      </c>
      <c r="G25" s="936">
        <v>0.72</v>
      </c>
      <c r="H25" s="937"/>
      <c r="I25" s="937"/>
      <c r="J25" s="937"/>
      <c r="K25" s="938"/>
      <c r="L25" s="939" t="s">
        <v>393</v>
      </c>
      <c r="M25" s="939"/>
      <c r="N25" s="939"/>
      <c r="O25" s="939"/>
      <c r="P25" s="939"/>
      <c r="Q25" s="939"/>
      <c r="R25" s="280"/>
      <c r="S25" s="49"/>
      <c r="T25" s="48" t="e">
        <f>IF($K23&gt;T$21,IF($K23&lt;=T$22,$K23,NA()),NA())</f>
        <v>#N/A</v>
      </c>
      <c r="U25" s="48" t="e">
        <f>IF($K23&gt;U$21,IF($K23&lt;=U$22,$K23,NA()),NA())</f>
        <v>#N/A</v>
      </c>
      <c r="V25" s="48" t="e">
        <f>IF($K23&gt;V$21,IF($K23&lt;=V$22,$K23,NA()),NA())</f>
        <v>#N/A</v>
      </c>
      <c r="W25" s="48" t="e">
        <f>IF($K23&gt;W$21,IF($K23&lt;=W$22,$K23,NA()),NA())</f>
        <v>#N/A</v>
      </c>
      <c r="X25" s="48" t="e">
        <f>IF($K23&gt;X$21,IF($K23&lt;=X$22,1,1),NA())</f>
        <v>#N/A</v>
      </c>
      <c r="Y25" s="12"/>
      <c r="Z25" s="139" t="e">
        <v>#REF!</v>
      </c>
      <c r="AA25" s="48" t="e">
        <f>+IF(Z25="A1",1,IF(Z25="A2",0.8,IF(Z25="B1",0.6,IF(Z25="B2",0.4,0.2))))</f>
        <v>#REF!</v>
      </c>
      <c r="AB25" s="48" t="e">
        <f>IF($AA25&gt;AB$21,IF($AA25&lt;=AB$22,$AA25,NA()),NA())</f>
        <v>#REF!</v>
      </c>
      <c r="AC25" s="48" t="e">
        <f t="shared" ref="AC25:AF26" si="0">IF($AA25&gt;AC$21,IF($AA25&lt;=AC$22,$AA25,NA()),NA())</f>
        <v>#REF!</v>
      </c>
      <c r="AD25" s="48" t="e">
        <f t="shared" si="0"/>
        <v>#REF!</v>
      </c>
      <c r="AE25" s="48" t="e">
        <f t="shared" si="0"/>
        <v>#REF!</v>
      </c>
      <c r="AF25" s="48" t="e">
        <f t="shared" si="0"/>
        <v>#REF!</v>
      </c>
      <c r="AG25" s="12"/>
      <c r="AH25" s="12"/>
      <c r="AI25" s="12"/>
    </row>
    <row r="26" spans="2:35" ht="63.6" customHeight="1">
      <c r="B26" s="884" t="s">
        <v>222</v>
      </c>
      <c r="C26" s="885"/>
      <c r="D26" s="886"/>
      <c r="E26" s="522" t="s">
        <v>394</v>
      </c>
      <c r="F26" s="523" t="s">
        <v>395</v>
      </c>
      <c r="G26" s="936">
        <v>1.06</v>
      </c>
      <c r="H26" s="937"/>
      <c r="I26" s="937"/>
      <c r="J26" s="937"/>
      <c r="K26" s="938"/>
      <c r="L26" s="939" t="s">
        <v>396</v>
      </c>
      <c r="M26" s="939"/>
      <c r="N26" s="939"/>
      <c r="O26" s="939"/>
      <c r="P26" s="939"/>
      <c r="Q26" s="939"/>
      <c r="R26" s="382"/>
      <c r="S26" s="49"/>
      <c r="T26" s="48" t="e">
        <f>IF(#REF!&gt;T$21,IF(#REF!&lt;=T$22,#REF!,NA()),NA())</f>
        <v>#REF!</v>
      </c>
      <c r="U26" s="48" t="e">
        <f>IF(#REF!&gt;U$21,IF(#REF!&lt;=U$22,#REF!,NA()),NA())</f>
        <v>#REF!</v>
      </c>
      <c r="V26" s="48" t="e">
        <f>IF(#REF!&gt;V$21,IF(#REF!&lt;=V$22,#REF!,NA()),NA())</f>
        <v>#REF!</v>
      </c>
      <c r="W26" s="48" t="e">
        <f>IF(#REF!&gt;W$21,IF(#REF!&lt;=W$22,#REF!,NA()),NA())</f>
        <v>#REF!</v>
      </c>
      <c r="X26" s="48" t="e">
        <f>IF(#REF!&gt;X$21,IF(#REF!&lt;=X$22,1,NA()),NA())</f>
        <v>#REF!</v>
      </c>
      <c r="Y26" s="12"/>
      <c r="Z26" s="139" t="e">
        <v>#REF!</v>
      </c>
      <c r="AA26" s="48" t="e">
        <f>+IF(Z26="A1",1,IF(Z26="A2",0.8,IF(Z26="B1",0.6,IF(Z26="B2",0.4,0.2))))</f>
        <v>#REF!</v>
      </c>
      <c r="AB26" s="48" t="e">
        <f>IF($AA26&gt;AB$21,IF($AA26&lt;=AB$22,$AA26,NA()),NA())</f>
        <v>#REF!</v>
      </c>
      <c r="AC26" s="48" t="e">
        <f t="shared" si="0"/>
        <v>#REF!</v>
      </c>
      <c r="AD26" s="48" t="e">
        <f t="shared" si="0"/>
        <v>#REF!</v>
      </c>
      <c r="AE26" s="48" t="e">
        <f t="shared" si="0"/>
        <v>#REF!</v>
      </c>
      <c r="AF26" s="48" t="e">
        <f t="shared" si="0"/>
        <v>#REF!</v>
      </c>
      <c r="AG26" s="12"/>
      <c r="AH26" s="12"/>
      <c r="AI26" s="12"/>
    </row>
    <row r="27" spans="2:35" ht="117.6" customHeight="1">
      <c r="B27" s="884" t="s">
        <v>223</v>
      </c>
      <c r="C27" s="885"/>
      <c r="D27" s="886"/>
      <c r="E27" s="522" t="s">
        <v>397</v>
      </c>
      <c r="F27" s="523" t="s">
        <v>398</v>
      </c>
      <c r="G27" s="869">
        <v>0.84</v>
      </c>
      <c r="H27" s="870"/>
      <c r="I27" s="870"/>
      <c r="J27" s="870"/>
      <c r="K27" s="871"/>
      <c r="L27" s="926" t="s">
        <v>399</v>
      </c>
      <c r="M27" s="926"/>
      <c r="N27" s="926"/>
      <c r="O27" s="926"/>
      <c r="P27" s="926"/>
      <c r="Q27" s="926"/>
      <c r="R27" s="382"/>
      <c r="S27" s="49"/>
      <c r="T27" s="48"/>
      <c r="U27" s="48"/>
      <c r="V27" s="48"/>
      <c r="W27" s="48"/>
      <c r="X27" s="48"/>
      <c r="Y27" s="12"/>
      <c r="Z27" s="139"/>
      <c r="AA27" s="347"/>
      <c r="AB27" s="347"/>
      <c r="AC27" s="347"/>
      <c r="AD27" s="347"/>
      <c r="AE27" s="347"/>
      <c r="AF27" s="347"/>
      <c r="AG27" s="12"/>
      <c r="AH27" s="12"/>
      <c r="AI27" s="12"/>
    </row>
    <row r="28" spans="2:35" ht="180.95" customHeight="1">
      <c r="B28" s="884" t="s">
        <v>224</v>
      </c>
      <c r="C28" s="885"/>
      <c r="D28" s="886"/>
      <c r="E28" s="522" t="s">
        <v>400</v>
      </c>
      <c r="F28" s="523" t="s">
        <v>401</v>
      </c>
      <c r="G28" s="869">
        <v>1.1100000000000001</v>
      </c>
      <c r="H28" s="870"/>
      <c r="I28" s="870"/>
      <c r="J28" s="870"/>
      <c r="K28" s="871"/>
      <c r="L28" s="888" t="s">
        <v>402</v>
      </c>
      <c r="M28" s="889"/>
      <c r="N28" s="889"/>
      <c r="O28" s="889"/>
      <c r="P28" s="889"/>
      <c r="Q28" s="890"/>
      <c r="R28" s="382"/>
      <c r="S28" s="49"/>
      <c r="T28" s="48" t="e">
        <f t="shared" ref="T28:W29" si="1">IF($K25&gt;T$21,IF($K25&lt;=T$22,$K25,NA()),NA())</f>
        <v>#N/A</v>
      </c>
      <c r="U28" s="48" t="e">
        <f t="shared" si="1"/>
        <v>#N/A</v>
      </c>
      <c r="V28" s="48" t="e">
        <f t="shared" si="1"/>
        <v>#N/A</v>
      </c>
      <c r="W28" s="48" t="e">
        <f t="shared" si="1"/>
        <v>#N/A</v>
      </c>
      <c r="X28" s="48" t="e">
        <f>IF($K25&gt;X$21,IF($K25&lt;=X$22,1,NA()),NA())</f>
        <v>#N/A</v>
      </c>
      <c r="Y28" s="12"/>
      <c r="Z28" s="12"/>
      <c r="AA28" s="12"/>
      <c r="AB28" s="12"/>
      <c r="AC28" s="12"/>
      <c r="AD28" s="12"/>
      <c r="AE28" s="12"/>
      <c r="AF28" s="12"/>
      <c r="AG28" s="12"/>
      <c r="AH28" s="12"/>
      <c r="AI28" s="12"/>
    </row>
    <row r="29" spans="2:35" ht="73.5" customHeight="1">
      <c r="B29" s="866" t="s">
        <v>227</v>
      </c>
      <c r="C29" s="867"/>
      <c r="D29" s="868"/>
      <c r="E29" s="522" t="s">
        <v>403</v>
      </c>
      <c r="F29" s="523" t="s">
        <v>404</v>
      </c>
      <c r="G29" s="920">
        <v>1.02</v>
      </c>
      <c r="H29" s="921"/>
      <c r="I29" s="921"/>
      <c r="J29" s="921"/>
      <c r="K29" s="922"/>
      <c r="L29" s="888" t="s">
        <v>405</v>
      </c>
      <c r="M29" s="927"/>
      <c r="N29" s="927"/>
      <c r="O29" s="927"/>
      <c r="P29" s="927"/>
      <c r="Q29" s="928"/>
      <c r="R29" s="382"/>
      <c r="S29" s="49"/>
      <c r="T29" s="48" t="e">
        <f t="shared" si="1"/>
        <v>#N/A</v>
      </c>
      <c r="U29" s="48" t="e">
        <f t="shared" si="1"/>
        <v>#N/A</v>
      </c>
      <c r="V29" s="48" t="e">
        <f t="shared" si="1"/>
        <v>#N/A</v>
      </c>
      <c r="W29" s="48" t="e">
        <f t="shared" si="1"/>
        <v>#N/A</v>
      </c>
      <c r="X29" s="48" t="e">
        <f>IF($K26&gt;X$21,IF($K26&lt;=X$22,1,NA()),NA())</f>
        <v>#N/A</v>
      </c>
      <c r="Y29" s="12"/>
      <c r="Z29" s="12"/>
      <c r="AA29" s="12"/>
      <c r="AB29" s="12"/>
      <c r="AC29" s="12"/>
      <c r="AD29" s="12"/>
      <c r="AE29" s="12"/>
      <c r="AF29" s="12"/>
      <c r="AG29" s="12"/>
      <c r="AH29" s="12"/>
      <c r="AI29" s="12"/>
    </row>
    <row r="30" spans="2:35" ht="72" customHeight="1">
      <c r="B30" s="866" t="s">
        <v>230</v>
      </c>
      <c r="C30" s="867"/>
      <c r="D30" s="868"/>
      <c r="E30" s="522" t="s">
        <v>406</v>
      </c>
      <c r="F30" s="523" t="s">
        <v>407</v>
      </c>
      <c r="G30" s="923">
        <v>0.85</v>
      </c>
      <c r="H30" s="929"/>
      <c r="I30" s="929"/>
      <c r="J30" s="929"/>
      <c r="K30" s="930"/>
      <c r="L30" s="931" t="s">
        <v>408</v>
      </c>
      <c r="M30" s="932"/>
      <c r="N30" s="932"/>
      <c r="O30" s="932"/>
      <c r="P30" s="932"/>
      <c r="Q30" s="933"/>
      <c r="R30" s="382"/>
      <c r="S30" s="49"/>
      <c r="T30" s="48"/>
      <c r="U30" s="48"/>
      <c r="V30" s="48"/>
      <c r="W30" s="48"/>
      <c r="X30" s="48"/>
      <c r="Y30" s="12"/>
      <c r="Z30" s="12"/>
      <c r="AA30" s="12"/>
      <c r="AB30" s="12"/>
      <c r="AC30" s="12"/>
      <c r="AD30" s="12"/>
      <c r="AE30" s="12"/>
      <c r="AF30" s="12"/>
      <c r="AG30" s="12"/>
      <c r="AH30" s="12"/>
      <c r="AI30" s="12"/>
    </row>
    <row r="31" spans="2:35" ht="70.5" customHeight="1">
      <c r="B31" s="866" t="s">
        <v>233</v>
      </c>
      <c r="C31" s="867"/>
      <c r="D31" s="868"/>
      <c r="E31" s="522" t="s">
        <v>231</v>
      </c>
      <c r="F31" s="523" t="s">
        <v>409</v>
      </c>
      <c r="G31" s="923">
        <v>1.02</v>
      </c>
      <c r="H31" s="924"/>
      <c r="I31" s="924"/>
      <c r="J31" s="924"/>
      <c r="K31" s="925"/>
      <c r="L31" s="888" t="s">
        <v>410</v>
      </c>
      <c r="M31" s="927"/>
      <c r="N31" s="927"/>
      <c r="O31" s="927"/>
      <c r="P31" s="927"/>
      <c r="Q31" s="928"/>
      <c r="R31" s="538"/>
      <c r="S31" s="49"/>
      <c r="T31" s="48"/>
      <c r="U31" s="48"/>
      <c r="V31" s="48"/>
      <c r="W31" s="48"/>
      <c r="X31" s="48"/>
      <c r="Y31" s="12"/>
      <c r="Z31" s="12"/>
      <c r="AA31" s="12"/>
      <c r="AB31" s="12"/>
      <c r="AC31" s="12"/>
      <c r="AD31" s="12"/>
      <c r="AE31" s="12"/>
      <c r="AF31" s="12"/>
      <c r="AG31" s="12"/>
      <c r="AH31" s="12"/>
      <c r="AI31" s="12"/>
    </row>
    <row r="32" spans="2:35" ht="171.95" customHeight="1">
      <c r="B32" s="866" t="s">
        <v>235</v>
      </c>
      <c r="C32" s="867"/>
      <c r="D32" s="868"/>
      <c r="E32" s="521">
        <v>1</v>
      </c>
      <c r="F32" s="521">
        <v>0.98</v>
      </c>
      <c r="G32" s="869">
        <v>0.98</v>
      </c>
      <c r="H32" s="870"/>
      <c r="I32" s="870"/>
      <c r="J32" s="870"/>
      <c r="K32" s="871"/>
      <c r="L32" s="862" t="s">
        <v>411</v>
      </c>
      <c r="M32" s="862"/>
      <c r="N32" s="862"/>
      <c r="O32" s="862"/>
      <c r="P32" s="862"/>
      <c r="Q32" s="862"/>
      <c r="R32" s="382"/>
      <c r="S32" s="49"/>
      <c r="T32" s="48" t="e">
        <f t="shared" ref="T32:W33" si="2">IF($K28&gt;T$21,IF($K28&lt;=T$22,$K28,NA()),NA())</f>
        <v>#N/A</v>
      </c>
      <c r="U32" s="48" t="e">
        <f t="shared" si="2"/>
        <v>#N/A</v>
      </c>
      <c r="V32" s="48" t="e">
        <f t="shared" si="2"/>
        <v>#N/A</v>
      </c>
      <c r="W32" s="48" t="e">
        <f t="shared" si="2"/>
        <v>#N/A</v>
      </c>
      <c r="X32" s="48" t="e">
        <f>IF($K28&gt;X$21,IF($K28&lt;=X$22,1,NA()),NA())</f>
        <v>#N/A</v>
      </c>
      <c r="Y32" s="12"/>
      <c r="Z32" s="12"/>
      <c r="AA32" s="12"/>
      <c r="AB32" s="12"/>
      <c r="AC32" s="12"/>
      <c r="AD32" s="12"/>
      <c r="AE32" s="12"/>
      <c r="AF32" s="12"/>
      <c r="AG32" s="12"/>
      <c r="AH32" s="12"/>
      <c r="AI32" s="12"/>
    </row>
    <row r="33" spans="2:35" ht="55.5" customHeight="1">
      <c r="B33" s="866" t="s">
        <v>238</v>
      </c>
      <c r="C33" s="867"/>
      <c r="D33" s="868"/>
      <c r="E33" s="522" t="s">
        <v>412</v>
      </c>
      <c r="F33" s="523" t="s">
        <v>413</v>
      </c>
      <c r="G33" s="869">
        <v>1.02</v>
      </c>
      <c r="H33" s="870"/>
      <c r="I33" s="870"/>
      <c r="J33" s="870"/>
      <c r="K33" s="871"/>
      <c r="L33" s="862" t="s">
        <v>414</v>
      </c>
      <c r="M33" s="862"/>
      <c r="N33" s="862"/>
      <c r="O33" s="862"/>
      <c r="P33" s="862"/>
      <c r="Q33" s="862"/>
      <c r="R33" s="382"/>
      <c r="S33" s="49"/>
      <c r="T33" s="48" t="e">
        <f t="shared" si="2"/>
        <v>#N/A</v>
      </c>
      <c r="U33" s="48" t="e">
        <f t="shared" si="2"/>
        <v>#N/A</v>
      </c>
      <c r="V33" s="48" t="e">
        <f t="shared" si="2"/>
        <v>#N/A</v>
      </c>
      <c r="W33" s="48" t="e">
        <f t="shared" si="2"/>
        <v>#N/A</v>
      </c>
      <c r="X33" s="48" t="e">
        <f>IF($K29&gt;X$21,IF($K29&lt;=X$22,1,NA()),NA())</f>
        <v>#N/A</v>
      </c>
      <c r="Y33" s="12"/>
      <c r="Z33" s="12"/>
      <c r="AA33" s="12"/>
      <c r="AB33" s="12"/>
      <c r="AC33" s="12"/>
      <c r="AD33" s="12"/>
      <c r="AE33" s="12"/>
      <c r="AF33" s="12"/>
      <c r="AG33" s="12"/>
      <c r="AH33" s="12"/>
      <c r="AI33" s="12"/>
    </row>
    <row r="34" spans="2:35" ht="18.600000000000001">
      <c r="E34" s="466"/>
      <c r="F34" s="863" t="s">
        <v>415</v>
      </c>
      <c r="G34" s="864"/>
      <c r="H34" s="864"/>
      <c r="I34" s="864"/>
      <c r="J34" s="864"/>
      <c r="K34" s="864"/>
      <c r="L34" s="864"/>
      <c r="M34" s="864"/>
    </row>
    <row r="35" spans="2:35" ht="59.25" customHeight="1">
      <c r="B35" s="880" t="s">
        <v>245</v>
      </c>
      <c r="C35" s="881"/>
      <c r="D35" s="881"/>
      <c r="E35" s="881"/>
      <c r="F35" s="881" t="s">
        <v>416</v>
      </c>
      <c r="G35" s="881"/>
      <c r="H35" s="881"/>
      <c r="I35" s="881"/>
      <c r="J35" s="881"/>
      <c r="K35" s="881"/>
      <c r="L35" s="881" t="s">
        <v>417</v>
      </c>
      <c r="M35" s="881"/>
      <c r="N35" s="881"/>
      <c r="O35" s="881"/>
      <c r="P35" s="881"/>
      <c r="Q35" s="881"/>
      <c r="S35" s="156"/>
      <c r="T35" s="156"/>
      <c r="U35" s="156"/>
      <c r="V35" s="156"/>
      <c r="W35" s="156"/>
      <c r="X35" s="156"/>
      <c r="Y35" s="12"/>
      <c r="Z35" s="12"/>
      <c r="AA35" s="12"/>
      <c r="AB35" s="12"/>
      <c r="AC35" s="12"/>
      <c r="AD35" s="156"/>
      <c r="AE35" s="156"/>
      <c r="AF35" s="156"/>
      <c r="AG35" s="156"/>
      <c r="AH35" s="156"/>
      <c r="AI35" s="156"/>
    </row>
    <row r="36" spans="2:35" ht="132.75" customHeight="1">
      <c r="B36" s="557" t="s">
        <v>362</v>
      </c>
      <c r="C36" s="859" t="s">
        <v>418</v>
      </c>
      <c r="D36" s="860"/>
      <c r="E36" s="861"/>
      <c r="F36" s="558" t="s">
        <v>362</v>
      </c>
      <c r="G36" s="859" t="s">
        <v>419</v>
      </c>
      <c r="H36" s="860"/>
      <c r="I36" s="860"/>
      <c r="J36" s="860"/>
      <c r="K36" s="861"/>
      <c r="L36" s="558" t="s">
        <v>362</v>
      </c>
      <c r="M36" s="859" t="s">
        <v>420</v>
      </c>
      <c r="N36" s="860"/>
      <c r="O36" s="860"/>
      <c r="P36" s="860"/>
      <c r="Q36" s="865"/>
      <c r="S36" s="156"/>
      <c r="T36" s="156"/>
      <c r="U36" s="156"/>
      <c r="V36" s="156"/>
      <c r="W36" s="156"/>
      <c r="X36" s="156"/>
      <c r="Y36" s="156"/>
      <c r="Z36" s="156"/>
      <c r="AA36" s="156"/>
      <c r="AB36" s="156"/>
      <c r="AC36" s="156"/>
      <c r="AD36" s="156"/>
      <c r="AE36" s="156"/>
      <c r="AF36" s="156"/>
      <c r="AG36" s="156"/>
      <c r="AH36" s="156"/>
      <c r="AI36" s="156"/>
    </row>
    <row r="37" spans="2:35" ht="18.75" customHeight="1">
      <c r="B37" s="90"/>
      <c r="C37" s="90"/>
      <c r="D37" s="462"/>
      <c r="E37" s="462"/>
      <c r="F37" s="462"/>
      <c r="G37" s="462"/>
      <c r="H37" s="462"/>
      <c r="I37" s="462"/>
      <c r="J37" s="462"/>
      <c r="K37" s="462"/>
      <c r="L37" s="462"/>
      <c r="O37" s="142"/>
      <c r="P37" s="141"/>
      <c r="S37" s="156"/>
      <c r="T37" s="156"/>
      <c r="U37" s="156"/>
      <c r="V37" s="156"/>
      <c r="W37" s="156"/>
      <c r="X37" s="156"/>
      <c r="Y37" s="156"/>
      <c r="Z37" s="156"/>
      <c r="AA37" s="156"/>
      <c r="AB37" s="156"/>
      <c r="AC37" s="156"/>
      <c r="AD37" s="156"/>
      <c r="AE37" s="156"/>
      <c r="AF37" s="156"/>
      <c r="AG37" s="156"/>
      <c r="AH37" s="156"/>
      <c r="AI37" s="156"/>
    </row>
    <row r="38" spans="2:35" ht="18.75" customHeight="1">
      <c r="B38" s="90"/>
      <c r="C38" s="90"/>
      <c r="D38" s="462"/>
      <c r="E38" s="462"/>
      <c r="F38" s="462"/>
      <c r="G38" s="462"/>
      <c r="H38" s="462"/>
      <c r="I38" s="462"/>
      <c r="J38" s="462"/>
      <c r="K38" s="462"/>
      <c r="L38" s="462"/>
      <c r="O38" s="142"/>
      <c r="P38" s="141"/>
      <c r="S38" s="156"/>
      <c r="T38" s="156"/>
      <c r="U38" s="156"/>
      <c r="V38" s="156"/>
      <c r="W38" s="156"/>
      <c r="X38" s="156"/>
      <c r="Y38" s="156"/>
      <c r="Z38" s="156"/>
      <c r="AA38" s="156"/>
      <c r="AB38" s="156"/>
      <c r="AC38" s="156"/>
      <c r="AD38" s="156"/>
      <c r="AE38" s="156"/>
      <c r="AF38" s="156"/>
      <c r="AG38" s="156"/>
      <c r="AH38" s="156"/>
      <c r="AI38" s="156"/>
    </row>
    <row r="39" spans="2:35" ht="18.75" customHeight="1">
      <c r="B39" s="90"/>
      <c r="C39" s="90"/>
      <c r="D39" s="462"/>
      <c r="E39" s="462"/>
      <c r="F39" s="462"/>
      <c r="G39" s="462"/>
      <c r="H39" s="462"/>
      <c r="I39" s="462"/>
      <c r="J39" s="462"/>
      <c r="K39" s="462"/>
      <c r="L39" s="462"/>
      <c r="O39" s="142"/>
      <c r="P39" s="141"/>
      <c r="S39" s="156"/>
      <c r="T39" s="156"/>
      <c r="U39" s="156"/>
      <c r="V39" s="156"/>
      <c r="W39" s="156"/>
      <c r="X39" s="156"/>
      <c r="Y39" s="156"/>
      <c r="Z39" s="156"/>
      <c r="AA39" s="156"/>
      <c r="AB39" s="156"/>
      <c r="AC39" s="156"/>
      <c r="AD39" s="156"/>
      <c r="AE39" s="156"/>
      <c r="AF39" s="156"/>
      <c r="AG39" s="156"/>
      <c r="AH39" s="156"/>
      <c r="AI39" s="156"/>
    </row>
    <row r="40" spans="2:35" ht="18.75" customHeight="1">
      <c r="B40" s="90"/>
      <c r="C40" s="90"/>
      <c r="D40" s="462"/>
      <c r="E40" s="462"/>
      <c r="F40" s="462"/>
      <c r="G40" s="462"/>
      <c r="H40" s="462"/>
      <c r="I40" s="462"/>
      <c r="J40" s="462"/>
      <c r="K40" s="462"/>
      <c r="L40" s="462"/>
      <c r="O40" s="142"/>
      <c r="P40" s="141"/>
      <c r="S40" s="156"/>
      <c r="T40" s="156"/>
      <c r="U40" s="156"/>
      <c r="V40" s="156"/>
      <c r="W40" s="156"/>
      <c r="X40" s="156"/>
      <c r="Y40" s="156"/>
      <c r="Z40" s="156"/>
      <c r="AA40" s="156"/>
      <c r="AB40" s="156"/>
      <c r="AC40" s="156"/>
      <c r="AD40" s="156"/>
      <c r="AE40" s="156"/>
      <c r="AF40" s="156"/>
      <c r="AG40" s="156"/>
      <c r="AH40" s="156"/>
      <c r="AI40" s="156"/>
    </row>
    <row r="41" spans="2:35" ht="18.75" customHeight="1">
      <c r="B41" s="90"/>
      <c r="C41" s="90"/>
      <c r="D41" s="462"/>
      <c r="E41" s="462"/>
      <c r="F41" s="462"/>
      <c r="G41" s="462"/>
      <c r="H41" s="462"/>
      <c r="I41" s="462"/>
      <c r="J41" s="462"/>
      <c r="K41" s="462"/>
      <c r="L41" s="462"/>
      <c r="O41" s="142"/>
      <c r="P41" s="141"/>
      <c r="S41" s="156"/>
      <c r="T41" s="156"/>
      <c r="U41" s="156"/>
      <c r="V41" s="156"/>
      <c r="W41" s="156"/>
      <c r="X41" s="156"/>
      <c r="Y41" s="156"/>
      <c r="Z41" s="156"/>
      <c r="AA41" s="156"/>
      <c r="AB41" s="156"/>
      <c r="AC41" s="156"/>
      <c r="AD41" s="156"/>
      <c r="AE41" s="156"/>
      <c r="AF41" s="156"/>
      <c r="AG41" s="156"/>
      <c r="AH41" s="156"/>
      <c r="AI41" s="156"/>
    </row>
    <row r="42" spans="2:35" ht="18.75" customHeight="1">
      <c r="B42" s="90"/>
      <c r="C42" s="90"/>
      <c r="D42" s="462"/>
      <c r="E42" s="462"/>
      <c r="F42" s="462"/>
      <c r="G42" s="462"/>
      <c r="H42" s="462"/>
      <c r="I42" s="462"/>
      <c r="J42" s="462"/>
      <c r="K42" s="462"/>
      <c r="L42" s="462"/>
      <c r="O42" s="142"/>
      <c r="P42" s="141"/>
      <c r="S42" s="156"/>
      <c r="T42" s="156"/>
      <c r="U42" s="156"/>
      <c r="V42" s="156"/>
      <c r="W42" s="156"/>
      <c r="X42" s="156"/>
      <c r="Y42" s="156"/>
      <c r="Z42" s="156"/>
      <c r="AA42" s="156"/>
      <c r="AB42" s="156"/>
      <c r="AC42" s="156"/>
      <c r="AD42" s="156"/>
      <c r="AE42" s="156"/>
      <c r="AF42" s="156"/>
      <c r="AG42" s="156"/>
      <c r="AH42" s="156"/>
      <c r="AI42" s="156"/>
    </row>
    <row r="43" spans="2:35" ht="18.75" customHeight="1">
      <c r="B43" s="90"/>
      <c r="C43" s="90"/>
      <c r="D43" s="462"/>
      <c r="E43" s="462"/>
      <c r="F43" s="462"/>
      <c r="G43" s="462"/>
      <c r="H43" s="462"/>
      <c r="I43" s="462"/>
      <c r="J43" s="462"/>
      <c r="K43" s="462"/>
      <c r="L43" s="462"/>
      <c r="O43" s="142"/>
      <c r="P43" s="141"/>
      <c r="S43" s="156"/>
      <c r="T43" s="156"/>
      <c r="U43" s="156"/>
      <c r="V43" s="156"/>
      <c r="W43" s="156"/>
      <c r="X43" s="156"/>
      <c r="Y43" s="156"/>
      <c r="Z43" s="156"/>
      <c r="AA43" s="156"/>
      <c r="AB43" s="156"/>
      <c r="AC43" s="156"/>
      <c r="AD43" s="156"/>
      <c r="AE43" s="156"/>
      <c r="AF43" s="156"/>
      <c r="AG43" s="156"/>
      <c r="AH43" s="156"/>
      <c r="AI43" s="156"/>
    </row>
    <row r="44" spans="2:35" ht="18.75" customHeight="1">
      <c r="B44" s="90"/>
      <c r="C44" s="90"/>
      <c r="D44" s="462"/>
      <c r="E44" s="462"/>
      <c r="F44" s="462"/>
      <c r="G44" s="462"/>
      <c r="H44" s="462"/>
      <c r="I44" s="462"/>
      <c r="J44" s="462"/>
      <c r="K44" s="462"/>
      <c r="L44" s="462"/>
      <c r="O44" s="142"/>
      <c r="P44" s="141"/>
      <c r="S44" s="156"/>
      <c r="T44" s="156"/>
      <c r="U44" s="156"/>
      <c r="V44" s="156"/>
      <c r="W44" s="156"/>
      <c r="X44" s="156"/>
      <c r="Y44" s="156"/>
      <c r="Z44" s="156"/>
      <c r="AA44" s="156"/>
      <c r="AB44" s="156"/>
      <c r="AC44" s="156"/>
      <c r="AD44" s="156"/>
      <c r="AE44" s="156"/>
      <c r="AF44" s="156"/>
      <c r="AG44" s="156"/>
      <c r="AH44" s="156"/>
      <c r="AI44" s="156"/>
    </row>
    <row r="45" spans="2:35" ht="18.75" customHeight="1">
      <c r="B45" s="90"/>
      <c r="C45" s="90"/>
      <c r="D45" s="462"/>
      <c r="E45" s="462"/>
      <c r="F45" s="462"/>
      <c r="G45" s="462"/>
      <c r="H45" s="462"/>
      <c r="I45" s="462"/>
      <c r="J45" s="462"/>
      <c r="K45" s="462"/>
      <c r="L45" s="462"/>
      <c r="O45" s="142"/>
      <c r="P45" s="141"/>
      <c r="S45" s="156"/>
      <c r="T45" s="156"/>
      <c r="U45" s="156"/>
      <c r="V45" s="156"/>
      <c r="W45" s="156"/>
      <c r="X45" s="156"/>
      <c r="Y45" s="156"/>
      <c r="Z45" s="156"/>
      <c r="AA45" s="156"/>
      <c r="AB45" s="156"/>
      <c r="AC45" s="156"/>
      <c r="AD45" s="156"/>
      <c r="AE45" s="156"/>
      <c r="AF45" s="156"/>
      <c r="AG45" s="156"/>
      <c r="AH45" s="156"/>
      <c r="AI45" s="156"/>
    </row>
    <row r="46" spans="2:35" ht="17.25" customHeight="1">
      <c r="B46" s="90"/>
      <c r="C46" s="90"/>
      <c r="D46" s="462"/>
      <c r="E46" s="462"/>
      <c r="F46" s="462"/>
      <c r="G46" s="462"/>
      <c r="H46" s="462"/>
      <c r="I46" s="462"/>
      <c r="J46" s="462"/>
      <c r="K46" s="462"/>
      <c r="L46" s="462"/>
      <c r="O46" s="142"/>
      <c r="P46" s="141"/>
      <c r="S46" s="156"/>
      <c r="T46" s="156"/>
      <c r="U46" s="156"/>
      <c r="V46" s="156"/>
      <c r="W46" s="156"/>
      <c r="X46" s="156"/>
      <c r="Y46" s="156"/>
      <c r="Z46" s="156"/>
      <c r="AA46" s="156"/>
      <c r="AB46" s="156"/>
      <c r="AC46" s="156"/>
      <c r="AD46" s="156"/>
      <c r="AE46" s="156"/>
      <c r="AF46" s="156"/>
      <c r="AG46" s="156"/>
      <c r="AH46" s="156"/>
      <c r="AI46" s="156"/>
    </row>
    <row r="47" spans="2:35" ht="6" customHeight="1">
      <c r="B47" s="15"/>
      <c r="C47" s="90"/>
      <c r="D47" s="88"/>
      <c r="E47" s="901"/>
      <c r="F47" s="901"/>
      <c r="G47" s="901"/>
      <c r="H47" s="901"/>
      <c r="I47" s="901"/>
      <c r="J47" s="901"/>
      <c r="K47" s="901"/>
      <c r="S47" s="156"/>
      <c r="T47" s="156"/>
      <c r="U47" s="156"/>
      <c r="V47" s="156"/>
      <c r="W47" s="156"/>
      <c r="X47" s="156"/>
      <c r="Y47" s="156"/>
      <c r="Z47" s="156"/>
      <c r="AA47" s="156"/>
      <c r="AB47" s="156"/>
      <c r="AC47" s="156"/>
      <c r="AD47" s="156"/>
      <c r="AE47" s="156"/>
      <c r="AF47" s="156"/>
      <c r="AG47" s="156"/>
      <c r="AH47" s="156"/>
      <c r="AI47" s="156"/>
    </row>
    <row r="48" spans="2:35" ht="50.25" customHeight="1">
      <c r="B48" s="902" t="s">
        <v>376</v>
      </c>
      <c r="C48" s="902"/>
      <c r="D48" s="902"/>
      <c r="E48" s="275" t="s">
        <v>217</v>
      </c>
      <c r="F48" s="275" t="s">
        <v>247</v>
      </c>
      <c r="G48" s="897" t="s">
        <v>377</v>
      </c>
      <c r="H48" s="898"/>
      <c r="I48" s="899" t="s">
        <v>378</v>
      </c>
      <c r="J48" s="900"/>
      <c r="K48" s="277" t="s">
        <v>379</v>
      </c>
      <c r="L48" s="872" t="s">
        <v>421</v>
      </c>
      <c r="M48" s="873"/>
      <c r="N48" s="873"/>
      <c r="O48" s="873"/>
      <c r="P48" s="873"/>
      <c r="Q48" s="874"/>
      <c r="S48" s="46" t="s">
        <v>381</v>
      </c>
      <c r="T48" s="47">
        <v>0</v>
      </c>
      <c r="U48" s="48">
        <v>0.3</v>
      </c>
      <c r="V48" s="48">
        <v>0.6</v>
      </c>
      <c r="W48" s="48">
        <v>0.9</v>
      </c>
      <c r="X48" s="48">
        <v>1</v>
      </c>
      <c r="Y48" s="12"/>
      <c r="Z48" s="12"/>
      <c r="AA48" s="46" t="s">
        <v>381</v>
      </c>
      <c r="AB48" s="47">
        <v>0</v>
      </c>
      <c r="AC48" s="48">
        <v>0.2</v>
      </c>
      <c r="AD48" s="48">
        <v>0.4</v>
      </c>
      <c r="AE48" s="48">
        <v>0.6</v>
      </c>
      <c r="AF48" s="48">
        <v>0.8</v>
      </c>
      <c r="AG48" s="12"/>
      <c r="AH48" s="12"/>
      <c r="AI48" s="12"/>
    </row>
    <row r="49" spans="2:35" ht="153.94999999999999" customHeight="1">
      <c r="B49" s="891" t="s">
        <v>422</v>
      </c>
      <c r="C49" s="892"/>
      <c r="D49" s="893"/>
      <c r="E49" s="502">
        <v>0.98</v>
      </c>
      <c r="F49" s="502">
        <v>0.95</v>
      </c>
      <c r="G49" s="877">
        <f>(F49/E49)</f>
        <v>0.96938775510204078</v>
      </c>
      <c r="H49" s="878"/>
      <c r="I49" s="878"/>
      <c r="J49" s="878"/>
      <c r="K49" s="879"/>
      <c r="L49" s="875" t="s">
        <v>423</v>
      </c>
      <c r="M49" s="876"/>
      <c r="N49" s="876"/>
      <c r="O49" s="876"/>
      <c r="P49" s="876"/>
      <c r="Q49" s="876"/>
      <c r="S49" s="46" t="s">
        <v>384</v>
      </c>
      <c r="T49" s="48">
        <v>0.3</v>
      </c>
      <c r="U49" s="48">
        <v>0.6</v>
      </c>
      <c r="V49" s="48">
        <v>0.9</v>
      </c>
      <c r="W49" s="48">
        <v>1</v>
      </c>
      <c r="X49" s="48">
        <v>2</v>
      </c>
      <c r="Y49" s="12"/>
      <c r="Z49" s="12"/>
      <c r="AA49" s="46" t="s">
        <v>384</v>
      </c>
      <c r="AB49" s="48">
        <v>0.2</v>
      </c>
      <c r="AC49" s="48">
        <v>0.4</v>
      </c>
      <c r="AD49" s="48">
        <v>0.6</v>
      </c>
      <c r="AE49" s="48">
        <v>0.8</v>
      </c>
      <c r="AF49" s="48">
        <v>1</v>
      </c>
      <c r="AG49" s="12"/>
      <c r="AH49" s="12"/>
      <c r="AI49" s="12"/>
    </row>
    <row r="50" spans="2:35" ht="137.25" customHeight="1">
      <c r="B50" s="891" t="str">
        <f>+'Ввод данных'!A211</f>
        <v xml:space="preserve">MDR TB-2: Количество бактериологически подтвержденных зарегистрированных ЛУ-ТБ случаев (РУ-ТБ и/или МЛУ-ТБ)		</v>
      </c>
      <c r="C50" s="892"/>
      <c r="D50" s="893"/>
      <c r="E50" s="276">
        <v>1832</v>
      </c>
      <c r="F50" s="276">
        <v>858</v>
      </c>
      <c r="G50" s="877">
        <f t="shared" ref="G50:G52" si="3">(F50/E50)</f>
        <v>0.4683406113537118</v>
      </c>
      <c r="H50" s="878"/>
      <c r="I50" s="878"/>
      <c r="J50" s="878"/>
      <c r="K50" s="879"/>
      <c r="L50" s="875" t="s">
        <v>424</v>
      </c>
      <c r="M50" s="875"/>
      <c r="N50" s="875"/>
      <c r="O50" s="875"/>
      <c r="P50" s="875"/>
      <c r="Q50" s="875"/>
      <c r="S50" s="49"/>
      <c r="T50" s="50" t="str">
        <f>"de "&amp;T48&amp;" a "&amp;T49</f>
        <v>de 0 a 0.3</v>
      </c>
      <c r="U50" s="50" t="str">
        <f>"de "&amp;U48&amp;" a "&amp;U49</f>
        <v>de 0.3 a 0.6</v>
      </c>
      <c r="AH50" s="12"/>
      <c r="AI50" s="12"/>
    </row>
    <row r="51" spans="2:35" ht="124.5" customHeight="1">
      <c r="B51" s="891" t="str">
        <f>+'Ввод данных'!A213</f>
        <v>MDR TB-3: Количество случаев с РУ/МЛУ ТБ, начавших лечение препаратами второго ряда</v>
      </c>
      <c r="C51" s="892"/>
      <c r="D51" s="893"/>
      <c r="E51" s="276">
        <v>1832</v>
      </c>
      <c r="F51" s="276">
        <v>904</v>
      </c>
      <c r="G51" s="877">
        <f t="shared" si="3"/>
        <v>0.49344978165938863</v>
      </c>
      <c r="H51" s="878"/>
      <c r="I51" s="878"/>
      <c r="J51" s="878"/>
      <c r="K51" s="879"/>
      <c r="L51" s="875" t="s">
        <v>425</v>
      </c>
      <c r="M51" s="875"/>
      <c r="N51" s="875"/>
      <c r="O51" s="875"/>
      <c r="P51" s="875"/>
      <c r="Q51" s="875"/>
      <c r="S51" s="49"/>
      <c r="T51" s="48" t="e">
        <f>IF($K49&gt;T$48,IF($K49&lt;=T$49,$K49,NA()),NA())</f>
        <v>#N/A</v>
      </c>
      <c r="U51" s="48" t="e">
        <f>IF($K49&gt;U$48,IF($K49&lt;=U$49,$K49,NA()),NA())</f>
        <v>#N/A</v>
      </c>
      <c r="AH51" s="12"/>
      <c r="AI51" s="12"/>
    </row>
    <row r="52" spans="2:35" ht="90.75" customHeight="1">
      <c r="B52" s="894" t="str">
        <f>+'Ввод данных'!A215</f>
        <v>MDR TB-7: Процент подтвержденных МЛУ-ТБ случаев, протестированных на чувствительность к фторхинолонам и инъекционным препаратам второго ряда</v>
      </c>
      <c r="C52" s="895"/>
      <c r="D52" s="896"/>
      <c r="E52" s="502">
        <v>0.75</v>
      </c>
      <c r="F52" s="502">
        <v>0.87</v>
      </c>
      <c r="G52" s="877">
        <f t="shared" si="3"/>
        <v>1.1599999999999999</v>
      </c>
      <c r="H52" s="878"/>
      <c r="I52" s="878"/>
      <c r="J52" s="878"/>
      <c r="K52" s="879"/>
      <c r="L52" s="906" t="s">
        <v>426</v>
      </c>
      <c r="M52" s="907"/>
      <c r="N52" s="907"/>
      <c r="O52" s="907"/>
      <c r="P52" s="907"/>
      <c r="Q52" s="908"/>
      <c r="S52" s="49"/>
      <c r="T52" s="48"/>
      <c r="U52" s="48"/>
      <c r="AH52" s="12"/>
      <c r="AI52" s="12"/>
    </row>
    <row r="53" spans="2:35" ht="119.25" customHeight="1">
      <c r="B53" s="910" t="s">
        <v>251</v>
      </c>
      <c r="C53" s="911"/>
      <c r="D53" s="912"/>
      <c r="E53" s="511">
        <v>0.31</v>
      </c>
      <c r="F53" s="511">
        <v>0.17</v>
      </c>
      <c r="G53" s="913">
        <f>(F53/E53)</f>
        <v>0.54838709677419362</v>
      </c>
      <c r="H53" s="914"/>
      <c r="I53" s="914"/>
      <c r="J53" s="914"/>
      <c r="K53" s="915"/>
      <c r="L53" s="875" t="s">
        <v>427</v>
      </c>
      <c r="M53" s="876"/>
      <c r="N53" s="876"/>
      <c r="O53" s="876"/>
      <c r="P53" s="876"/>
      <c r="Q53" s="876"/>
      <c r="AH53" s="12"/>
      <c r="AI53" s="12"/>
    </row>
    <row r="54" spans="2:35" ht="261" customHeight="1">
      <c r="B54" s="919" t="s">
        <v>253</v>
      </c>
      <c r="C54" s="911"/>
      <c r="D54" s="912"/>
      <c r="E54" s="512" t="s">
        <v>428</v>
      </c>
      <c r="F54" s="512" t="s">
        <v>429</v>
      </c>
      <c r="G54" s="913" t="e">
        <f>(F54/E54)</f>
        <v>#VALUE!</v>
      </c>
      <c r="H54" s="914"/>
      <c r="I54" s="914"/>
      <c r="J54" s="914"/>
      <c r="K54" s="915"/>
      <c r="L54" s="875" t="s">
        <v>430</v>
      </c>
      <c r="M54" s="876"/>
      <c r="N54" s="876"/>
      <c r="O54" s="876"/>
      <c r="P54" s="876"/>
      <c r="Q54" s="876"/>
      <c r="AH54" s="12"/>
      <c r="AI54" s="12"/>
    </row>
    <row r="55" spans="2:35" ht="22.5" customHeight="1">
      <c r="B55" s="918"/>
      <c r="C55" s="918"/>
      <c r="D55" s="918"/>
      <c r="E55" s="918"/>
      <c r="F55" s="917"/>
      <c r="G55" s="917"/>
      <c r="H55" s="917"/>
      <c r="I55" s="917"/>
      <c r="J55" s="917"/>
      <c r="K55" s="917"/>
      <c r="L55" s="905"/>
      <c r="M55" s="905"/>
      <c r="N55" s="905"/>
      <c r="O55" s="905"/>
      <c r="P55" s="905"/>
      <c r="AH55" s="12"/>
      <c r="AI55" s="12"/>
    </row>
    <row r="56" spans="2:35" ht="22.5" customHeight="1">
      <c r="B56" s="904"/>
      <c r="C56" s="904"/>
      <c r="D56" s="904"/>
      <c r="E56" s="916"/>
      <c r="F56" s="903"/>
      <c r="G56" s="904"/>
      <c r="H56" s="904"/>
      <c r="I56" s="904"/>
      <c r="J56" s="904"/>
      <c r="K56" s="916"/>
      <c r="L56" s="903"/>
      <c r="M56" s="904"/>
      <c r="N56" s="904"/>
      <c r="O56" s="904"/>
      <c r="P56" s="904"/>
      <c r="Y56" s="12"/>
      <c r="Z56" s="12"/>
      <c r="AA56" s="12"/>
      <c r="AB56" s="12"/>
      <c r="AC56" s="12"/>
      <c r="AD56" s="12"/>
      <c r="AE56" s="12"/>
      <c r="AF56" s="12"/>
      <c r="AG56" s="12"/>
      <c r="AH56" s="12"/>
      <c r="AI56" s="12"/>
    </row>
    <row r="57" spans="2:35">
      <c r="B57" s="157"/>
      <c r="C57" s="157"/>
      <c r="D57" s="157"/>
      <c r="E57" s="157"/>
      <c r="F57" s="157"/>
      <c r="G57" s="157"/>
      <c r="H57" s="158"/>
      <c r="I57" s="157"/>
      <c r="J57" s="157"/>
      <c r="K57" s="157"/>
      <c r="L57" s="157"/>
      <c r="M57" s="157"/>
      <c r="N57" s="157"/>
      <c r="O57" s="157"/>
      <c r="P57" s="157"/>
      <c r="Y57" s="12"/>
      <c r="Z57" s="12"/>
      <c r="AA57" s="12"/>
      <c r="AB57" s="12"/>
      <c r="AC57" s="12"/>
      <c r="AD57" s="12"/>
      <c r="AE57" s="12"/>
      <c r="AF57" s="12"/>
      <c r="AG57" s="12"/>
      <c r="AH57" s="12"/>
      <c r="AI57" s="12"/>
    </row>
    <row r="58" spans="2:35">
      <c r="B58" s="909"/>
      <c r="C58" s="909"/>
      <c r="D58" s="909"/>
      <c r="E58" s="909"/>
      <c r="F58" s="909"/>
      <c r="G58" s="909"/>
      <c r="H58" s="909"/>
      <c r="I58" s="909"/>
      <c r="J58" s="909"/>
      <c r="K58" s="909"/>
      <c r="L58" s="157"/>
      <c r="M58" s="157"/>
      <c r="N58" s="157"/>
      <c r="O58" s="157"/>
      <c r="P58" s="157"/>
      <c r="Y58" s="12"/>
      <c r="Z58" s="12"/>
      <c r="AA58" s="12"/>
      <c r="AB58" s="12"/>
      <c r="AC58" s="12"/>
      <c r="AD58" s="12"/>
      <c r="AE58" s="12"/>
      <c r="AF58" s="12"/>
      <c r="AG58" s="12"/>
      <c r="AH58" s="12"/>
      <c r="AI58" s="12"/>
    </row>
    <row r="59" spans="2:35">
      <c r="B59" s="909"/>
      <c r="C59" s="909"/>
      <c r="D59" s="909"/>
      <c r="E59" s="909"/>
      <c r="F59" s="909"/>
      <c r="G59" s="909"/>
      <c r="H59" s="909"/>
      <c r="I59" s="909"/>
      <c r="J59" s="909"/>
      <c r="K59" s="909"/>
      <c r="L59" s="157"/>
      <c r="M59" s="157"/>
      <c r="N59" s="157"/>
      <c r="O59" s="157"/>
      <c r="P59" s="157"/>
      <c r="S59" s="12"/>
      <c r="T59" s="12"/>
      <c r="U59" s="12"/>
      <c r="V59" s="12"/>
      <c r="W59" s="12"/>
      <c r="X59" s="12"/>
      <c r="Y59" s="12"/>
      <c r="Z59" s="12"/>
      <c r="AA59" s="12"/>
      <c r="AB59" s="12"/>
      <c r="AC59" s="12"/>
      <c r="AD59" s="12"/>
      <c r="AE59" s="12"/>
      <c r="AF59" s="12"/>
      <c r="AG59" s="12"/>
      <c r="AH59" s="12"/>
      <c r="AI59" s="12"/>
    </row>
    <row r="60" spans="2:35">
      <c r="I60" s="72"/>
      <c r="J60" s="72"/>
      <c r="K60" s="72"/>
      <c r="S60" s="12"/>
      <c r="T60" s="12"/>
      <c r="U60" s="12"/>
      <c r="V60" s="12"/>
      <c r="W60" s="12"/>
      <c r="X60" s="12"/>
      <c r="Y60" s="12"/>
      <c r="Z60" s="12"/>
      <c r="AA60" s="12"/>
      <c r="AB60" s="12"/>
      <c r="AC60" s="12"/>
      <c r="AD60" s="12"/>
      <c r="AE60" s="12"/>
      <c r="AF60" s="12"/>
      <c r="AG60" s="12"/>
      <c r="AH60" s="12"/>
      <c r="AI60" s="12"/>
    </row>
    <row r="61" spans="2:35">
      <c r="I61" s="94"/>
      <c r="J61" s="95"/>
      <c r="K61" s="95"/>
      <c r="S61" s="12"/>
      <c r="T61" s="12"/>
      <c r="U61" s="12"/>
      <c r="V61" s="12"/>
      <c r="W61" s="12"/>
      <c r="X61" s="12"/>
      <c r="Y61" s="12"/>
      <c r="Z61" s="12"/>
      <c r="AA61" s="12"/>
      <c r="AB61" s="12"/>
      <c r="AC61" s="12"/>
      <c r="AD61" s="12"/>
      <c r="AE61" s="12"/>
      <c r="AF61" s="12"/>
      <c r="AG61" s="12"/>
      <c r="AH61" s="12"/>
      <c r="AI61" s="12"/>
    </row>
    <row r="62" spans="2:35">
      <c r="I62" s="96"/>
      <c r="J62" s="31"/>
      <c r="K62" s="28"/>
      <c r="S62" s="12"/>
      <c r="T62" s="12"/>
      <c r="U62" s="12"/>
      <c r="V62" s="12"/>
      <c r="W62" s="12"/>
      <c r="X62" s="12"/>
      <c r="Y62" s="12"/>
      <c r="Z62" s="12"/>
      <c r="AA62" s="12"/>
      <c r="AB62" s="12"/>
      <c r="AC62" s="12"/>
      <c r="AD62" s="12"/>
      <c r="AE62" s="12"/>
      <c r="AF62" s="12"/>
      <c r="AG62" s="12"/>
      <c r="AH62" s="12"/>
      <c r="AI62" s="12"/>
    </row>
    <row r="63" spans="2:35">
      <c r="I63" s="96"/>
      <c r="J63" s="31"/>
      <c r="K63" s="28"/>
      <c r="S63" s="12"/>
      <c r="T63" s="12"/>
      <c r="U63" s="12"/>
      <c r="V63" s="12"/>
      <c r="W63" s="12"/>
      <c r="X63" s="12"/>
      <c r="Y63" s="12"/>
      <c r="Z63" s="12"/>
      <c r="AA63" s="12"/>
      <c r="AB63" s="12"/>
      <c r="AC63" s="12"/>
      <c r="AD63" s="12"/>
      <c r="AE63" s="12"/>
      <c r="AF63" s="12"/>
      <c r="AG63" s="12"/>
      <c r="AH63" s="12"/>
      <c r="AI63" s="12"/>
    </row>
    <row r="64" spans="2:35">
      <c r="I64" s="96"/>
      <c r="J64" s="31"/>
      <c r="K64" s="28"/>
      <c r="S64" s="12"/>
      <c r="T64" s="12"/>
      <c r="U64" s="12"/>
      <c r="V64" s="12"/>
      <c r="W64" s="12"/>
      <c r="X64" s="12"/>
      <c r="Y64" s="12"/>
      <c r="Z64" s="12"/>
      <c r="AA64" s="12"/>
      <c r="AB64" s="12"/>
      <c r="AC64" s="12"/>
      <c r="AD64" s="12"/>
      <c r="AE64" s="12"/>
      <c r="AF64" s="12"/>
      <c r="AG64" s="12"/>
      <c r="AH64" s="12"/>
      <c r="AI64" s="12"/>
    </row>
    <row r="65" spans="19:35">
      <c r="S65" s="12"/>
      <c r="T65" s="12"/>
      <c r="U65" s="12"/>
      <c r="V65" s="12"/>
      <c r="W65" s="12"/>
      <c r="X65" s="12"/>
      <c r="Y65" s="12"/>
      <c r="Z65" s="12"/>
      <c r="AA65" s="12"/>
      <c r="AB65" s="12"/>
      <c r="AC65" s="12"/>
      <c r="AD65" s="12"/>
      <c r="AE65" s="12"/>
      <c r="AF65" s="12"/>
      <c r="AG65" s="12"/>
      <c r="AH65" s="12"/>
      <c r="AI65" s="12"/>
    </row>
    <row r="66" spans="19:35">
      <c r="S66" s="12"/>
      <c r="T66" s="12"/>
      <c r="U66" s="12"/>
      <c r="V66" s="12"/>
      <c r="W66" s="12"/>
      <c r="X66" s="12"/>
      <c r="Y66" s="12"/>
      <c r="Z66" s="12"/>
      <c r="AA66" s="12"/>
      <c r="AB66" s="12"/>
      <c r="AC66" s="12"/>
      <c r="AD66" s="12"/>
      <c r="AE66" s="12"/>
      <c r="AF66" s="12"/>
      <c r="AG66" s="12"/>
      <c r="AH66" s="12"/>
      <c r="AI66" s="12"/>
    </row>
    <row r="67" spans="19:35">
      <c r="S67" s="3"/>
      <c r="T67" s="3"/>
      <c r="U67" s="3"/>
      <c r="V67" s="3"/>
      <c r="W67" s="3"/>
      <c r="X67" s="3"/>
      <c r="Y67" s="3"/>
      <c r="Z67" s="3"/>
      <c r="AA67" s="3"/>
      <c r="AB67" s="3"/>
    </row>
    <row r="68" spans="19:35">
      <c r="S68" s="3"/>
      <c r="T68" s="3"/>
      <c r="U68" s="3"/>
      <c r="V68" s="3"/>
      <c r="W68" s="3"/>
      <c r="X68" s="3"/>
      <c r="Y68" s="3"/>
      <c r="Z68" s="3"/>
      <c r="AA68" s="3"/>
      <c r="AB68" s="3"/>
    </row>
    <row r="69" spans="19:35">
      <c r="S69" s="3"/>
      <c r="T69" s="3"/>
      <c r="U69" s="3"/>
      <c r="V69" s="3"/>
      <c r="W69" s="3"/>
      <c r="X69" s="3"/>
      <c r="Y69" s="3"/>
      <c r="Z69" s="3"/>
      <c r="AA69" s="3"/>
      <c r="AB69" s="3"/>
    </row>
    <row r="70" spans="19:35">
      <c r="S70" s="3"/>
      <c r="T70" s="3"/>
      <c r="U70" s="3"/>
      <c r="V70" s="3"/>
      <c r="W70" s="3"/>
      <c r="X70" s="3"/>
      <c r="Y70" s="3"/>
      <c r="Z70" s="3"/>
      <c r="AA70" s="3"/>
      <c r="AB70" s="3"/>
    </row>
    <row r="71" spans="19:35">
      <c r="S71" s="3"/>
      <c r="T71" s="3"/>
      <c r="U71" s="3"/>
      <c r="V71" s="3"/>
      <c r="W71" s="3"/>
      <c r="X71" s="3"/>
      <c r="Y71" s="3"/>
      <c r="Z71" s="3"/>
      <c r="AA71" s="3"/>
      <c r="AB71" s="3"/>
    </row>
  </sheetData>
  <mergeCells count="94">
    <mergeCell ref="B2:Q2"/>
    <mergeCell ref="O3:P3"/>
    <mergeCell ref="D5:N5"/>
    <mergeCell ref="L35:Q35"/>
    <mergeCell ref="E3:K3"/>
    <mergeCell ref="C4:D4"/>
    <mergeCell ref="E6:L6"/>
    <mergeCell ref="B8:E8"/>
    <mergeCell ref="F8:K8"/>
    <mergeCell ref="L8:Q8"/>
    <mergeCell ref="C9:E9"/>
    <mergeCell ref="G9:K9"/>
    <mergeCell ref="M9:Q9"/>
    <mergeCell ref="E20:K20"/>
    <mergeCell ref="B24:D24"/>
    <mergeCell ref="B21:D21"/>
    <mergeCell ref="B25:D25"/>
    <mergeCell ref="G21:H21"/>
    <mergeCell ref="G25:K25"/>
    <mergeCell ref="L25:Q25"/>
    <mergeCell ref="B26:D26"/>
    <mergeCell ref="G26:K26"/>
    <mergeCell ref="L26:Q26"/>
    <mergeCell ref="G24:K24"/>
    <mergeCell ref="L24:Q24"/>
    <mergeCell ref="G29:K29"/>
    <mergeCell ref="B30:D30"/>
    <mergeCell ref="G31:K31"/>
    <mergeCell ref="G28:K28"/>
    <mergeCell ref="L27:Q27"/>
    <mergeCell ref="B28:D28"/>
    <mergeCell ref="B27:D27"/>
    <mergeCell ref="G27:K27"/>
    <mergeCell ref="L29:Q29"/>
    <mergeCell ref="G30:K30"/>
    <mergeCell ref="B29:D29"/>
    <mergeCell ref="L30:Q30"/>
    <mergeCell ref="B31:D31"/>
    <mergeCell ref="L31:Q31"/>
    <mergeCell ref="B58:D59"/>
    <mergeCell ref="E58:G59"/>
    <mergeCell ref="H58:K59"/>
    <mergeCell ref="B53:D53"/>
    <mergeCell ref="G53:K53"/>
    <mergeCell ref="G54:K54"/>
    <mergeCell ref="B56:E56"/>
    <mergeCell ref="F56:K56"/>
    <mergeCell ref="F55:K55"/>
    <mergeCell ref="B55:E55"/>
    <mergeCell ref="B54:D54"/>
    <mergeCell ref="L56:P56"/>
    <mergeCell ref="L49:Q49"/>
    <mergeCell ref="L50:Q50"/>
    <mergeCell ref="L51:Q51"/>
    <mergeCell ref="L55:P55"/>
    <mergeCell ref="L53:Q53"/>
    <mergeCell ref="L52:Q52"/>
    <mergeCell ref="G48:H48"/>
    <mergeCell ref="I48:J48"/>
    <mergeCell ref="E47:K47"/>
    <mergeCell ref="B48:D48"/>
    <mergeCell ref="B49:D49"/>
    <mergeCell ref="G50:K50"/>
    <mergeCell ref="B51:D51"/>
    <mergeCell ref="B50:D50"/>
    <mergeCell ref="G51:K51"/>
    <mergeCell ref="B52:D52"/>
    <mergeCell ref="G52:K52"/>
    <mergeCell ref="L48:Q48"/>
    <mergeCell ref="L54:Q54"/>
    <mergeCell ref="G49:K49"/>
    <mergeCell ref="C3:D3"/>
    <mergeCell ref="E4:L4"/>
    <mergeCell ref="B35:E35"/>
    <mergeCell ref="F35:K35"/>
    <mergeCell ref="I21:J21"/>
    <mergeCell ref="L21:Q21"/>
    <mergeCell ref="B22:D22"/>
    <mergeCell ref="G22:K22"/>
    <mergeCell ref="L22:Q22"/>
    <mergeCell ref="B23:D23"/>
    <mergeCell ref="G23:K23"/>
    <mergeCell ref="L23:Q23"/>
    <mergeCell ref="L28:Q28"/>
    <mergeCell ref="C36:E36"/>
    <mergeCell ref="G36:K36"/>
    <mergeCell ref="L32:Q32"/>
    <mergeCell ref="F34:M34"/>
    <mergeCell ref="M36:Q36"/>
    <mergeCell ref="B33:D33"/>
    <mergeCell ref="G33:K33"/>
    <mergeCell ref="L33:Q33"/>
    <mergeCell ref="G32:K32"/>
    <mergeCell ref="B32:D32"/>
  </mergeCells>
  <phoneticPr fontId="30" type="noConversion"/>
  <conditionalFormatting sqref="C4:D4">
    <cfRule type="cellIs" dxfId="27" priority="260" stopIfTrue="1" operator="equal">
      <formula>"C"</formula>
    </cfRule>
    <cfRule type="cellIs" dxfId="26" priority="261" stopIfTrue="1" operator="equal">
      <formula>"B2"</formula>
    </cfRule>
    <cfRule type="cellIs" dxfId="25" priority="262" stopIfTrue="1" operator="equal">
      <formula>"B1"</formula>
    </cfRule>
  </conditionalFormatting>
  <conditionalFormatting sqref="G22:G24">
    <cfRule type="cellIs" dxfId="24" priority="5" stopIfTrue="1" operator="between">
      <formula>0.6</formula>
      <formula>0.899</formula>
    </cfRule>
    <cfRule type="cellIs" dxfId="23" priority="6" stopIfTrue="1" operator="greaterThanOrEqual">
      <formula>0.9</formula>
    </cfRule>
  </conditionalFormatting>
  <conditionalFormatting sqref="G22:G33">
    <cfRule type="cellIs" dxfId="22" priority="4" stopIfTrue="1" operator="between">
      <formula>0</formula>
      <formula>0.599</formula>
    </cfRule>
  </conditionalFormatting>
  <conditionalFormatting sqref="G25:G33">
    <cfRule type="cellIs" dxfId="21" priority="47" stopIfTrue="1" operator="between">
      <formula>0.6</formula>
      <formula>0.899</formula>
    </cfRule>
    <cfRule type="cellIs" dxfId="20" priority="48" stopIfTrue="1" operator="greaterThanOrEqual">
      <formula>0.9</formula>
    </cfRule>
  </conditionalFormatting>
  <conditionalFormatting sqref="G30">
    <cfRule type="cellIs" dxfId="19" priority="41" stopIfTrue="1" operator="between">
      <formula>0.6</formula>
      <formula>0.899</formula>
    </cfRule>
    <cfRule type="cellIs" dxfId="18" priority="42" stopIfTrue="1" operator="greaterThanOrEqual">
      <formula>0.9</formula>
    </cfRule>
  </conditionalFormatting>
  <conditionalFormatting sqref="G49:G54">
    <cfRule type="cellIs" dxfId="17" priority="82" stopIfTrue="1" operator="between">
      <formula>0</formula>
      <formula>0.599</formula>
    </cfRule>
    <cfRule type="cellIs" dxfId="16" priority="83" stopIfTrue="1" operator="between">
      <formula>0.6</formula>
      <formula>0.899</formula>
    </cfRule>
    <cfRule type="cellIs" dxfId="15" priority="84" stopIfTrue="1" operator="greaterThanOrEqual">
      <formula>0.9</formula>
    </cfRule>
  </conditionalFormatting>
  <conditionalFormatting sqref="G49:K54">
    <cfRule type="cellIs" dxfId="14" priority="79" stopIfTrue="1" operator="greaterThan">
      <formula>0.9</formula>
    </cfRule>
    <cfRule type="cellIs" dxfId="13" priority="80" stopIfTrue="1" operator="between">
      <formula>0.6</formula>
      <formula>0.89</formula>
    </cfRule>
    <cfRule type="cellIs" dxfId="12" priority="81" stopIfTrue="1" operator="lessThan">
      <formula>0.59</formula>
    </cfRule>
  </conditionalFormatting>
  <pageMargins left="0.70866141732283472" right="0.70866141732283472" top="0.74803149606299213" bottom="0.74803149606299213" header="0.31496062992125984" footer="0.31496062992125984"/>
  <pageSetup paperSize="8" scale="87" orientation="landscape" r:id="rId1"/>
  <headerFooter alignWithMargins="0">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1"/>
  </sheetPr>
  <dimension ref="A1:Q68"/>
  <sheetViews>
    <sheetView showGridLines="0" zoomScaleNormal="100" workbookViewId="0">
      <selection activeCell="Q29" sqref="Q29"/>
    </sheetView>
  </sheetViews>
  <sheetFormatPr defaultColWidth="11" defaultRowHeight="14.45"/>
  <cols>
    <col min="1" max="1" width="3.28515625" customWidth="1"/>
    <col min="2" max="2" width="12.140625" customWidth="1"/>
    <col min="3" max="3" width="13.140625" customWidth="1"/>
    <col min="4" max="4" width="14.28515625" customWidth="1"/>
    <col min="5" max="5" width="12.85546875" customWidth="1"/>
    <col min="6" max="7" width="17" customWidth="1"/>
    <col min="8" max="8" width="3.85546875" customWidth="1"/>
    <col min="9" max="9" width="17.85546875" customWidth="1"/>
    <col min="10" max="10" width="31.28515625" customWidth="1"/>
    <col min="11" max="11" width="13.7109375" customWidth="1"/>
    <col min="12" max="12" width="13.5703125" customWidth="1"/>
    <col min="13" max="13" width="14" customWidth="1"/>
  </cols>
  <sheetData>
    <row r="1" spans="1:17" ht="28.5" customHeight="1">
      <c r="C1" s="161"/>
      <c r="E1" s="85"/>
    </row>
    <row r="2" spans="1:17" ht="27.75" customHeight="1">
      <c r="B2" s="847" t="str">
        <f>+"Панель показателей:  "&amp;"  "&amp;IF(+'Ввод данных'!B4="Выберите","",'Ввод данных'!B4&amp;" - ")&amp;IF('Ввод данных'!F6="Выберите","",'Ввод данных'!F6)</f>
        <v>Панель показателей:    Кыргызстан - ВИЧ/СПИД/ТБ</v>
      </c>
      <c r="C2" s="847"/>
      <c r="D2" s="847"/>
      <c r="E2" s="847"/>
      <c r="F2" s="847"/>
      <c r="G2" s="847"/>
      <c r="H2" s="847"/>
      <c r="I2" s="847"/>
      <c r="J2" s="847"/>
      <c r="K2" s="847"/>
      <c r="L2" s="847"/>
      <c r="M2" s="847"/>
      <c r="N2" s="17"/>
      <c r="O2" s="17"/>
      <c r="P2" s="17"/>
      <c r="Q2" s="17"/>
    </row>
    <row r="3" spans="1:17" ht="22.5" customHeight="1">
      <c r="A3" s="259"/>
      <c r="B3" s="260">
        <f>+IF('Ввод данных'!F8="Пожалуйста выберите","",'Ввод данных'!F8)</f>
        <v>0</v>
      </c>
      <c r="C3" s="954">
        <f>+IF('Ввод данных'!H8="Пожалуйста выберите","",'Ввод данных'!H8)</f>
        <v>0</v>
      </c>
      <c r="D3" s="954"/>
      <c r="E3" s="851"/>
      <c r="F3" s="851"/>
      <c r="G3" s="851"/>
      <c r="H3" s="851"/>
      <c r="I3" s="851"/>
      <c r="J3" s="851"/>
      <c r="K3" s="849" t="str">
        <f>+'Ввод данных'!A16</f>
        <v>Отчетный период</v>
      </c>
      <c r="L3" s="849"/>
      <c r="M3" s="140" t="str">
        <f>+'Ввод данных'!B16</f>
        <v>P2</v>
      </c>
    </row>
    <row r="4" spans="1:17" ht="25.5" customHeight="1">
      <c r="A4" s="259"/>
      <c r="B4" s="267" t="str">
        <f>+'Ввод данных'!A12</f>
        <v>Последняя оценка:</v>
      </c>
      <c r="C4" s="950" t="str">
        <f>+IF('Ввод данных'!B12="Выберите","",'Ввод данных'!B12)</f>
        <v>Пожалуйста выберите</v>
      </c>
      <c r="D4" s="950"/>
      <c r="E4" s="851" t="str">
        <f>+'Ввод данных'!B8</f>
        <v>ПРООН</v>
      </c>
      <c r="F4" s="851"/>
      <c r="G4" s="851"/>
      <c r="H4" s="851"/>
      <c r="I4" s="851"/>
      <c r="J4" s="851"/>
      <c r="K4" s="849" t="str">
        <f>+'Ввод данных'!C16</f>
        <v>с:</v>
      </c>
      <c r="L4" s="849"/>
      <c r="M4" s="141">
        <f>+IF(ISBLANK('Ввод данных'!D16),"",'Ввод данных'!D16)</f>
        <v>44562</v>
      </c>
    </row>
    <row r="5" spans="1:17" ht="18.75" customHeight="1">
      <c r="B5" s="90"/>
      <c r="C5" s="90"/>
      <c r="D5" s="851" t="str">
        <f>+'Ввод данных'!F4</f>
        <v>«Эффективный контроль за ВИЧ-инфекцией и туберкулезом в Кыргызской Республике»</v>
      </c>
      <c r="E5" s="851"/>
      <c r="F5" s="851"/>
      <c r="G5" s="851"/>
      <c r="H5" s="851"/>
      <c r="I5" s="851"/>
      <c r="J5" s="851"/>
      <c r="K5" s="851"/>
      <c r="L5" s="90" t="str">
        <f>+'Ввод данных'!E16</f>
        <v>до:</v>
      </c>
      <c r="M5" s="141">
        <f>+IF(ISBLANK('Ввод данных'!F16),"",'Ввод данных'!F16)</f>
        <v>44926</v>
      </c>
    </row>
    <row r="6" spans="1:17" ht="18.600000000000001">
      <c r="B6" s="15"/>
      <c r="C6" s="90"/>
      <c r="D6" s="16"/>
      <c r="E6" s="416" t="s">
        <v>431</v>
      </c>
      <c r="F6" s="416"/>
      <c r="G6" s="416"/>
      <c r="H6" s="416"/>
      <c r="I6" s="416"/>
      <c r="J6" s="416"/>
    </row>
    <row r="7" spans="1:17" ht="22.5" customHeight="1" thickBot="1">
      <c r="B7" s="952" t="str">
        <f>+'Ввод данных'!A86&amp;" "&amp;+K3&amp;"   "&amp;+M3</f>
        <v>M1: Статус Предварительных условий (ПУ) и Действий с установленным сроком исполнения (ДУС) Отчетный период   P2</v>
      </c>
      <c r="C7" s="952"/>
      <c r="D7" s="952"/>
      <c r="E7" s="952"/>
      <c r="F7" s="952"/>
      <c r="G7" s="463"/>
      <c r="I7" s="225" t="str">
        <f>+'Ввод данных'!A95&amp;"                                       "&amp;+K3&amp;"  "&amp;+M3</f>
        <v>M2: Статус ключевых руководящих должностей в структуре ОР                                       Отчетный период  P2</v>
      </c>
    </row>
    <row r="8" spans="1:17" ht="45.75" customHeight="1" thickBot="1">
      <c r="B8" s="379" t="s">
        <v>362</v>
      </c>
      <c r="C8" s="951" t="s">
        <v>432</v>
      </c>
      <c r="D8" s="951"/>
      <c r="E8" s="951"/>
      <c r="F8" s="951"/>
      <c r="G8" s="380"/>
      <c r="H8" s="381"/>
      <c r="I8" s="379" t="s">
        <v>362</v>
      </c>
      <c r="J8" s="955" t="s">
        <v>433</v>
      </c>
      <c r="K8" s="955"/>
      <c r="L8" s="955"/>
      <c r="M8" s="955"/>
    </row>
    <row r="10" spans="1:17">
      <c r="A10" s="32"/>
      <c r="D10" s="953"/>
      <c r="E10" s="864"/>
      <c r="F10" s="864"/>
      <c r="G10" s="31"/>
      <c r="H10" s="31"/>
      <c r="O10" s="34"/>
      <c r="P10" s="34"/>
      <c r="Q10" s="33"/>
    </row>
    <row r="11" spans="1:17">
      <c r="C11" s="78"/>
      <c r="D11" s="953"/>
      <c r="E11" s="78"/>
      <c r="F11" s="78"/>
      <c r="G11" s="78"/>
      <c r="H11" s="78"/>
      <c r="I11" s="78"/>
    </row>
    <row r="12" spans="1:17">
      <c r="C12" s="78"/>
      <c r="D12" s="78"/>
      <c r="E12" s="78"/>
      <c r="F12" s="78"/>
      <c r="G12" s="78"/>
      <c r="H12" s="78"/>
      <c r="I12" s="78"/>
    </row>
    <row r="13" spans="1:17">
      <c r="C13" s="78"/>
      <c r="D13" s="78"/>
      <c r="E13" s="78"/>
      <c r="F13" s="78"/>
      <c r="G13" s="78"/>
      <c r="H13" s="78"/>
      <c r="I13" s="78"/>
    </row>
    <row r="14" spans="1:17">
      <c r="C14" s="78"/>
      <c r="D14" s="78"/>
      <c r="E14" s="78"/>
      <c r="F14" s="78"/>
      <c r="G14" s="78"/>
      <c r="H14" s="78"/>
      <c r="I14" s="78"/>
    </row>
    <row r="15" spans="1:17">
      <c r="B15" s="78"/>
      <c r="C15" s="54"/>
      <c r="D15" s="55"/>
      <c r="E15" s="55"/>
      <c r="F15" s="55"/>
      <c r="G15" s="55"/>
      <c r="H15" s="55"/>
      <c r="I15" s="56"/>
    </row>
    <row r="16" spans="1:17">
      <c r="B16" s="78"/>
      <c r="C16" s="54"/>
      <c r="D16" s="55"/>
      <c r="E16" s="55"/>
      <c r="F16" s="55"/>
      <c r="G16" s="55"/>
      <c r="H16" s="55"/>
      <c r="I16" s="56"/>
    </row>
    <row r="17" spans="2:14" ht="40.5" customHeight="1"/>
    <row r="18" spans="2:14" ht="27.75" customHeight="1" thickBot="1">
      <c r="B18" s="225" t="str">
        <f>+'Ввод данных'!A102&amp;"                                                                                                  "&amp;+K3&amp;" "&amp;+M3</f>
        <v>M3: Контрактные соглашения (СР)                                                                                                   Отчетный период P2</v>
      </c>
      <c r="I18" s="225" t="str">
        <f>+'Ввод данных'!A108&amp;"                                       "&amp;+K3&amp;" "&amp;+M3</f>
        <v>M4: Количество полных отчетов, полученных к установленному сроку                                       Отчетный период P2</v>
      </c>
    </row>
    <row r="19" spans="2:14" ht="44.25" customHeight="1" thickBot="1">
      <c r="B19" s="378" t="s">
        <v>362</v>
      </c>
      <c r="C19" s="960" t="s">
        <v>434</v>
      </c>
      <c r="D19" s="960"/>
      <c r="E19" s="960"/>
      <c r="F19" s="960"/>
      <c r="I19" s="378" t="s">
        <v>435</v>
      </c>
      <c r="J19" s="960" t="s">
        <v>436</v>
      </c>
      <c r="K19" s="960"/>
      <c r="L19" s="960"/>
      <c r="M19" s="960"/>
    </row>
    <row r="20" spans="2:14" ht="27.75" customHeight="1">
      <c r="B20" s="225"/>
    </row>
    <row r="21" spans="2:14" ht="27.75" customHeight="1">
      <c r="B21" s="225"/>
      <c r="I21" s="225"/>
    </row>
    <row r="22" spans="2:14" ht="27.75" customHeight="1">
      <c r="B22" s="225"/>
      <c r="I22" s="225"/>
    </row>
    <row r="23" spans="2:14" ht="27.75" customHeight="1">
      <c r="B23" s="225"/>
    </row>
    <row r="24" spans="2:14">
      <c r="B24" s="19"/>
      <c r="I24" s="19"/>
    </row>
    <row r="25" spans="2:14">
      <c r="N25" s="58"/>
    </row>
    <row r="28" spans="2:14" ht="24.75" customHeight="1">
      <c r="B28" s="961" t="str">
        <f>+'Ввод данных'!A116</f>
        <v>M5: Бюджет и закупки товаров медицинского назначения, медицинского оборудования,  лекарственных средств и фармацевтических препаратов</v>
      </c>
      <c r="C28" s="961"/>
      <c r="D28" s="961"/>
      <c r="E28" s="961"/>
      <c r="F28" s="961"/>
      <c r="I28" s="962" t="str">
        <f>+'Ввод данных'!A129&amp;"                    "&amp;+K3&amp;"  "&amp;+M3</f>
        <v>M6: Разница между текущим и резервным запасами                    Отчетный период  P2</v>
      </c>
      <c r="J28" s="962"/>
      <c r="K28" s="962"/>
      <c r="L28" s="962"/>
      <c r="M28" s="962"/>
    </row>
    <row r="29" spans="2:14" ht="252" customHeight="1">
      <c r="B29" s="959" t="s">
        <v>362</v>
      </c>
      <c r="C29" s="958" t="s">
        <v>437</v>
      </c>
      <c r="D29" s="958"/>
      <c r="E29" s="958"/>
      <c r="F29" s="958"/>
      <c r="G29" s="262"/>
      <c r="H29" s="226"/>
      <c r="I29" s="464" t="s">
        <v>438</v>
      </c>
      <c r="J29" s="963" t="s">
        <v>439</v>
      </c>
      <c r="K29" s="963"/>
      <c r="L29" s="963"/>
      <c r="M29" s="963"/>
    </row>
    <row r="30" spans="2:14" ht="154.5" customHeight="1">
      <c r="B30" s="959"/>
      <c r="C30" s="958"/>
      <c r="D30" s="958"/>
      <c r="E30" s="958"/>
      <c r="F30" s="958"/>
      <c r="I30" s="464" t="s">
        <v>435</v>
      </c>
      <c r="J30" s="964" t="s">
        <v>440</v>
      </c>
      <c r="K30" s="965"/>
      <c r="L30" s="965"/>
      <c r="M30" s="965"/>
    </row>
    <row r="31" spans="2:14" ht="119.25" customHeight="1">
      <c r="F31" s="207"/>
      <c r="G31" s="207"/>
      <c r="H31" s="207"/>
      <c r="I31" s="428" t="s">
        <v>165</v>
      </c>
      <c r="J31" s="429" t="s">
        <v>441</v>
      </c>
      <c r="K31" s="430" t="s">
        <v>442</v>
      </c>
      <c r="L31" s="430" t="s">
        <v>443</v>
      </c>
      <c r="M31" s="431" t="s">
        <v>444</v>
      </c>
    </row>
    <row r="32" spans="2:14" ht="22.5" customHeight="1">
      <c r="F32" s="207"/>
      <c r="G32" s="207"/>
      <c r="H32" s="207"/>
      <c r="I32" s="957" t="s">
        <v>445</v>
      </c>
      <c r="J32" s="421" t="s">
        <v>176</v>
      </c>
      <c r="K32" s="421">
        <f>'Ввод данных'!I132</f>
        <v>9.4389743589743595</v>
      </c>
      <c r="L32" s="421">
        <v>3</v>
      </c>
      <c r="M32" s="447">
        <f>K32-L32</f>
        <v>6.4389743589743595</v>
      </c>
    </row>
    <row r="33" spans="6:13">
      <c r="F33" s="207"/>
      <c r="G33" s="207"/>
      <c r="H33" s="207"/>
      <c r="I33" s="957"/>
      <c r="J33" s="421" t="s">
        <v>177</v>
      </c>
      <c r="K33" s="421">
        <f>'Ввод данных'!I133</f>
        <v>2.4909722222222221</v>
      </c>
      <c r="L33" s="421">
        <v>3</v>
      </c>
      <c r="M33" s="447">
        <f t="shared" ref="M33:M44" si="0">K33-L33</f>
        <v>-0.50902777777777786</v>
      </c>
    </row>
    <row r="34" spans="6:13">
      <c r="F34" s="207"/>
      <c r="G34" s="207"/>
      <c r="H34" s="207"/>
      <c r="I34" s="957"/>
      <c r="J34" s="421" t="s">
        <v>178</v>
      </c>
      <c r="K34" s="421">
        <f>'Ввод данных'!I134</f>
        <v>8.1999999999999993</v>
      </c>
      <c r="L34" s="421">
        <v>3</v>
      </c>
      <c r="M34" s="447">
        <f t="shared" si="0"/>
        <v>5.1999999999999993</v>
      </c>
    </row>
    <row r="35" spans="6:13">
      <c r="F35" s="207"/>
      <c r="G35" s="207"/>
      <c r="H35" s="207"/>
      <c r="I35" s="957"/>
      <c r="J35" s="421" t="s">
        <v>179</v>
      </c>
      <c r="K35" s="421">
        <f>'Ввод данных'!I135</f>
        <v>5.5346153846153845</v>
      </c>
      <c r="L35" s="421">
        <v>3</v>
      </c>
      <c r="M35" s="447">
        <f t="shared" si="0"/>
        <v>2.5346153846153845</v>
      </c>
    </row>
    <row r="36" spans="6:13">
      <c r="F36" s="207"/>
      <c r="G36" s="207"/>
      <c r="H36" s="207"/>
      <c r="I36" s="957"/>
      <c r="J36" s="421" t="s">
        <v>180</v>
      </c>
      <c r="K36" s="421">
        <f>'Ввод данных'!I136</f>
        <v>2.9362745098039217E-3</v>
      </c>
      <c r="L36" s="421">
        <v>3</v>
      </c>
      <c r="M36" s="447">
        <f t="shared" si="0"/>
        <v>-2.9970637254901962</v>
      </c>
    </row>
    <row r="37" spans="6:13">
      <c r="F37" s="207"/>
      <c r="G37" s="207"/>
      <c r="H37" s="207"/>
      <c r="I37" s="957"/>
      <c r="J37" s="421" t="s">
        <v>181</v>
      </c>
      <c r="K37" s="421">
        <f>'Ввод данных'!I137</f>
        <v>2.9815602836879433</v>
      </c>
      <c r="L37" s="421">
        <v>3</v>
      </c>
      <c r="M37" s="447">
        <f t="shared" si="0"/>
        <v>-1.8439716312056653E-2</v>
      </c>
    </row>
    <row r="38" spans="6:13">
      <c r="F38" s="207"/>
      <c r="G38" s="207"/>
      <c r="H38" s="207"/>
      <c r="I38" s="957"/>
      <c r="J38" s="421" t="s">
        <v>182</v>
      </c>
      <c r="K38" s="421">
        <f>'Ввод данных'!I138</f>
        <v>13.267816091954023</v>
      </c>
      <c r="L38" s="421">
        <v>3</v>
      </c>
      <c r="M38" s="447">
        <f t="shared" si="0"/>
        <v>10.267816091954023</v>
      </c>
    </row>
    <row r="39" spans="6:13" ht="15" customHeight="1">
      <c r="F39" s="207"/>
      <c r="G39" s="207"/>
      <c r="H39" s="207"/>
      <c r="I39" s="957"/>
      <c r="J39" s="421" t="s">
        <v>183</v>
      </c>
      <c r="K39" s="421">
        <f>'Ввод данных'!I139</f>
        <v>7.6689655172413795</v>
      </c>
      <c r="L39" s="421">
        <v>3</v>
      </c>
      <c r="M39" s="447">
        <f t="shared" si="0"/>
        <v>4.6689655172413795</v>
      </c>
    </row>
    <row r="40" spans="6:13">
      <c r="F40" s="207"/>
      <c r="G40" s="207"/>
      <c r="H40" s="207"/>
      <c r="I40" s="957"/>
      <c r="J40" s="421" t="s">
        <v>446</v>
      </c>
      <c r="K40" s="421">
        <f>'Ввод данных'!I140</f>
        <v>4.4000000000000004</v>
      </c>
      <c r="L40" s="421">
        <v>3</v>
      </c>
      <c r="M40" s="447">
        <f t="shared" si="0"/>
        <v>1.4000000000000004</v>
      </c>
    </row>
    <row r="41" spans="6:13">
      <c r="F41" s="207"/>
      <c r="G41" s="207"/>
      <c r="H41" s="207"/>
      <c r="I41" s="957"/>
      <c r="J41" s="421" t="s">
        <v>185</v>
      </c>
      <c r="K41" s="421">
        <f>'Ввод данных'!I141</f>
        <v>5</v>
      </c>
      <c r="L41" s="421">
        <v>3</v>
      </c>
      <c r="M41" s="447">
        <f t="shared" si="0"/>
        <v>2</v>
      </c>
    </row>
    <row r="42" spans="6:13">
      <c r="F42" s="207"/>
      <c r="G42" s="207"/>
      <c r="H42" s="207"/>
      <c r="I42" s="957"/>
      <c r="J42" s="421" t="s">
        <v>186</v>
      </c>
      <c r="K42" s="421">
        <f>'Ввод данных'!I142</f>
        <v>15.997894736842106</v>
      </c>
      <c r="L42" s="421">
        <v>3</v>
      </c>
      <c r="M42" s="447">
        <f t="shared" si="0"/>
        <v>12.997894736842106</v>
      </c>
    </row>
    <row r="43" spans="6:13">
      <c r="F43" s="207"/>
      <c r="G43" s="207"/>
      <c r="H43" s="207"/>
      <c r="I43" s="957"/>
      <c r="J43" s="421" t="s">
        <v>190</v>
      </c>
      <c r="K43" s="421">
        <f>'Ввод данных'!I146</f>
        <v>8.0500000000000007</v>
      </c>
      <c r="L43" s="421">
        <v>3</v>
      </c>
      <c r="M43" s="447">
        <f t="shared" si="0"/>
        <v>5.0500000000000007</v>
      </c>
    </row>
    <row r="44" spans="6:13">
      <c r="F44" s="207"/>
      <c r="G44" s="207"/>
      <c r="H44" s="207"/>
      <c r="I44" s="957"/>
      <c r="J44" s="421" t="s">
        <v>187</v>
      </c>
      <c r="K44" s="421">
        <f>'Ввод данных'!I143</f>
        <v>8.4012566004946194</v>
      </c>
      <c r="L44" s="421">
        <v>3</v>
      </c>
      <c r="M44" s="447">
        <f t="shared" si="0"/>
        <v>5.4012566004946194</v>
      </c>
    </row>
    <row r="45" spans="6:13">
      <c r="F45" s="207"/>
      <c r="G45" s="207"/>
      <c r="H45" s="207"/>
      <c r="I45" s="957"/>
      <c r="J45" s="421" t="s">
        <v>447</v>
      </c>
      <c r="K45" s="421">
        <f>'Ввод данных'!I144</f>
        <v>8.8928571428571423</v>
      </c>
      <c r="L45" s="421">
        <v>3</v>
      </c>
      <c r="M45" s="447">
        <f>K45-L45</f>
        <v>5.8928571428571423</v>
      </c>
    </row>
    <row r="46" spans="6:13">
      <c r="F46" s="207"/>
      <c r="G46" s="207"/>
      <c r="H46" s="207"/>
      <c r="I46" s="957"/>
      <c r="J46" s="421" t="s">
        <v>189</v>
      </c>
      <c r="K46" s="421">
        <f>'Ввод данных'!I145</f>
        <v>7.57</v>
      </c>
      <c r="L46" s="421">
        <v>3</v>
      </c>
      <c r="M46" s="447">
        <f>K46-L46</f>
        <v>4.57</v>
      </c>
    </row>
    <row r="47" spans="6:13">
      <c r="F47" s="207"/>
      <c r="G47" s="207"/>
      <c r="H47" s="207"/>
      <c r="I47" s="957"/>
      <c r="J47" s="421" t="s">
        <v>448</v>
      </c>
      <c r="K47" s="421">
        <v>23</v>
      </c>
      <c r="L47" s="421">
        <v>3</v>
      </c>
      <c r="M47" s="422">
        <f t="shared" ref="M47" si="1">K47-L47</f>
        <v>20</v>
      </c>
    </row>
    <row r="48" spans="6:13">
      <c r="F48" s="207"/>
      <c r="G48" s="207"/>
      <c r="H48" s="207"/>
      <c r="I48" s="957"/>
      <c r="J48" s="423" t="s">
        <v>449</v>
      </c>
      <c r="K48" s="426">
        <v>4</v>
      </c>
      <c r="L48" s="446">
        <v>3</v>
      </c>
      <c r="M48" s="447">
        <f>K48-L48</f>
        <v>1</v>
      </c>
    </row>
    <row r="49" spans="2:13" ht="26.45">
      <c r="F49" s="207"/>
      <c r="G49" s="207"/>
      <c r="H49" s="207"/>
      <c r="I49" s="957"/>
      <c r="J49" s="427" t="s">
        <v>450</v>
      </c>
      <c r="K49" s="424">
        <v>3</v>
      </c>
      <c r="L49" s="424">
        <v>3</v>
      </c>
      <c r="M49" s="425">
        <f>K49-L49</f>
        <v>0</v>
      </c>
    </row>
    <row r="50" spans="2:13">
      <c r="I50" s="956" t="s">
        <v>138</v>
      </c>
      <c r="J50" s="437" t="s">
        <v>191</v>
      </c>
      <c r="K50" s="495">
        <f>'Ввод данных'!I147</f>
        <v>0</v>
      </c>
      <c r="L50" s="496">
        <v>0</v>
      </c>
      <c r="M50" s="497">
        <f>K50-L50</f>
        <v>0</v>
      </c>
    </row>
    <row r="51" spans="2:13">
      <c r="I51" s="956"/>
      <c r="J51" s="438" t="s">
        <v>192</v>
      </c>
      <c r="K51" s="495">
        <f>'Ввод данных'!I148</f>
        <v>0</v>
      </c>
      <c r="L51" s="496">
        <v>0</v>
      </c>
      <c r="M51" s="497">
        <f t="shared" ref="M51:M67" si="2">K51-L51</f>
        <v>0</v>
      </c>
    </row>
    <row r="52" spans="2:13">
      <c r="I52" s="956"/>
      <c r="J52" s="438" t="s">
        <v>193</v>
      </c>
      <c r="K52" s="495">
        <f>'Ввод данных'!I149</f>
        <v>0</v>
      </c>
      <c r="L52" s="496">
        <v>3</v>
      </c>
      <c r="M52" s="497">
        <f t="shared" si="2"/>
        <v>-3</v>
      </c>
    </row>
    <row r="53" spans="2:13">
      <c r="B53" s="465"/>
      <c r="C53" s="465"/>
      <c r="D53" s="465"/>
      <c r="E53" s="465"/>
      <c r="I53" s="956"/>
      <c r="J53" s="438" t="s">
        <v>194</v>
      </c>
      <c r="K53" s="495">
        <f>'Ввод данных'!I150</f>
        <v>10.712254901960785</v>
      </c>
      <c r="L53" s="496">
        <v>3</v>
      </c>
      <c r="M53" s="497">
        <f t="shared" si="2"/>
        <v>7.7122549019607849</v>
      </c>
    </row>
    <row r="54" spans="2:13">
      <c r="I54" s="956"/>
      <c r="J54" s="438" t="s">
        <v>195</v>
      </c>
      <c r="K54" s="495">
        <f>'Ввод данных'!I151</f>
        <v>15.182624817904914</v>
      </c>
      <c r="L54" s="496">
        <v>3</v>
      </c>
      <c r="M54" s="497">
        <f t="shared" si="2"/>
        <v>12.182624817904914</v>
      </c>
    </row>
    <row r="55" spans="2:13">
      <c r="I55" s="956"/>
      <c r="J55" s="438" t="s">
        <v>196</v>
      </c>
      <c r="K55" s="495">
        <f>'Ввод данных'!I152</f>
        <v>0.43114035087719299</v>
      </c>
      <c r="L55" s="496">
        <v>3</v>
      </c>
      <c r="M55" s="497">
        <f t="shared" si="2"/>
        <v>-2.5688596491228068</v>
      </c>
    </row>
    <row r="56" spans="2:13">
      <c r="I56" s="956"/>
      <c r="J56" s="438" t="s">
        <v>197</v>
      </c>
      <c r="K56" s="495">
        <f>'Ввод данных'!I153</f>
        <v>4.16</v>
      </c>
      <c r="L56" s="496">
        <v>3</v>
      </c>
      <c r="M56" s="497">
        <f t="shared" si="2"/>
        <v>1.1600000000000001</v>
      </c>
    </row>
    <row r="57" spans="2:13">
      <c r="I57" s="956"/>
      <c r="J57" s="438" t="s">
        <v>198</v>
      </c>
      <c r="K57" s="495">
        <f>'Ввод данных'!I154</f>
        <v>19.510879265091862</v>
      </c>
      <c r="L57" s="496">
        <v>3</v>
      </c>
      <c r="M57" s="497">
        <f t="shared" si="2"/>
        <v>16.510879265091862</v>
      </c>
    </row>
    <row r="58" spans="2:13">
      <c r="I58" s="956"/>
      <c r="J58" s="438" t="s">
        <v>199</v>
      </c>
      <c r="K58" s="495">
        <f>'Ввод данных'!I155</f>
        <v>18.774540682414699</v>
      </c>
      <c r="L58" s="496">
        <v>3</v>
      </c>
      <c r="M58" s="497">
        <f t="shared" si="2"/>
        <v>15.774540682414699</v>
      </c>
    </row>
    <row r="59" spans="2:13">
      <c r="I59" s="956"/>
      <c r="J59" s="438" t="s">
        <v>200</v>
      </c>
      <c r="K59" s="495">
        <f>'Ввод данных'!I156</f>
        <v>0</v>
      </c>
      <c r="L59" s="496">
        <v>3</v>
      </c>
      <c r="M59" s="497">
        <f t="shared" si="2"/>
        <v>-3</v>
      </c>
    </row>
    <row r="60" spans="2:13">
      <c r="I60" s="956"/>
      <c r="J60" s="438" t="s">
        <v>201</v>
      </c>
      <c r="K60" s="495">
        <f>'Ввод данных'!I157</f>
        <v>0</v>
      </c>
      <c r="L60" s="496">
        <v>3</v>
      </c>
      <c r="M60" s="497">
        <f t="shared" si="2"/>
        <v>-3</v>
      </c>
    </row>
    <row r="61" spans="2:13">
      <c r="I61" s="956"/>
      <c r="J61" s="438" t="str">
        <f>'Ввод данных'!B158</f>
        <v>Pretomanid 200 mg Таблетки</v>
      </c>
      <c r="K61" s="495">
        <f>'Ввод данных'!I158</f>
        <v>2.3095238095238093</v>
      </c>
      <c r="L61" s="496">
        <v>3</v>
      </c>
      <c r="M61" s="497">
        <f t="shared" si="2"/>
        <v>-0.69047619047619069</v>
      </c>
    </row>
    <row r="62" spans="2:13">
      <c r="I62" s="956"/>
      <c r="J62" s="438" t="s">
        <v>203</v>
      </c>
      <c r="K62" s="495">
        <f>'Ввод данных'!I159</f>
        <v>13.652749999999999</v>
      </c>
      <c r="L62" s="496">
        <v>3</v>
      </c>
      <c r="M62" s="497">
        <f t="shared" si="2"/>
        <v>10.652749999999999</v>
      </c>
    </row>
    <row r="63" spans="2:13">
      <c r="I63" s="956"/>
      <c r="J63" s="438" t="s">
        <v>204</v>
      </c>
      <c r="K63" s="495">
        <f>'Ввод данных'!I160</f>
        <v>13.779202279202279</v>
      </c>
      <c r="L63" s="496">
        <v>3</v>
      </c>
      <c r="M63" s="497">
        <f t="shared" si="2"/>
        <v>10.779202279202279</v>
      </c>
    </row>
    <row r="64" spans="2:13">
      <c r="I64" s="956"/>
      <c r="J64" s="438" t="s">
        <v>205</v>
      </c>
      <c r="K64" s="495">
        <f>'Ввод данных'!I161</f>
        <v>8.2156862745098032</v>
      </c>
      <c r="L64" s="496">
        <v>3</v>
      </c>
      <c r="M64" s="497">
        <f t="shared" si="2"/>
        <v>5.2156862745098032</v>
      </c>
    </row>
    <row r="65" spans="9:13">
      <c r="I65" s="956"/>
      <c r="J65" s="438" t="s">
        <v>206</v>
      </c>
      <c r="K65" s="495">
        <f>'Ввод данных'!I162</f>
        <v>21.130883639545058</v>
      </c>
      <c r="L65" s="496">
        <v>3</v>
      </c>
      <c r="M65" s="497">
        <f t="shared" si="2"/>
        <v>18.130883639545058</v>
      </c>
    </row>
    <row r="66" spans="9:13">
      <c r="I66" s="956"/>
      <c r="J66" s="438" t="s">
        <v>207</v>
      </c>
      <c r="K66" s="498">
        <f>'Ввод данных'!I163</f>
        <v>10.235558216102962</v>
      </c>
      <c r="L66" s="499">
        <v>3</v>
      </c>
      <c r="M66" s="497">
        <f t="shared" si="2"/>
        <v>7.2355582161029623</v>
      </c>
    </row>
    <row r="67" spans="9:13">
      <c r="I67" s="956"/>
      <c r="J67" s="438" t="s">
        <v>208</v>
      </c>
      <c r="K67" s="500">
        <f>'Ввод данных'!I164</f>
        <v>5.014893394648829</v>
      </c>
      <c r="L67" s="501">
        <v>3</v>
      </c>
      <c r="M67" s="497">
        <f t="shared" si="2"/>
        <v>2.014893394648829</v>
      </c>
    </row>
    <row r="68" spans="9:13">
      <c r="I68" s="956"/>
      <c r="J68" s="439" t="s">
        <v>451</v>
      </c>
      <c r="K68" s="440">
        <v>9</v>
      </c>
      <c r="L68" s="440">
        <v>3</v>
      </c>
      <c r="M68" s="497">
        <f>K68-L68</f>
        <v>6</v>
      </c>
    </row>
  </sheetData>
  <mergeCells count="23">
    <mergeCell ref="I50:I68"/>
    <mergeCell ref="I32:I49"/>
    <mergeCell ref="C29:F30"/>
    <mergeCell ref="B29:B30"/>
    <mergeCell ref="J19:M19"/>
    <mergeCell ref="B28:F28"/>
    <mergeCell ref="I28:M28"/>
    <mergeCell ref="J29:M29"/>
    <mergeCell ref="J30:M30"/>
    <mergeCell ref="C19:F19"/>
    <mergeCell ref="B2:M2"/>
    <mergeCell ref="C4:D4"/>
    <mergeCell ref="E3:J3"/>
    <mergeCell ref="K3:L3"/>
    <mergeCell ref="E10:F10"/>
    <mergeCell ref="C8:F8"/>
    <mergeCell ref="B7:F7"/>
    <mergeCell ref="D10:D11"/>
    <mergeCell ref="C3:D3"/>
    <mergeCell ref="E4:J4"/>
    <mergeCell ref="K4:L4"/>
    <mergeCell ref="J8:M8"/>
    <mergeCell ref="D5:K5"/>
  </mergeCells>
  <phoneticPr fontId="30" type="noConversion"/>
  <conditionalFormatting sqref="C4:D4">
    <cfRule type="cellIs" dxfId="11" priority="4" stopIfTrue="1" operator="equal">
      <formula>"C"</formula>
    </cfRule>
    <cfRule type="cellIs" dxfId="10" priority="5" stopIfTrue="1" operator="equal">
      <formula>"B2"</formula>
    </cfRule>
    <cfRule type="cellIs" dxfId="9" priority="6" stopIfTrue="1" operator="equal">
      <formula>"B1"</formula>
    </cfRule>
  </conditionalFormatting>
  <conditionalFormatting sqref="D15:D16">
    <cfRule type="cellIs" dxfId="8" priority="1" stopIfTrue="1" operator="greaterThan">
      <formula>0</formula>
    </cfRule>
  </conditionalFormatting>
  <conditionalFormatting sqref="E15:E16">
    <cfRule type="cellIs" dxfId="7" priority="2" stopIfTrue="1" operator="greaterThan">
      <formula>0</formula>
    </cfRule>
  </conditionalFormatting>
  <conditionalFormatting sqref="F15:H16">
    <cfRule type="cellIs" dxfId="6" priority="3" stopIfTrue="1" operator="greaterThan">
      <formula>0</formula>
    </cfRule>
  </conditionalFormatting>
  <dataValidations count="2">
    <dataValidation type="list" allowBlank="1" showInputMessage="1" showErrorMessage="1" sqref="J50:J67" xr:uid="{173D2DE5-5CC1-4D2E-8A90-3B545477ECCC}">
      <formula1>мва</formula1>
    </dataValidation>
    <dataValidation type="list" allowBlank="1" showInputMessage="1" showErrorMessage="1" sqref="J38:J45" xr:uid="{00000000-0002-0000-0500-000001000000}">
      <formula1>Medicaments</formula1>
    </dataValidation>
  </dataValidations>
  <pageMargins left="0.70866141732283472" right="0.70866141732283472" top="0.74803149606299213" bottom="0.74803149606299213" header="0.31496062992125984" footer="0.31496062992125984"/>
  <pageSetup paperSize="8" scale="83" orientation="landscape" r:id="rId1"/>
  <headerFooter alignWithMargins="0">
    <oddFooter>&amp;L&amp;F&amp;C&amp;A&amp;RV1.0          &amp;D</oddFooter>
  </headerFooter>
  <colBreaks count="1" manualBreakCount="1">
    <brk id="13" max="3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27"/>
  </sheetPr>
  <dimension ref="A1:M43"/>
  <sheetViews>
    <sheetView showGridLines="0" topLeftCell="N1" zoomScaleNormal="110" zoomScaleSheetLayoutView="100" workbookViewId="0">
      <selection activeCell="N14" sqref="N14"/>
    </sheetView>
  </sheetViews>
  <sheetFormatPr defaultColWidth="11" defaultRowHeight="14.45"/>
  <cols>
    <col min="1" max="1" width="8.85546875" customWidth="1"/>
    <col min="2" max="2" width="14.5703125" customWidth="1"/>
    <col min="3" max="3" width="12.42578125" customWidth="1"/>
    <col min="4" max="4" width="11.5703125" customWidth="1"/>
    <col min="5" max="5" width="19" customWidth="1"/>
    <col min="6" max="6" width="1.42578125" customWidth="1"/>
    <col min="7" max="7" width="11.42578125" customWidth="1"/>
    <col min="8" max="8" width="9.5703125" customWidth="1"/>
    <col min="9" max="9" width="11.5703125" customWidth="1"/>
    <col min="10" max="10" width="12.5703125" customWidth="1"/>
    <col min="11" max="11" width="10.5703125" customWidth="1"/>
    <col min="12" max="12" width="9.7109375" customWidth="1"/>
  </cols>
  <sheetData>
    <row r="1" spans="1:13" ht="30.75" customHeight="1"/>
    <row r="2" spans="1:13" ht="27.75" customHeight="1">
      <c r="B2" s="847" t="str">
        <f>+"Панель показателей:  "&amp;"  "&amp;IF(+'Ввод данных'!B4="Выберите","",'Ввод данных'!B4&amp;" - ")&amp;IF('Ввод данных'!F6="Выберите","",'Ввод данных'!F6)</f>
        <v>Панель показателей:    Кыргызстан - ВИЧ/СПИД/ТБ</v>
      </c>
      <c r="C2" s="847"/>
      <c r="D2" s="847"/>
      <c r="E2" s="847"/>
      <c r="F2" s="847"/>
      <c r="G2" s="847"/>
      <c r="H2" s="847"/>
      <c r="I2" s="847"/>
      <c r="J2" s="847"/>
      <c r="K2" s="847"/>
      <c r="L2" s="847"/>
    </row>
    <row r="3" spans="1:13">
      <c r="B3" s="90">
        <f>+IF('Ввод данных'!F8="Выберите","",'Ввод данных'!F8)</f>
        <v>0</v>
      </c>
      <c r="C3" s="852"/>
      <c r="D3" s="852"/>
      <c r="E3" s="851"/>
      <c r="F3" s="851"/>
      <c r="G3" s="851"/>
      <c r="H3" s="851"/>
      <c r="I3" s="851"/>
      <c r="J3" s="849" t="str">
        <f>+'Ввод данных'!A16</f>
        <v>Отчетный период</v>
      </c>
      <c r="K3" s="849"/>
      <c r="L3" s="140" t="str">
        <f>+'Ввод данных'!B16</f>
        <v>P2</v>
      </c>
      <c r="M3" s="60"/>
    </row>
    <row r="4" spans="1:13">
      <c r="B4" s="266" t="str">
        <f>+'Ввод данных'!A12</f>
        <v>Последняя оценка:</v>
      </c>
      <c r="C4" s="984" t="str">
        <f>+IF('Ввод данных'!B12="Выберите","",'Ввод данных'!B12)</f>
        <v>Пожалуйста выберите</v>
      </c>
      <c r="D4" s="984"/>
      <c r="E4" s="851" t="str">
        <f>+'Ввод данных'!B8</f>
        <v>ПРООН</v>
      </c>
      <c r="F4" s="851"/>
      <c r="G4" s="851"/>
      <c r="H4" s="851"/>
      <c r="I4" s="851"/>
      <c r="J4" s="849" t="str">
        <f>+'Ввод данных'!C16</f>
        <v>с:</v>
      </c>
      <c r="K4" s="850"/>
      <c r="L4" s="141">
        <f>+IF(ISBLANK('Ввод данных'!D16),"",'Ввод данных'!D16)</f>
        <v>44562</v>
      </c>
    </row>
    <row r="5" spans="1:13" ht="18.75" customHeight="1">
      <c r="B5" s="90"/>
      <c r="C5" s="90"/>
      <c r="D5" s="851"/>
      <c r="E5" s="851"/>
      <c r="F5" s="851"/>
      <c r="G5" s="851"/>
      <c r="H5" s="851"/>
      <c r="I5" s="851"/>
      <c r="J5" s="851"/>
      <c r="K5" s="90" t="str">
        <f>+'Ввод данных'!E16</f>
        <v>до:</v>
      </c>
      <c r="L5" s="141">
        <f>+IF(ISBLANK('Ввод данных'!F16),"",'Ввод данных'!F16)</f>
        <v>44926</v>
      </c>
    </row>
    <row r="6" spans="1:13" ht="18.600000000000001">
      <c r="B6" s="15"/>
      <c r="C6" s="90"/>
      <c r="D6" s="16"/>
      <c r="E6" s="836" t="s">
        <v>452</v>
      </c>
      <c r="F6" s="836"/>
      <c r="G6" s="836"/>
      <c r="H6" s="836"/>
      <c r="I6" s="836"/>
    </row>
    <row r="7" spans="1:13" ht="18.600000000000001">
      <c r="E7" s="469"/>
      <c r="F7" s="469"/>
      <c r="G7" s="469"/>
      <c r="H7" s="469"/>
      <c r="I7" s="469"/>
    </row>
    <row r="8" spans="1:13" s="20" customFormat="1" ht="21" customHeight="1" thickBot="1">
      <c r="B8" s="52" t="s">
        <v>453</v>
      </c>
      <c r="C8" s="52"/>
      <c r="D8" s="52"/>
      <c r="E8" s="52"/>
      <c r="F8" s="52"/>
      <c r="G8" s="52"/>
      <c r="H8" s="52"/>
      <c r="I8" s="52"/>
      <c r="J8" s="52"/>
      <c r="K8" s="52"/>
      <c r="L8" s="52"/>
    </row>
    <row r="9" spans="1:13" ht="6" customHeight="1">
      <c r="B9" s="51"/>
    </row>
    <row r="10" spans="1:13">
      <c r="B10" s="989"/>
      <c r="C10" s="990"/>
      <c r="D10" s="990"/>
      <c r="E10" s="990"/>
      <c r="F10" s="990"/>
      <c r="G10" s="990"/>
      <c r="H10" s="990"/>
      <c r="I10" s="990"/>
      <c r="J10" s="990"/>
      <c r="K10" s="990"/>
      <c r="L10" s="991"/>
    </row>
    <row r="11" spans="1:13">
      <c r="B11" s="992"/>
      <c r="C11" s="993"/>
      <c r="D11" s="993"/>
      <c r="E11" s="993"/>
      <c r="F11" s="993"/>
      <c r="G11" s="993"/>
      <c r="H11" s="993"/>
      <c r="I11" s="993"/>
      <c r="J11" s="993"/>
      <c r="K11" s="993"/>
      <c r="L11" s="994"/>
    </row>
    <row r="12" spans="1:13" ht="15" thickBot="1"/>
    <row r="13" spans="1:13" ht="26.25" customHeight="1" thickBot="1">
      <c r="B13" s="985" t="s">
        <v>454</v>
      </c>
      <c r="C13" s="986"/>
      <c r="D13" s="986"/>
      <c r="E13" s="971"/>
      <c r="F13" s="53"/>
      <c r="G13" s="1044" t="s">
        <v>455</v>
      </c>
      <c r="H13" s="995"/>
      <c r="I13" s="995"/>
      <c r="J13" s="468" t="s">
        <v>456</v>
      </c>
      <c r="K13" s="995" t="s">
        <v>457</v>
      </c>
      <c r="L13" s="996"/>
    </row>
    <row r="14" spans="1:13">
      <c r="A14" s="1035" t="s">
        <v>108</v>
      </c>
      <c r="B14" s="987"/>
      <c r="C14" s="987"/>
      <c r="D14" s="987"/>
      <c r="E14" s="988"/>
      <c r="F14" s="31"/>
      <c r="G14" s="1038"/>
      <c r="H14" s="1039"/>
      <c r="I14" s="1039"/>
      <c r="J14" s="1047"/>
      <c r="K14" s="982"/>
      <c r="L14" s="983"/>
    </row>
    <row r="15" spans="1:13" ht="32.25" customHeight="1">
      <c r="A15" s="1036"/>
      <c r="B15" s="987"/>
      <c r="C15" s="987"/>
      <c r="D15" s="987"/>
      <c r="E15" s="988"/>
      <c r="F15" s="31"/>
      <c r="G15" s="1017"/>
      <c r="H15" s="1018"/>
      <c r="I15" s="1018"/>
      <c r="J15" s="998"/>
      <c r="K15" s="978"/>
      <c r="L15" s="979"/>
    </row>
    <row r="16" spans="1:13">
      <c r="A16" s="1036"/>
      <c r="B16" s="987"/>
      <c r="C16" s="987"/>
      <c r="D16" s="987"/>
      <c r="E16" s="988"/>
      <c r="F16" s="31"/>
      <c r="G16" s="1017"/>
      <c r="H16" s="1018"/>
      <c r="I16" s="1018"/>
      <c r="J16" s="997"/>
      <c r="K16" s="976"/>
      <c r="L16" s="977"/>
    </row>
    <row r="17" spans="1:12" ht="78.75" customHeight="1">
      <c r="A17" s="1036"/>
      <c r="B17" s="987"/>
      <c r="C17" s="987"/>
      <c r="D17" s="987"/>
      <c r="E17" s="988"/>
      <c r="F17" s="31"/>
      <c r="G17" s="1017"/>
      <c r="H17" s="1018"/>
      <c r="I17" s="1018"/>
      <c r="J17" s="998"/>
      <c r="K17" s="978"/>
      <c r="L17" s="979"/>
    </row>
    <row r="18" spans="1:12">
      <c r="A18" s="1036"/>
      <c r="B18" s="987"/>
      <c r="C18" s="987"/>
      <c r="D18" s="987"/>
      <c r="E18" s="988"/>
      <c r="F18" s="31"/>
      <c r="G18" s="1040"/>
      <c r="H18" s="1041"/>
      <c r="I18" s="1042"/>
      <c r="J18" s="997"/>
      <c r="K18" s="976"/>
      <c r="L18" s="977"/>
    </row>
    <row r="19" spans="1:12" ht="30.75" customHeight="1">
      <c r="A19" s="1036"/>
      <c r="B19" s="987"/>
      <c r="C19" s="987"/>
      <c r="D19" s="987"/>
      <c r="E19" s="988"/>
      <c r="F19" s="31"/>
      <c r="G19" s="1024"/>
      <c r="H19" s="1025"/>
      <c r="I19" s="1043"/>
      <c r="J19" s="998"/>
      <c r="K19" s="978"/>
      <c r="L19" s="979"/>
    </row>
    <row r="20" spans="1:12">
      <c r="A20" s="1036"/>
      <c r="B20" s="987"/>
      <c r="C20" s="987"/>
      <c r="D20" s="987"/>
      <c r="E20" s="988"/>
      <c r="F20" s="31"/>
      <c r="G20" s="1017"/>
      <c r="H20" s="1018"/>
      <c r="I20" s="1018"/>
      <c r="J20" s="997"/>
      <c r="K20" s="976"/>
      <c r="L20" s="977"/>
    </row>
    <row r="21" spans="1:12" ht="45.75" customHeight="1">
      <c r="A21" s="1036"/>
      <c r="B21" s="987"/>
      <c r="C21" s="987"/>
      <c r="D21" s="987"/>
      <c r="E21" s="988"/>
      <c r="F21" s="31"/>
      <c r="G21" s="1017"/>
      <c r="H21" s="1018"/>
      <c r="I21" s="1018"/>
      <c r="J21" s="998"/>
      <c r="K21" s="978"/>
      <c r="L21" s="979"/>
    </row>
    <row r="22" spans="1:12">
      <c r="A22" s="1036"/>
      <c r="B22" s="987"/>
      <c r="C22" s="987"/>
      <c r="D22" s="987"/>
      <c r="E22" s="988"/>
      <c r="F22" s="31"/>
      <c r="G22" s="1017"/>
      <c r="H22" s="1018"/>
      <c r="I22" s="1018"/>
      <c r="J22" s="1046"/>
      <c r="K22" s="998"/>
      <c r="L22" s="1045"/>
    </row>
    <row r="23" spans="1:12" ht="34.5" customHeight="1">
      <c r="A23" s="1036"/>
      <c r="B23" s="987"/>
      <c r="C23" s="987"/>
      <c r="D23" s="987"/>
      <c r="E23" s="988"/>
      <c r="F23" s="31"/>
      <c r="G23" s="1017"/>
      <c r="H23" s="1018"/>
      <c r="I23" s="1018"/>
      <c r="J23" s="1039"/>
      <c r="K23" s="998"/>
      <c r="L23" s="1045"/>
    </row>
    <row r="24" spans="1:12" ht="15" customHeight="1">
      <c r="A24" s="1036"/>
      <c r="B24" s="987"/>
      <c r="C24" s="987"/>
      <c r="D24" s="987"/>
      <c r="E24" s="988"/>
      <c r="F24" s="31"/>
      <c r="G24" s="1017"/>
      <c r="H24" s="1018"/>
      <c r="I24" s="1018"/>
      <c r="J24" s="997"/>
      <c r="K24" s="972"/>
      <c r="L24" s="973"/>
    </row>
    <row r="25" spans="1:12" ht="30" customHeight="1" thickBot="1">
      <c r="A25" s="1037"/>
      <c r="B25" s="1030"/>
      <c r="C25" s="1030"/>
      <c r="D25" s="1030"/>
      <c r="E25" s="1031"/>
      <c r="F25" s="31"/>
      <c r="G25" s="1019"/>
      <c r="H25" s="1020"/>
      <c r="I25" s="1020"/>
      <c r="J25" s="1012"/>
      <c r="K25" s="974"/>
      <c r="L25" s="975"/>
    </row>
    <row r="27" spans="1:12" ht="18.75" customHeight="1">
      <c r="E27" s="261" t="s">
        <v>458</v>
      </c>
      <c r="F27" s="261"/>
      <c r="G27" s="261"/>
      <c r="H27" s="261"/>
      <c r="I27" s="261"/>
    </row>
    <row r="28" spans="1:12" ht="6" customHeight="1">
      <c r="E28" s="469"/>
      <c r="F28" s="469"/>
      <c r="G28" s="469"/>
      <c r="H28" s="469"/>
      <c r="I28" s="469"/>
    </row>
    <row r="29" spans="1:12" s="20" customFormat="1" ht="21" customHeight="1" thickBot="1">
      <c r="B29" s="52" t="s">
        <v>459</v>
      </c>
      <c r="C29" s="52"/>
      <c r="D29" s="52"/>
      <c r="E29" s="52"/>
      <c r="F29" s="52"/>
      <c r="G29" s="52"/>
      <c r="H29" s="52"/>
      <c r="I29" s="52"/>
      <c r="J29" s="52"/>
      <c r="K29" s="52"/>
      <c r="L29" s="52"/>
    </row>
    <row r="30" spans="1:12" ht="6" customHeight="1" thickBot="1">
      <c r="B30" s="51"/>
    </row>
    <row r="31" spans="1:12" ht="21.75" customHeight="1" thickBot="1">
      <c r="B31" s="985" t="s">
        <v>455</v>
      </c>
      <c r="C31" s="986"/>
      <c r="D31" s="986"/>
      <c r="E31" s="971"/>
      <c r="F31" s="53"/>
      <c r="G31" s="985" t="s">
        <v>460</v>
      </c>
      <c r="H31" s="986"/>
      <c r="I31" s="1016"/>
      <c r="J31" s="468" t="s">
        <v>461</v>
      </c>
      <c r="K31" s="970" t="s">
        <v>457</v>
      </c>
      <c r="L31" s="971"/>
    </row>
    <row r="32" spans="1:12" ht="14.25" customHeight="1">
      <c r="A32" s="1013" t="s">
        <v>462</v>
      </c>
      <c r="B32" s="1021"/>
      <c r="C32" s="1022"/>
      <c r="D32" s="1022"/>
      <c r="E32" s="1023"/>
      <c r="F32" s="31"/>
      <c r="G32" s="1032"/>
      <c r="H32" s="1033"/>
      <c r="I32" s="1034"/>
      <c r="J32" s="968"/>
      <c r="K32" s="982"/>
      <c r="L32" s="983"/>
    </row>
    <row r="33" spans="1:12" ht="30" customHeight="1">
      <c r="A33" s="1014"/>
      <c r="B33" s="1024"/>
      <c r="C33" s="1025"/>
      <c r="D33" s="1025"/>
      <c r="E33" s="1026"/>
      <c r="F33" s="31"/>
      <c r="G33" s="1007"/>
      <c r="H33" s="1008"/>
      <c r="I33" s="1010"/>
      <c r="J33" s="969"/>
      <c r="K33" s="978"/>
      <c r="L33" s="979"/>
    </row>
    <row r="34" spans="1:12">
      <c r="A34" s="1014"/>
      <c r="B34" s="1005"/>
      <c r="C34" s="1006"/>
      <c r="D34" s="1006"/>
      <c r="E34" s="977"/>
      <c r="F34" s="31"/>
      <c r="G34" s="1005"/>
      <c r="H34" s="1006"/>
      <c r="I34" s="1009"/>
      <c r="J34" s="1011"/>
      <c r="K34" s="976"/>
      <c r="L34" s="977"/>
    </row>
    <row r="35" spans="1:12" ht="30" customHeight="1">
      <c r="A35" s="1014"/>
      <c r="B35" s="1007"/>
      <c r="C35" s="1008"/>
      <c r="D35" s="1008"/>
      <c r="E35" s="979"/>
      <c r="F35" s="31"/>
      <c r="G35" s="1007"/>
      <c r="H35" s="1008"/>
      <c r="I35" s="1010"/>
      <c r="J35" s="969"/>
      <c r="K35" s="978"/>
      <c r="L35" s="979"/>
    </row>
    <row r="36" spans="1:12">
      <c r="A36" s="1014"/>
      <c r="B36" s="999"/>
      <c r="C36" s="1000"/>
      <c r="D36" s="1000"/>
      <c r="E36" s="973"/>
      <c r="F36" s="31"/>
      <c r="G36" s="1005"/>
      <c r="H36" s="1006"/>
      <c r="I36" s="1009"/>
      <c r="J36" s="966"/>
      <c r="K36" s="976"/>
      <c r="L36" s="977"/>
    </row>
    <row r="37" spans="1:12" ht="45" customHeight="1">
      <c r="A37" s="1014"/>
      <c r="B37" s="1002"/>
      <c r="C37" s="1003"/>
      <c r="D37" s="1003"/>
      <c r="E37" s="981"/>
      <c r="F37" s="31"/>
      <c r="G37" s="1007"/>
      <c r="H37" s="1008"/>
      <c r="I37" s="1010"/>
      <c r="J37" s="969"/>
      <c r="K37" s="978"/>
      <c r="L37" s="979"/>
    </row>
    <row r="38" spans="1:12">
      <c r="A38" s="1014"/>
      <c r="B38" s="999"/>
      <c r="C38" s="1000"/>
      <c r="D38" s="1000"/>
      <c r="E38" s="973"/>
      <c r="F38" s="31"/>
      <c r="G38" s="999"/>
      <c r="H38" s="1000"/>
      <c r="I38" s="1001"/>
      <c r="J38" s="966"/>
      <c r="K38" s="972"/>
      <c r="L38" s="973"/>
    </row>
    <row r="39" spans="1:12">
      <c r="A39" s="1014"/>
      <c r="B39" s="1002"/>
      <c r="C39" s="1003"/>
      <c r="D39" s="1003"/>
      <c r="E39" s="981"/>
      <c r="F39" s="31"/>
      <c r="G39" s="1002"/>
      <c r="H39" s="1003"/>
      <c r="I39" s="1004"/>
      <c r="J39" s="969"/>
      <c r="K39" s="980"/>
      <c r="L39" s="981"/>
    </row>
    <row r="40" spans="1:12">
      <c r="A40" s="1014"/>
      <c r="B40" s="999"/>
      <c r="C40" s="1000"/>
      <c r="D40" s="1000"/>
      <c r="E40" s="973"/>
      <c r="F40" s="31"/>
      <c r="G40" s="999"/>
      <c r="H40" s="1000"/>
      <c r="I40" s="1001"/>
      <c r="J40" s="966"/>
      <c r="K40" s="972"/>
      <c r="L40" s="973"/>
    </row>
    <row r="41" spans="1:12">
      <c r="A41" s="1014"/>
      <c r="B41" s="1002"/>
      <c r="C41" s="1003"/>
      <c r="D41" s="1003"/>
      <c r="E41" s="981"/>
      <c r="F41" s="31"/>
      <c r="G41" s="1002"/>
      <c r="H41" s="1003"/>
      <c r="I41" s="1004"/>
      <c r="J41" s="969"/>
      <c r="K41" s="980"/>
      <c r="L41" s="981"/>
    </row>
    <row r="42" spans="1:12">
      <c r="A42" s="1014"/>
      <c r="B42" s="999"/>
      <c r="C42" s="1000"/>
      <c r="D42" s="1000"/>
      <c r="E42" s="973"/>
      <c r="F42" s="31"/>
      <c r="G42" s="999"/>
      <c r="H42" s="1000"/>
      <c r="I42" s="1001"/>
      <c r="J42" s="966"/>
      <c r="K42" s="972"/>
      <c r="L42" s="973"/>
    </row>
    <row r="43" spans="1:12" ht="15" thickBot="1">
      <c r="A43" s="1015"/>
      <c r="B43" s="1027"/>
      <c r="C43" s="1028"/>
      <c r="D43" s="1028"/>
      <c r="E43" s="975"/>
      <c r="F43" s="31"/>
      <c r="G43" s="1027"/>
      <c r="H43" s="1028"/>
      <c r="I43" s="1029"/>
      <c r="J43" s="967"/>
      <c r="K43" s="974"/>
      <c r="L43" s="975"/>
    </row>
  </sheetData>
  <sheetProtection password="CFC9" sheet="1"/>
  <mergeCells count="66">
    <mergeCell ref="K18:L19"/>
    <mergeCell ref="G18:I19"/>
    <mergeCell ref="G13:I13"/>
    <mergeCell ref="K22:L23"/>
    <mergeCell ref="K20:L21"/>
    <mergeCell ref="J22:J23"/>
    <mergeCell ref="G16:I17"/>
    <mergeCell ref="J16:J17"/>
    <mergeCell ref="J14:J15"/>
    <mergeCell ref="A32:A43"/>
    <mergeCell ref="G31:I31"/>
    <mergeCell ref="G20:I21"/>
    <mergeCell ref="G22:I23"/>
    <mergeCell ref="B31:E31"/>
    <mergeCell ref="G24:I25"/>
    <mergeCell ref="G38:I39"/>
    <mergeCell ref="B32:E33"/>
    <mergeCell ref="B42:E43"/>
    <mergeCell ref="G42:I43"/>
    <mergeCell ref="G36:I37"/>
    <mergeCell ref="B24:E25"/>
    <mergeCell ref="G32:I33"/>
    <mergeCell ref="A14:A25"/>
    <mergeCell ref="B16:E17"/>
    <mergeCell ref="G14:I15"/>
    <mergeCell ref="B18:E19"/>
    <mergeCell ref="B22:E23"/>
    <mergeCell ref="B20:E21"/>
    <mergeCell ref="J20:J21"/>
    <mergeCell ref="G40:I41"/>
    <mergeCell ref="J18:J19"/>
    <mergeCell ref="B38:E39"/>
    <mergeCell ref="B40:E41"/>
    <mergeCell ref="J40:J41"/>
    <mergeCell ref="J38:J39"/>
    <mergeCell ref="B34:E35"/>
    <mergeCell ref="G34:I35"/>
    <mergeCell ref="J34:J35"/>
    <mergeCell ref="B36:E37"/>
    <mergeCell ref="J24:J25"/>
    <mergeCell ref="J36:J37"/>
    <mergeCell ref="B2:L2"/>
    <mergeCell ref="C4:D4"/>
    <mergeCell ref="K14:L15"/>
    <mergeCell ref="K16:L17"/>
    <mergeCell ref="E3:I3"/>
    <mergeCell ref="J3:K3"/>
    <mergeCell ref="E4:I4"/>
    <mergeCell ref="J4:K4"/>
    <mergeCell ref="E6:I6"/>
    <mergeCell ref="C3:D3"/>
    <mergeCell ref="D5:J5"/>
    <mergeCell ref="B13:E13"/>
    <mergeCell ref="B14:E15"/>
    <mergeCell ref="B10:L11"/>
    <mergeCell ref="K13:L13"/>
    <mergeCell ref="J42:J43"/>
    <mergeCell ref="J32:J33"/>
    <mergeCell ref="K31:L31"/>
    <mergeCell ref="K24:L25"/>
    <mergeCell ref="K34:L35"/>
    <mergeCell ref="K40:L41"/>
    <mergeCell ref="K42:L43"/>
    <mergeCell ref="K36:L37"/>
    <mergeCell ref="K38:L39"/>
    <mergeCell ref="K32:L33"/>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8" scale="70" orientation="landscape" r:id="rId1"/>
  <headerFooter alignWithMargins="0">
    <oddFooter>&amp;L&amp;F&amp;C&amp;A&amp;RV1.0          &amp;D</oddFooter>
  </headerFooter>
  <ignoredErrors>
    <ignoredError sqref="C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27"/>
  </sheetPr>
  <dimension ref="B1:Q42"/>
  <sheetViews>
    <sheetView showGridLines="0" zoomScale="90" zoomScaleNormal="90" workbookViewId="0">
      <selection activeCell="D29" sqref="D29:G29"/>
    </sheetView>
  </sheetViews>
  <sheetFormatPr defaultColWidth="9.140625" defaultRowHeight="11.45"/>
  <cols>
    <col min="1" max="1" width="1.140625" style="20" customWidth="1"/>
    <col min="2" max="2" width="19.28515625" style="20" customWidth="1"/>
    <col min="3" max="3" width="1.140625" style="20" customWidth="1"/>
    <col min="4" max="4" width="17.140625" style="20" customWidth="1"/>
    <col min="5" max="5" width="17.5703125" style="20" customWidth="1"/>
    <col min="6" max="6" width="9.7109375" style="20" customWidth="1"/>
    <col min="7" max="7" width="13" style="20" customWidth="1"/>
    <col min="8" max="8" width="4.28515625" style="20" customWidth="1"/>
    <col min="9" max="9" width="15.85546875" style="20" customWidth="1"/>
    <col min="10" max="10" width="3.5703125" style="20" customWidth="1"/>
    <col min="11" max="11" width="7.5703125" style="21" customWidth="1"/>
    <col min="12" max="12" width="16.7109375" style="20" customWidth="1"/>
    <col min="13" max="13" width="12" style="20" customWidth="1"/>
    <col min="14" max="14" width="5.42578125" style="20" customWidth="1"/>
    <col min="15" max="15" width="2.5703125" style="20" customWidth="1"/>
    <col min="16" max="16384" width="9.140625" style="20"/>
  </cols>
  <sheetData>
    <row r="1" spans="2:17" ht="38.25" customHeight="1"/>
    <row r="2" spans="2:17" customFormat="1" ht="27.75" customHeight="1">
      <c r="B2" s="847" t="str">
        <f>+"Панель показателей:  "&amp;"  "&amp;IF(+'Ввод данных'!B4="Выберите","",'Ввод данных'!B4&amp;" - ")&amp;IF('Ввод данных'!F6="Выберите","",'Ввод данных'!F6)</f>
        <v>Панель показателей:    Кыргызстан - ВИЧ/СПИД/ТБ</v>
      </c>
      <c r="C2" s="847"/>
      <c r="D2" s="847"/>
      <c r="E2" s="847"/>
      <c r="F2" s="847"/>
      <c r="G2" s="847"/>
      <c r="H2" s="847"/>
      <c r="I2" s="847"/>
      <c r="J2" s="847"/>
      <c r="K2" s="847"/>
      <c r="L2" s="847"/>
      <c r="M2" s="847"/>
      <c r="N2" s="847"/>
      <c r="O2" s="847"/>
      <c r="P2" s="847"/>
      <c r="Q2" s="847"/>
    </row>
    <row r="3" spans="2:17" customFormat="1" ht="18.600000000000001">
      <c r="B3" s="90">
        <f>+IF('Ввод данных'!F8="Выберите","",'Ввод данных'!F8)</f>
        <v>0</v>
      </c>
      <c r="C3" s="852"/>
      <c r="D3" s="852"/>
      <c r="E3" s="599"/>
      <c r="F3" s="599"/>
      <c r="G3" s="599"/>
      <c r="H3" s="599"/>
      <c r="I3" s="599"/>
      <c r="J3" s="599"/>
      <c r="K3" s="599"/>
      <c r="L3" s="90" t="str">
        <f>+'Ввод данных'!A16</f>
        <v>Отчетный период</v>
      </c>
      <c r="M3" s="140" t="str">
        <f>+'Ввод данных'!B16</f>
        <v>P2</v>
      </c>
      <c r="N3" s="140"/>
      <c r="O3" s="20"/>
    </row>
    <row r="4" spans="2:17" customFormat="1" ht="14.45">
      <c r="B4" s="266" t="str">
        <f>+'Ввод данных'!A12</f>
        <v>Последняя оценка:</v>
      </c>
      <c r="C4" s="940" t="str">
        <f>+IF('Ввод данных'!B12="Выберите","",'Ввод данных'!B12)</f>
        <v>Пожалуйста выберите</v>
      </c>
      <c r="D4" s="940"/>
      <c r="E4" s="851" t="str">
        <f>+'Ввод данных'!B8</f>
        <v>ПРООН</v>
      </c>
      <c r="F4" s="851"/>
      <c r="G4" s="851"/>
      <c r="H4" s="851"/>
      <c r="I4" s="851"/>
      <c r="J4" s="851"/>
      <c r="K4" s="851"/>
      <c r="L4" s="90" t="str">
        <f>+'Ввод данных'!C16</f>
        <v>с:</v>
      </c>
      <c r="M4" s="141">
        <f>+IF(ISBLANK('Ввод данных'!D16),"",'Ввод данных'!D16)</f>
        <v>44562</v>
      </c>
      <c r="N4" s="141"/>
      <c r="O4" s="20"/>
    </row>
    <row r="5" spans="2:17" customFormat="1" ht="18.75" customHeight="1">
      <c r="B5" s="90"/>
      <c r="C5" s="90"/>
      <c r="D5" s="88"/>
      <c r="E5" s="851"/>
      <c r="F5" s="851"/>
      <c r="G5" s="851"/>
      <c r="H5" s="851"/>
      <c r="I5" s="851"/>
      <c r="J5" s="851"/>
      <c r="K5" s="851"/>
      <c r="L5" s="90" t="str">
        <f>+'Ввод данных'!E16</f>
        <v>до:</v>
      </c>
      <c r="M5" s="141">
        <f>+IF(ISBLANK('Ввод данных'!F16),"",'Ввод данных'!F16)</f>
        <v>44926</v>
      </c>
      <c r="N5" s="141"/>
    </row>
    <row r="6" spans="2:17" customFormat="1" ht="22.5" customHeight="1">
      <c r="B6" s="15"/>
      <c r="C6" s="90"/>
      <c r="D6" s="91"/>
      <c r="E6" s="836" t="s">
        <v>463</v>
      </c>
      <c r="F6" s="836"/>
      <c r="G6" s="836"/>
      <c r="H6" s="836"/>
      <c r="I6" s="836"/>
      <c r="J6" s="836"/>
      <c r="K6" s="836"/>
    </row>
    <row r="7" spans="2:17" ht="4.5" customHeight="1">
      <c r="B7" s="97"/>
      <c r="C7" s="97"/>
      <c r="D7" s="97"/>
      <c r="E7" s="97"/>
      <c r="F7" s="97"/>
      <c r="G7" s="97"/>
      <c r="H7" s="97"/>
      <c r="I7" s="97"/>
      <c r="J7" s="97"/>
      <c r="K7" s="97"/>
      <c r="L7" s="98"/>
      <c r="M7" s="98"/>
      <c r="N7" s="99"/>
    </row>
    <row r="8" spans="2:17" ht="21" customHeight="1" thickBot="1">
      <c r="B8" s="1073" t="s">
        <v>464</v>
      </c>
      <c r="C8" s="1073"/>
      <c r="D8" s="1073"/>
      <c r="E8" s="1073"/>
      <c r="F8" s="1073"/>
      <c r="G8" s="1073"/>
      <c r="H8" s="1073"/>
      <c r="I8" s="1073"/>
      <c r="J8" s="1073"/>
      <c r="K8" s="1073"/>
      <c r="L8" s="1073"/>
      <c r="M8" s="1073"/>
      <c r="N8" s="1073"/>
    </row>
    <row r="9" spans="2:17" ht="3.75" customHeight="1" thickBot="1">
      <c r="B9" s="97"/>
      <c r="C9" s="97"/>
      <c r="D9" s="97"/>
      <c r="E9" s="97"/>
      <c r="F9" s="97"/>
      <c r="G9" s="97"/>
      <c r="H9" s="97"/>
      <c r="I9" s="97"/>
      <c r="J9" s="97"/>
      <c r="K9" s="97"/>
      <c r="L9" s="98"/>
      <c r="M9" s="98"/>
      <c r="N9" s="99"/>
    </row>
    <row r="10" spans="2:17" s="22" customFormat="1" ht="25.5" customHeight="1" thickBot="1">
      <c r="B10" s="1094" t="s">
        <v>259</v>
      </c>
      <c r="C10" s="1095"/>
      <c r="D10" s="1083" t="s">
        <v>465</v>
      </c>
      <c r="E10" s="1084"/>
      <c r="F10" s="1084"/>
      <c r="G10" s="1085"/>
      <c r="H10" s="102"/>
      <c r="I10" s="1083" t="s">
        <v>463</v>
      </c>
      <c r="J10" s="1084"/>
      <c r="K10" s="1084"/>
      <c r="L10" s="1084"/>
      <c r="M10" s="1084"/>
      <c r="N10" s="1085"/>
    </row>
    <row r="11" spans="2:17" s="22" customFormat="1" ht="28.5" customHeight="1">
      <c r="B11" s="238" t="s">
        <v>466</v>
      </c>
      <c r="C11" s="119"/>
      <c r="D11" s="1088" t="str">
        <f>IF(ISBLANK(Финансирование!C9),"",(Финансирование!C9))</f>
        <v>ГФ в отчетном периоде произвел выплату на общую сумму 3 196 889$, так как ГФ произвел выплату на период январь-июнь 2022 г в размере бюджета 8 029 062$ в 2021 г. Итого, ГФ выплатил 104% от общего бюджета за 2021-2022 гг.</v>
      </c>
      <c r="E11" s="1089"/>
      <c r="F11" s="1089"/>
      <c r="G11" s="1090"/>
      <c r="H11" s="125"/>
      <c r="I11" s="1096"/>
      <c r="J11" s="1097"/>
      <c r="K11" s="1097"/>
      <c r="L11" s="1097"/>
      <c r="M11" s="1097"/>
      <c r="N11" s="1098"/>
    </row>
    <row r="12" spans="2:17" s="22" customFormat="1" ht="27.75" customHeight="1">
      <c r="B12" s="239" t="s">
        <v>467</v>
      </c>
      <c r="C12" s="120"/>
      <c r="D12" s="1107" t="str">
        <f>IF(ISBLANK(Финансирование!C23),"",(Финансирование!C23))</f>
        <v xml:space="preserve">Расходы  связаны с обеспечением всех направлений деятельности программы по задачам. За отчетный период было израсходовано  99.83% выделенного бюджета согласно фактическим потребностям. При этом на конец отчетного периода имеются финансовые обязательства на 5 236 867$, с учетом которых освоение будет 150%. </v>
      </c>
      <c r="E12" s="1107"/>
      <c r="F12" s="1107"/>
      <c r="G12" s="1108"/>
      <c r="H12" s="125"/>
      <c r="I12" s="1104"/>
      <c r="J12" s="1105"/>
      <c r="K12" s="1105"/>
      <c r="L12" s="1105"/>
      <c r="M12" s="1105"/>
      <c r="N12" s="1106"/>
    </row>
    <row r="13" spans="2:17" s="22" customFormat="1" ht="26.25" customHeight="1">
      <c r="B13" s="239" t="s">
        <v>468</v>
      </c>
      <c r="C13" s="120"/>
      <c r="D13" s="1074" t="str">
        <f>IF(ISBLANK(Финансирование!K9),"",(Финансирование!K9))</f>
        <v xml:space="preserve">В отчетном периоде ГФ произвел выплату согласно утвержденного годового графика выплат.
Расходы ОП составили 8 335 821$. При этом имеются финансовые обязательства, в основном, по закупкам товаров медицинского назначения и медицинского оборудования, лекарственных средств и фармацевтических препаратов, GMS  на 31 декабря 2021 в 5 236 8672$. Итого за текущий период с учетом обязательств освоено 107% выделенных средств на ОП. В текущем периоде ПРООН произвел выплаты 25 СП на общую сумму в 2 184 701$ по запросу от СП в рамках 41 подписанных Соглашений и бюджетов. </v>
      </c>
      <c r="E13" s="1075"/>
      <c r="F13" s="1075"/>
      <c r="G13" s="1103"/>
      <c r="H13" s="125"/>
      <c r="I13" s="1104"/>
      <c r="J13" s="1105"/>
      <c r="K13" s="1105"/>
      <c r="L13" s="1105"/>
      <c r="M13" s="1105"/>
      <c r="N13" s="1106"/>
    </row>
    <row r="14" spans="2:17" s="22" customFormat="1" ht="28.5" customHeight="1" thickBot="1">
      <c r="B14" s="240" t="s">
        <v>469</v>
      </c>
      <c r="C14" s="121"/>
      <c r="D14" s="1086" t="str">
        <f>IF(ISBLANK(Финансирование!K23),"",(Финансирование!K23))</f>
        <v>В отчетном периоде ОП предоставил отчет в ГФ в установленные сроки, 28 февраля 2023 г.</v>
      </c>
      <c r="E14" s="1086"/>
      <c r="F14" s="1086"/>
      <c r="G14" s="1087"/>
      <c r="H14" s="125"/>
      <c r="I14" s="1091"/>
      <c r="J14" s="1092"/>
      <c r="K14" s="1092"/>
      <c r="L14" s="1092"/>
      <c r="M14" s="1092"/>
      <c r="N14" s="1093"/>
    </row>
    <row r="15" spans="2:17" s="22" customFormat="1" ht="4.5" customHeight="1">
      <c r="B15" s="122"/>
      <c r="C15" s="123"/>
      <c r="D15" s="124"/>
      <c r="E15" s="124"/>
      <c r="F15" s="124"/>
      <c r="G15" s="124"/>
      <c r="H15" s="125"/>
      <c r="I15" s="126"/>
      <c r="J15" s="126"/>
      <c r="K15" s="126"/>
      <c r="L15" s="126"/>
      <c r="M15" s="126"/>
      <c r="N15" s="126"/>
    </row>
    <row r="16" spans="2:17" ht="21" customHeight="1" thickBot="1">
      <c r="B16" s="1073" t="s">
        <v>470</v>
      </c>
      <c r="C16" s="1073"/>
      <c r="D16" s="1073"/>
      <c r="E16" s="1073"/>
      <c r="F16" s="1073"/>
      <c r="G16" s="1073"/>
      <c r="H16" s="1073"/>
      <c r="I16" s="1073"/>
      <c r="J16" s="1073"/>
      <c r="K16" s="1073"/>
      <c r="L16" s="1073"/>
      <c r="M16" s="1073"/>
      <c r="N16" s="1073"/>
    </row>
    <row r="17" spans="2:14" s="22" customFormat="1" ht="3.75" customHeight="1" thickBot="1">
      <c r="B17" s="108"/>
      <c r="C17" s="109"/>
      <c r="D17" s="110"/>
      <c r="E17" s="111"/>
      <c r="F17" s="112"/>
      <c r="G17" s="112"/>
      <c r="H17" s="113"/>
      <c r="I17" s="114"/>
      <c r="J17" s="115"/>
      <c r="K17" s="104"/>
      <c r="L17" s="105"/>
      <c r="M17" s="106"/>
      <c r="N17" s="107"/>
    </row>
    <row r="18" spans="2:14" s="22" customFormat="1" ht="22.5" customHeight="1" thickBot="1">
      <c r="B18" s="1095" t="s">
        <v>275</v>
      </c>
      <c r="C18" s="1099"/>
      <c r="D18" s="1113" t="s">
        <v>465</v>
      </c>
      <c r="E18" s="1114"/>
      <c r="F18" s="1114"/>
      <c r="G18" s="1115"/>
      <c r="H18" s="102"/>
      <c r="I18" s="1109" t="s">
        <v>463</v>
      </c>
      <c r="J18" s="1110"/>
      <c r="K18" s="1110"/>
      <c r="L18" s="1110"/>
      <c r="M18" s="1111"/>
      <c r="N18" s="1112"/>
    </row>
    <row r="19" spans="2:14" s="22" customFormat="1" ht="48.75" customHeight="1">
      <c r="B19" s="241" t="s">
        <v>471</v>
      </c>
      <c r="C19" s="127"/>
      <c r="D19" s="1116" t="str">
        <f>IF(ISBLANK(Управление!C8),"",(Управление!C8))</f>
        <v xml:space="preserve">По обоим компонентам предварительных условий (ПУ) нет </v>
      </c>
      <c r="E19" s="1117"/>
      <c r="F19" s="1117"/>
      <c r="G19" s="1118"/>
      <c r="H19" s="128"/>
      <c r="I19" s="1119"/>
      <c r="J19" s="1120"/>
      <c r="K19" s="1120"/>
      <c r="L19" s="1120"/>
      <c r="M19" s="1120"/>
      <c r="N19" s="1121"/>
    </row>
    <row r="20" spans="2:14" ht="30.75" customHeight="1">
      <c r="B20" s="242" t="s">
        <v>472</v>
      </c>
      <c r="C20" s="129"/>
      <c r="D20" s="1074" t="str">
        <f>IF(ISBLANK(Управление!J8),"",(Управление!J8))</f>
        <v>По ВИЧ\ТБ  гранту всего 24  штатные позиции, из них 5 - по компоненту ВИЧ,  2 - по компоненту ТБ.,  оставшиеся  17   относятся к обоим компонентам,  все штатные позиции были заполнены</v>
      </c>
      <c r="E20" s="1075"/>
      <c r="F20" s="1075"/>
      <c r="G20" s="1076"/>
      <c r="H20" s="128"/>
      <c r="I20" s="1077"/>
      <c r="J20" s="1078"/>
      <c r="K20" s="1078"/>
      <c r="L20" s="1078"/>
      <c r="M20" s="1078"/>
      <c r="N20" s="1079"/>
    </row>
    <row r="21" spans="2:14" ht="31.5" customHeight="1">
      <c r="B21" s="243" t="s">
        <v>473</v>
      </c>
      <c r="C21" s="129"/>
      <c r="D21" s="1074" t="e">
        <f>IF(ISBLANK(Управление!#REF!),"",(Управление!#REF!))</f>
        <v>#REF!</v>
      </c>
      <c r="E21" s="1075"/>
      <c r="F21" s="1075"/>
      <c r="G21" s="1076"/>
      <c r="H21" s="128"/>
      <c r="I21" s="1077"/>
      <c r="J21" s="1078"/>
      <c r="K21" s="1078"/>
      <c r="L21" s="1078"/>
      <c r="M21" s="1078"/>
      <c r="N21" s="1079"/>
    </row>
    <row r="22" spans="2:14" ht="34.5" customHeight="1">
      <c r="B22" s="243" t="s">
        <v>474</v>
      </c>
      <c r="C22" s="129"/>
      <c r="D22" s="1074" t="e">
        <f>IF(ISBLANK(Управление!#REF!),"",(Управление!#REF!))</f>
        <v>#REF!</v>
      </c>
      <c r="E22" s="1075"/>
      <c r="F22" s="1075"/>
      <c r="G22" s="1076"/>
      <c r="H22" s="128"/>
      <c r="I22" s="1077"/>
      <c r="J22" s="1078"/>
      <c r="K22" s="1078"/>
      <c r="L22" s="1078"/>
      <c r="M22" s="1078"/>
      <c r="N22" s="1079"/>
    </row>
    <row r="23" spans="2:14" ht="33.75" customHeight="1">
      <c r="B23" s="243" t="s">
        <v>475</v>
      </c>
      <c r="C23" s="129"/>
      <c r="D23" s="1074" t="str">
        <f>IF(ISBLANK(Управление!C29),"",(Управление!C29))</f>
        <v>Медикаменты и ИМН закуплены согласно потребности на 2020 год. В расчетах потребности учтены текущий запас, ожидаемые поставки и наличие бюджета</v>
      </c>
      <c r="E23" s="1075"/>
      <c r="F23" s="1075"/>
      <c r="G23" s="1076"/>
      <c r="H23" s="128"/>
      <c r="I23" s="1077"/>
      <c r="J23" s="1078"/>
      <c r="K23" s="1078"/>
      <c r="L23" s="1078"/>
      <c r="M23" s="1078"/>
      <c r="N23" s="1079"/>
    </row>
    <row r="24" spans="2:14" ht="39.75" customHeight="1" thickBot="1">
      <c r="B24" s="244" t="s">
        <v>476</v>
      </c>
      <c r="C24" s="130"/>
      <c r="D24" s="1070" t="str">
        <f>IF(ISBLANK(Управление!J29),"",(Управление!J29))</f>
        <v>Запас  имеющихся  ПТП для лечения ЛУ-ТБ в основном составляют от 5 до 21 месяцев, за исключением претоманида, запас, которого - 2 месяца и двух препаратов (Н300, Е400), используемых  в малых количествах, при необходимой потребности в единичных случаях, будут использоваться с запасов ПТП, закупленных для лечения ЛЧ-ТБ за счет гос. средств. Инъекционные ПТП (Cm, Km, Am)  и препараты группы "С" - Pto, PAS  выбыли из схем лечения. Ситуация по претоманиду сложилась в связи с резким перерасходом препарата из-за того, что НТП на основании быстрых коммуникаций ВОЗ (май 2022) о программном внедрении BPal и BPalM режима расширил набор на данные режимы вне планируемого количества, которое отслеживается ежемесячно, в этой связи ПРООН/ГФ официально обратился в НЦФ на принятие срочных мер, как (I) определение  количества пациентов на BPal режим к ежемесячному набору и серьезный контроль за набором согласно плану/прогнозируемое количество ожидаемых случаев. (II) в случае решения НЦФ о   программном внедрении BPal режима, критически важно в первую очередь (1) обновление Национального клинического протокола; (2) осуществить закупку и доставку претоманида в страну. (III) разработка плана перехода на краткосрочные режимы лечения (согласно срочной коммуникации ВОЗ, май 2022) с учетом имеющихся запасов ПТП и осуществления нового заказа и контроль его выполнения. Своевременное уменьшение набора пациентов на BPal режим не привело к перерывам лечения у пациентов, находящихся на лечении. Осуществлен срочный заказ. В больших запасах имеются линезолид (21 мес), моксифлоксацин (19 мес), левофлоксацин (20 мес)  однако, остаточные сроки годности (ОСГ) приемлемы, т.е запас не превышает ОСГ, риска истечения нет. Остаток GX картриджей составляет 9 месяцев, сроки годности приемлемы, рисков по истечению срока годности нет. Уничтожены протионамид, ПАСК в соответствии законодательства КР.Количество утилизированных ПТП:Протоинамид 250 мг – 3 407 уп и россыпью 166 таб; ПАСК 4г – 66 уп и 36 пак. На общую сумму: 30 140,89 долларов США</v>
      </c>
      <c r="E24" s="1071"/>
      <c r="F24" s="1071"/>
      <c r="G24" s="1072"/>
      <c r="H24" s="128"/>
      <c r="I24" s="1100"/>
      <c r="J24" s="1101"/>
      <c r="K24" s="1101"/>
      <c r="L24" s="1101"/>
      <c r="M24" s="1101"/>
      <c r="N24" s="1102"/>
    </row>
    <row r="25" spans="2:14" ht="4.5" customHeight="1">
      <c r="B25" s="100"/>
      <c r="C25" s="101"/>
      <c r="D25" s="116"/>
      <c r="E25" s="117"/>
      <c r="F25" s="118"/>
      <c r="G25" s="118"/>
      <c r="H25" s="102"/>
      <c r="I25" s="117"/>
      <c r="J25" s="103"/>
      <c r="K25" s="104"/>
      <c r="L25" s="105"/>
      <c r="M25" s="106"/>
      <c r="N25" s="107"/>
    </row>
    <row r="26" spans="2:14" ht="21" customHeight="1" thickBot="1">
      <c r="B26" s="1073" t="s">
        <v>477</v>
      </c>
      <c r="C26" s="1073"/>
      <c r="D26" s="1073"/>
      <c r="E26" s="1073"/>
      <c r="F26" s="1073"/>
      <c r="G26" s="1073"/>
      <c r="H26" s="1073"/>
      <c r="I26" s="1073"/>
      <c r="J26" s="1073"/>
      <c r="K26" s="1073"/>
      <c r="L26" s="1073"/>
      <c r="M26" s="1073"/>
      <c r="N26" s="1073"/>
    </row>
    <row r="27" spans="2:14" ht="3.75" customHeight="1" thickBot="1">
      <c r="B27" s="100"/>
      <c r="C27" s="101"/>
      <c r="D27" s="116"/>
      <c r="E27" s="117"/>
      <c r="F27" s="118"/>
      <c r="G27" s="118"/>
      <c r="H27" s="102"/>
      <c r="I27" s="117"/>
      <c r="J27" s="103"/>
      <c r="K27" s="104"/>
      <c r="L27" s="105"/>
      <c r="M27" s="106"/>
      <c r="N27" s="107"/>
    </row>
    <row r="28" spans="2:14" ht="21.75" customHeight="1" thickBot="1">
      <c r="B28" s="1094" t="s">
        <v>478</v>
      </c>
      <c r="C28" s="1099"/>
      <c r="D28" s="1051" t="s">
        <v>465</v>
      </c>
      <c r="E28" s="1052"/>
      <c r="F28" s="1052"/>
      <c r="G28" s="1053"/>
      <c r="H28" s="102"/>
      <c r="I28" s="1051" t="s">
        <v>463</v>
      </c>
      <c r="J28" s="1052"/>
      <c r="K28" s="1052"/>
      <c r="L28" s="1052"/>
      <c r="M28" s="1052"/>
      <c r="N28" s="1053"/>
    </row>
    <row r="29" spans="2:14" ht="29.25" customHeight="1">
      <c r="B29" s="245" t="s">
        <v>479</v>
      </c>
      <c r="C29" s="131"/>
      <c r="D29" s="1057" t="str">
        <f>IF(ISBLANK(Программа!C36),"",(Программа!C36))</f>
        <v xml:space="preserve"> Основными причинами, по которым индикатор не достигнут, являются неаккуратность переноса данных в регистрационные формы и % ошибок при проведении GenExpert выше нормального показателя. </v>
      </c>
      <c r="E29" s="1058"/>
      <c r="F29" s="1058"/>
      <c r="G29" s="1059"/>
      <c r="H29" s="128"/>
      <c r="I29" s="1080"/>
      <c r="J29" s="1081"/>
      <c r="K29" s="1081"/>
      <c r="L29" s="1081"/>
      <c r="M29" s="1081"/>
      <c r="N29" s="1082"/>
    </row>
    <row r="30" spans="2:14" ht="21.95" customHeight="1">
      <c r="B30" s="246" t="s">
        <v>480</v>
      </c>
      <c r="C30" s="132"/>
      <c r="D30" s="1069" t="str">
        <f>IF(ISBLANK(Программа!G36),"",(Программа!G36))</f>
        <v xml:space="preserve">Снижение в выявлении РУ/МЛУ случаев, в первую очередь, связано с общей тенденцией в снижении выявления случаев ТБ: по сравнению с доковидным периодом, кол-во зарегистрированных РУ/МЛУ ТБ случаев снизилось на 30%. Основной причиной по-прежнему остается влияние пандемии как на работу системы здравоохранения, так и на установки и практики людей в отношении профилактики и обращения за медицинской помощью. </v>
      </c>
      <c r="E30" s="1055"/>
      <c r="F30" s="1055"/>
      <c r="G30" s="1056"/>
      <c r="H30" s="128"/>
      <c r="I30" s="1060"/>
      <c r="J30" s="1061"/>
      <c r="K30" s="1061"/>
      <c r="L30" s="1061"/>
      <c r="M30" s="1061"/>
      <c r="N30" s="1062"/>
    </row>
    <row r="31" spans="2:14" ht="21.95" customHeight="1">
      <c r="B31" s="246" t="s">
        <v>481</v>
      </c>
      <c r="C31" s="132"/>
      <c r="D31" s="1069" t="str">
        <f>IF(ISBLANK(Программа!M36),"",(Программа!M36))</f>
        <v xml:space="preserve"> Ключевыми факторами, внесшими вклад в достижение этого индикатора, являются улучшение системы передачи  лабораторных данных и функционирование системы транпортировки мокроты. </v>
      </c>
      <c r="E31" s="1055"/>
      <c r="F31" s="1055"/>
      <c r="G31" s="1056"/>
      <c r="H31" s="128"/>
      <c r="I31" s="1060"/>
      <c r="J31" s="1061"/>
      <c r="K31" s="1061"/>
      <c r="L31" s="1061"/>
      <c r="M31" s="1061"/>
      <c r="N31" s="1062"/>
    </row>
    <row r="32" spans="2:14" ht="21.95" customHeight="1">
      <c r="B32" s="247" t="s">
        <v>40</v>
      </c>
      <c r="C32" s="132"/>
      <c r="D32" s="1054" t="str">
        <f>IF(ISBLANK(Программа!L49),"",(Программа!L49))</f>
        <v xml:space="preserve">3129 случаев бактериологически подтвержденного туберкулеза было зарегистрировано в течение отчетного периода, 2975 из них имеют результат ТЛЧ к препаратам второго ряда, включая ГенЭксперт (95%). В предыдущий отчетный период этот показатель составил 94%. В течение отчетного периода Проект ГФ ПРООН продолжал продвигать активности, направленные на поддержку диагностического алгоритма:   систему транспортировки, мониторинг состояния и рабочей нагрузки ГенЭкспертов, поддержку областных координаторов по системе транспортировки. </v>
      </c>
      <c r="E32" s="1055"/>
      <c r="F32" s="1055"/>
      <c r="G32" s="1056"/>
      <c r="H32" s="128"/>
      <c r="I32" s="1060"/>
      <c r="J32" s="1061"/>
      <c r="K32" s="1061"/>
      <c r="L32" s="1061"/>
      <c r="M32" s="1061"/>
      <c r="N32" s="1062"/>
    </row>
    <row r="33" spans="2:14" ht="42.75" customHeight="1">
      <c r="B33" s="247" t="s">
        <v>25</v>
      </c>
      <c r="C33" s="132"/>
      <c r="D33" s="1054" t="str">
        <f>IF(ISBLANK(Программа!L50),"",(Программа!L50))</f>
        <v xml:space="preserve">В течение отчетного периода 961 РУ/МЛУ ТБ случаев было зарегистрировано, включая 858 лабораторно подтвержденных РУ/МЛУ ТБ случаев. Цель была достигнута лишь на 47%. 15 РУ/МЛУ случаев было зарегистрировано в пенитенциарной системе, и 843 – в гражданском секторе. Количество РУ/МЛУ/ШЛУ случаев снизилось на 30% в 2020 году по сравнению с пре-пандемийным периодом и продолжает снижаться: 914 в 2021, 1108 в 2020 и 1440 в 2019.  
Снижение выявления случаев РУ-ТБ отражает в целом тенденцию в уменьшении выявления случаев ТБ, что связано с ослаблением системы здравоохранения, особенно ПМСП, все большее снижение настороженности со стороны системы здравоохранения в отношении ТБ (в т.ч. отсутствие системы активного выявления случаев, недостаточное обследование контактов). Для улучшения достижения этого показателя, НЦФ, по рекомендации ГФ и при поддержки ПРООН, разработали план по улучшению достижения индикаторов ГФ и страновых индикаторов, который включает 26 мероприятий, в т.ч. расширение активного выявления случаев, обследование контактных, улучшение доступа и качества к консультированию по ТБ на уроне первичного звена, и другие активности.  План внедряется с октября 2022 года.   </v>
      </c>
      <c r="E33" s="1055"/>
      <c r="F33" s="1055"/>
      <c r="G33" s="1056"/>
      <c r="H33" s="128"/>
      <c r="I33" s="1066"/>
      <c r="J33" s="1067"/>
      <c r="K33" s="1067"/>
      <c r="L33" s="1067"/>
      <c r="M33" s="1067"/>
      <c r="N33" s="1068"/>
    </row>
    <row r="34" spans="2:14" ht="21.95" customHeight="1">
      <c r="B34" s="247" t="s">
        <v>41</v>
      </c>
      <c r="C34" s="132"/>
      <c r="D34" s="1054" t="str">
        <f>IF(ISBLANK(Программа!L51),"",(Программа!L51))</f>
        <v xml:space="preserve">Выполнение этого индикатора полностью зависит от числа зарегистрированных РУ/МЛУ случаев (предыдущий индикатор): 961 РУ/МЛУ случай был зарегистрирован, 904 из них взяты на лечение (94%). Из 904 случаев, взятых на лечение, 804 – бактериологически подверженные случаи, и 100 – клинически диагностированные: люди из контактов, дети и ранее леченые случаи.  Доля клинических случаев выросла в данном отчетном периоде по сравнению с предыдущими годами: 3% в 2019 году, 4.5% в 2020, 7.4% - в 2021, хотя охват ТЛЧ к препаратам второго ряда постоянно улучшается (см.индикатор MDR TB-7.1).; причины этой ситуации будут изучены в 2023 году. 
По сравнению с предыдущим отчетным периодом, число взятых на лечение РУ/МЛУ ТБ случаев снизилось: 934 в 2021; 986 в 2020, and 1376 в 2019. </v>
      </c>
      <c r="E34" s="1055"/>
      <c r="F34" s="1055"/>
      <c r="G34" s="1056"/>
      <c r="H34" s="128"/>
      <c r="I34" s="1060"/>
      <c r="J34" s="1061"/>
      <c r="K34" s="1061"/>
      <c r="L34" s="1061"/>
      <c r="M34" s="1061"/>
      <c r="N34" s="1062"/>
    </row>
    <row r="35" spans="2:14" ht="27.75" customHeight="1">
      <c r="B35" s="247" t="s">
        <v>42</v>
      </c>
      <c r="C35" s="162"/>
      <c r="D35" s="1054" t="e">
        <f>IF(ISBLANK(Программа!#REF!),"",(Программа!#REF!))</f>
        <v>#REF!</v>
      </c>
      <c r="E35" s="1055"/>
      <c r="F35" s="1055"/>
      <c r="G35" s="1056"/>
      <c r="H35" s="128"/>
      <c r="I35" s="1060"/>
      <c r="J35" s="1061"/>
      <c r="K35" s="1061"/>
      <c r="L35" s="1061"/>
      <c r="M35" s="1061"/>
      <c r="N35" s="1062"/>
    </row>
    <row r="36" spans="2:14" ht="21.95" customHeight="1">
      <c r="B36" s="247" t="s">
        <v>43</v>
      </c>
      <c r="C36" s="162"/>
      <c r="D36" s="1054" t="str">
        <f>IF(ISBLANK(Программа!L53),"",(Программа!L53))</f>
        <v xml:space="preserve">Согласно национальным процедурам МиО, этот индикатор включает все ТБ случаи, которые начали лечение и провели в стационаре менее 30 дней в течение интенсивной фазы. Индикатор оценивается после трех месяцев лечения. В отчетном периоде 5148 ТБ случаев было зарегистрировано в гражданском секторе, 5116 из них начали лечение, 886 из них находились на исключительно амбулаторном лечении согласно определению (17.3%). Процесс продвижения лечения на амбулаторном уровне был заморожен в 2020 году, и снова активизирован в 2021.  В конце 2021 -начале 2022 года 5 ТБ стационаров в Ошской, Джалал-Абадской и Талаской областях были перепрофилированы для общей системы здравоохранения, что привело к сокращению 450 коек; общее количество ТБ стационаров соответствует числу, определенному в Дорожной Карте. Но снижение ТБ коек не привело к сокращению интенсивности и длительности госпитализаций ТБ пациентов. Для преодоления барьеров, препятствующих переходу к модели амбулаторного лечения, НЦФ по рекомендации ГФ и при поддержке ПРООН, разработал национальный план расширения исключительно амбулаторного лечения; план реализуется с октября 2022 года.   </v>
      </c>
      <c r="E36" s="1055"/>
      <c r="F36" s="1055"/>
      <c r="G36" s="1056"/>
      <c r="H36" s="128"/>
      <c r="I36" s="1060"/>
      <c r="J36" s="1061"/>
      <c r="K36" s="1061"/>
      <c r="L36" s="1061"/>
      <c r="M36" s="1061"/>
      <c r="N36" s="1062"/>
    </row>
    <row r="37" spans="2:14" ht="21.95" customHeight="1">
      <c r="B37" s="247" t="s">
        <v>44</v>
      </c>
      <c r="C37" s="162"/>
      <c r="D37" s="1054" t="str">
        <f>IF(ISBLANK(Программа!L54),"",(Программа!L54))</f>
        <v xml:space="preserve">Изменение системы управления МЗ КР и смена директора НЦФ привели к задержкам в решении вопроса южной лаборатории.  Потребовалось время на дополнительное разъяснение. В июле 2022 года ОР снова поднял вопрос о необходимости формального одобрения строительства Ошской лаборатории и получил комментарии представителя МЗ о том, что официального одобрения не требуется. СКК снова проголосовал за это мероприятие.  
В октябре 2022 года GIZ подписал контракт с лабораторией Гаутинга (Gouting Laboratory, Germany) для продвижения технической поддержки в оценки потребностей Ошской лаборатории и разработке технических спецификаций. В ноябре 2022 года была проведена экспертная миссия (состоящая из экспертов Гаутинга, инженера и персонала основного реципиента) в Ошскую лабораторию.   В декабре 2022 года была разработана проектная спецификация дополнительных модульных лабораторных помещений, а также потребности в переоборудовании существующей лаборатории и оборудования. Детали предлагаемых решений были дополнительно обсуждены и согласованы между Гаутингом, НТП, Ошским областным противотуберкулезным центром, PR и GIZ. В начале февраля Гаутинг предоставил окончательные спецификации для лабораторных модулей и оборудования, и они были переданы в Отдел глобальных закупок ПРООН. Спецификации были немедленно переданы держателям LTA, и представление предложений ожидается 23 марта. Тем временем ОР работает над привлечением инженера-строителя, который должен подготовить тендерную спецификацию для строительной компании, которая выполнит ремонт существующих лабораторных помещений. Проводятся регулярные еженедельные встречи по прогрессу с участием Гаутинг, Основного реципиента, ПРООН и GIZ. </v>
      </c>
      <c r="E37" s="1055"/>
      <c r="F37" s="1055"/>
      <c r="G37" s="1056"/>
      <c r="H37" s="128"/>
      <c r="I37" s="1060"/>
      <c r="J37" s="1061"/>
      <c r="K37" s="1061"/>
      <c r="L37" s="1061"/>
      <c r="M37" s="1061"/>
      <c r="N37" s="1062"/>
    </row>
    <row r="38" spans="2:14" ht="21.95" customHeight="1">
      <c r="B38" s="247" t="s">
        <v>45</v>
      </c>
      <c r="C38" s="162"/>
      <c r="D38" s="1054" t="e">
        <f>IF(ISBLANK(Программа!#REF!),"",(Программа!#REF!))</f>
        <v>#REF!</v>
      </c>
      <c r="E38" s="1055"/>
      <c r="F38" s="1055"/>
      <c r="G38" s="1056"/>
      <c r="H38" s="128"/>
      <c r="I38" s="1060"/>
      <c r="J38" s="1061"/>
      <c r="K38" s="1061"/>
      <c r="L38" s="1061"/>
      <c r="M38" s="1061"/>
      <c r="N38" s="1062"/>
    </row>
    <row r="39" spans="2:14" ht="21.95" customHeight="1">
      <c r="B39" s="247" t="s">
        <v>46</v>
      </c>
      <c r="C39" s="162"/>
      <c r="D39" s="1054" t="e">
        <f>IF(ISBLANK(Программа!#REF!),"",(Программа!#REF!))</f>
        <v>#REF!</v>
      </c>
      <c r="E39" s="1055"/>
      <c r="F39" s="1055"/>
      <c r="G39" s="1056"/>
      <c r="H39" s="128"/>
      <c r="I39" s="1060"/>
      <c r="J39" s="1061"/>
      <c r="K39" s="1061"/>
      <c r="L39" s="1061"/>
      <c r="M39" s="1061"/>
      <c r="N39" s="1062"/>
    </row>
    <row r="40" spans="2:14" ht="21.95" customHeight="1">
      <c r="B40" s="247" t="s">
        <v>47</v>
      </c>
      <c r="C40" s="162"/>
      <c r="D40" s="1054" t="e">
        <f>IF(ISBLANK(Программа!#REF!),"",(Программа!#REF!))</f>
        <v>#REF!</v>
      </c>
      <c r="E40" s="1055"/>
      <c r="F40" s="1055"/>
      <c r="G40" s="1056"/>
      <c r="H40" s="128"/>
      <c r="I40" s="1060"/>
      <c r="J40" s="1061"/>
      <c r="K40" s="1061"/>
      <c r="L40" s="1061"/>
      <c r="M40" s="1061"/>
      <c r="N40" s="1062"/>
    </row>
    <row r="41" spans="2:14" ht="21.95" customHeight="1" thickBot="1">
      <c r="B41" s="274" t="s">
        <v>48</v>
      </c>
      <c r="C41" s="133"/>
      <c r="D41" s="1048" t="e">
        <f>IF(ISBLANK(Программа!#REF!),"",(Программа!#REF!))</f>
        <v>#REF!</v>
      </c>
      <c r="E41" s="1049"/>
      <c r="F41" s="1049"/>
      <c r="G41" s="1050"/>
      <c r="H41" s="128"/>
      <c r="I41" s="1063"/>
      <c r="J41" s="1064"/>
      <c r="K41" s="1064"/>
      <c r="L41" s="1064"/>
      <c r="M41" s="1064"/>
      <c r="N41" s="1065"/>
    </row>
    <row r="42" spans="2:14" ht="13.5">
      <c r="B42" s="134"/>
      <c r="C42" s="134"/>
      <c r="D42" s="135"/>
      <c r="F42" s="134"/>
      <c r="G42" s="134"/>
      <c r="I42" s="136"/>
      <c r="K42" s="137"/>
      <c r="L42" s="137"/>
      <c r="M42" s="137"/>
      <c r="N42" s="137"/>
    </row>
  </sheetData>
  <sheetProtection password="CFC9" sheet="1"/>
  <mergeCells count="65">
    <mergeCell ref="I39:N39"/>
    <mergeCell ref="D13:G13"/>
    <mergeCell ref="I12:N12"/>
    <mergeCell ref="D12:G12"/>
    <mergeCell ref="I13:N13"/>
    <mergeCell ref="I18:N18"/>
    <mergeCell ref="D18:G18"/>
    <mergeCell ref="I20:N20"/>
    <mergeCell ref="D19:G19"/>
    <mergeCell ref="D21:G21"/>
    <mergeCell ref="D20:G20"/>
    <mergeCell ref="I19:N19"/>
    <mergeCell ref="D38:G38"/>
    <mergeCell ref="D37:G37"/>
    <mergeCell ref="D36:G36"/>
    <mergeCell ref="D33:G33"/>
    <mergeCell ref="D39:G39"/>
    <mergeCell ref="E6:K6"/>
    <mergeCell ref="B8:N8"/>
    <mergeCell ref="I10:N10"/>
    <mergeCell ref="B16:N16"/>
    <mergeCell ref="D14:G14"/>
    <mergeCell ref="D11:G11"/>
    <mergeCell ref="I14:N14"/>
    <mergeCell ref="B10:C10"/>
    <mergeCell ref="D10:G10"/>
    <mergeCell ref="I11:N11"/>
    <mergeCell ref="B18:C18"/>
    <mergeCell ref="B28:C28"/>
    <mergeCell ref="I24:N24"/>
    <mergeCell ref="I32:N32"/>
    <mergeCell ref="D22:G22"/>
    <mergeCell ref="B2:Q2"/>
    <mergeCell ref="E5:K5"/>
    <mergeCell ref="E3:K3"/>
    <mergeCell ref="C4:D4"/>
    <mergeCell ref="E4:K4"/>
    <mergeCell ref="C3:D3"/>
    <mergeCell ref="D23:G23"/>
    <mergeCell ref="I21:N21"/>
    <mergeCell ref="I22:N22"/>
    <mergeCell ref="I23:N23"/>
    <mergeCell ref="I29:N29"/>
    <mergeCell ref="D30:G30"/>
    <mergeCell ref="D32:G32"/>
    <mergeCell ref="D24:G24"/>
    <mergeCell ref="I30:N30"/>
    <mergeCell ref="I31:N31"/>
    <mergeCell ref="B26:N26"/>
    <mergeCell ref="D41:G41"/>
    <mergeCell ref="I28:N28"/>
    <mergeCell ref="D40:G40"/>
    <mergeCell ref="D34:G34"/>
    <mergeCell ref="D29:G29"/>
    <mergeCell ref="D28:G28"/>
    <mergeCell ref="I34:N34"/>
    <mergeCell ref="D35:G35"/>
    <mergeCell ref="I41:N41"/>
    <mergeCell ref="I35:N35"/>
    <mergeCell ref="I36:N36"/>
    <mergeCell ref="I37:N37"/>
    <mergeCell ref="I38:N38"/>
    <mergeCell ref="I40:N40"/>
    <mergeCell ref="I33:N33"/>
    <mergeCell ref="D31:G31"/>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8" scale="57" orientation="landscape" r:id="rId1"/>
  <headerFooter alignWithMargins="0">
    <oddFooter>&amp;L&amp;F&amp;C&amp;A&amp;RV1.0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d090553-ac12-4b9f-ace9-08ae9ba49871" xsi:nil="true"/>
    <TaxCatchAll xmlns="b7c0ead1-1596-430a-9f15-fe6efc5e9c7f" xsi:nil="true"/>
    <lcf76f155ced4ddcb4097134ff3c332f xmlns="0d090553-ac12-4b9f-ace9-08ae9ba4987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BAFB83A586EF4F94E7F07E84C3D94B" ma:contentTypeVersion="17" ma:contentTypeDescription="Create a new document." ma:contentTypeScope="" ma:versionID="d6b6f14f47726fe1c30b01f675039f08">
  <xsd:schema xmlns:xsd="http://www.w3.org/2001/XMLSchema" xmlns:xs="http://www.w3.org/2001/XMLSchema" xmlns:p="http://schemas.microsoft.com/office/2006/metadata/properties" xmlns:ns2="0d090553-ac12-4b9f-ace9-08ae9ba49871" xmlns:ns3="b7c0ead1-1596-430a-9f15-fe6efc5e9c7f" targetNamespace="http://schemas.microsoft.com/office/2006/metadata/properties" ma:root="true" ma:fieldsID="6133445f6686ffccd363983d0b0ccd39" ns2:_="" ns3:_="">
    <xsd:import namespace="0d090553-ac12-4b9f-ace9-08ae9ba49871"/>
    <xsd:import namespace="b7c0ead1-1596-430a-9f15-fe6efc5e9c7f"/>
    <xsd:element name="properties">
      <xsd:complexType>
        <xsd:sequence>
          <xsd:element name="documentManagement">
            <xsd:complexType>
              <xsd:all>
                <xsd:element ref="ns2:MediaServiceMetadata" minOccurs="0"/>
                <xsd:element ref="ns2:MediaServiceFastMetadata" minOccurs="0"/>
                <xsd:element ref="ns2:_Flow_SignoffStatus"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90553-ac12-4b9f-ace9-08ae9ba49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_x0024_Resources_x003a_core_x002c_Signoff_Status_x003b_">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0ead1-1596-430a-9f15-fe6efc5e9c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bee817-e277-44d7-b1b3-2d258cf7fc2d}" ma:internalName="TaxCatchAll" ma:showField="CatchAllData" ma:web="b7c0ead1-1596-430a-9f15-fe6efc5e9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02EAF0-2AA9-4A84-A04C-8376A13F02F4}"/>
</file>

<file path=customXml/itemProps2.xml><?xml version="1.0" encoding="utf-8"?>
<ds:datastoreItem xmlns:ds="http://schemas.openxmlformats.org/officeDocument/2006/customXml" ds:itemID="{78DFA6C9-3F96-4413-B912-D348D4E4188B}"/>
</file>

<file path=customXml/itemProps3.xml><?xml version="1.0" encoding="utf-8"?>
<ds:datastoreItem xmlns:ds="http://schemas.openxmlformats.org/officeDocument/2006/customXml" ds:itemID="{187E983B-A8A9-4D33-AADE-66E7B8AE57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CCM_Generic_Dashboard_ru</dc:title>
  <dc:subject/>
  <dc:creator>Genc Kastrati</dc:creator>
  <cp:keywords/>
  <dc:description/>
  <cp:lastModifiedBy>Itana Labovic</cp:lastModifiedBy>
  <cp:revision/>
  <dcterms:created xsi:type="dcterms:W3CDTF">2008-11-20T16:06:13Z</dcterms:created>
  <dcterms:modified xsi:type="dcterms:W3CDTF">2023-04-19T04:45:16Z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SubtType">
    <vt:lpwstr/>
  </property>
  <property fmtid="{D5CDD505-2E9C-101B-9397-08002B2CF9AE}" pid="6" name="gfGrant">
    <vt:lpwstr/>
  </property>
  <property fmtid="{D5CDD505-2E9C-101B-9397-08002B2CF9AE}" pid="7" name="GrantDocType">
    <vt:lpwstr/>
  </property>
  <property fmtid="{D5CDD505-2E9C-101B-9397-08002B2CF9AE}" pid="8" name="IsFinal">
    <vt:lpwstr>NO</vt:lpwstr>
  </property>
  <property fmtid="{D5CDD505-2E9C-101B-9397-08002B2CF9AE}" pid="9" name="EktContentLanguage">
    <vt:i4>1033</vt:i4>
  </property>
  <property fmtid="{D5CDD505-2E9C-101B-9397-08002B2CF9AE}" pid="10" name="EktQuickLink">
    <vt:lpwstr>DownloadAsset.aspx?id=10410</vt:lpwstr>
  </property>
  <property fmtid="{D5CDD505-2E9C-101B-9397-08002B2CF9AE}" pid="11" name="EktContentType">
    <vt:i4>101</vt:i4>
  </property>
  <property fmtid="{D5CDD505-2E9C-101B-9397-08002B2CF9AE}" pid="12" name="EktContentSubType">
    <vt:i4>0</vt:i4>
  </property>
  <property fmtid="{D5CDD505-2E9C-101B-9397-08002B2CF9AE}" pid="13" name="EktFolderName">
    <vt:lpwstr/>
  </property>
  <property fmtid="{D5CDD505-2E9C-101B-9397-08002B2CF9AE}" pid="14" name="EktCmsPath">
    <vt:lpwstr>&amp;lt;p&amp;gt;Акронимы  Установки  Действия  Рекомендации  Программа  Управление  Финансирование  Сведения о гранте  Ввод данных  Показатели  Меню  Component  Countries  Currency  LFA  Medicaments  PERIOD  Phase  PrintA  PrintDataF  PrintDataM  PrintF  PrintGD</vt:lpwstr>
  </property>
  <property fmtid="{D5CDD505-2E9C-101B-9397-08002B2CF9AE}" pid="15" name="EktExpiryType">
    <vt:i4>1</vt:i4>
  </property>
  <property fmtid="{D5CDD505-2E9C-101B-9397-08002B2CF9AE}" pid="16" name="EktDateCreated">
    <vt:filetime>2011-06-15T08:55:33Z</vt:filetime>
  </property>
  <property fmtid="{D5CDD505-2E9C-101B-9397-08002B2CF9AE}" pid="17" name="EktDateModified">
    <vt:filetime>2011-06-15T08:55:40Z</vt:filetime>
  </property>
  <property fmtid="{D5CDD505-2E9C-101B-9397-08002B2CF9AE}" pid="18" name="EktTaxCategory">
    <vt:lpwstr> #eksep# \Navigation\documents\ccm #eksep# </vt:lpwstr>
  </property>
  <property fmtid="{D5CDD505-2E9C-101B-9397-08002B2CF9AE}" pid="19" name="EktDisabledTaxCategory">
    <vt:lpwstr/>
  </property>
  <property fmtid="{D5CDD505-2E9C-101B-9397-08002B2CF9AE}" pid="20" name="EktCmsSize">
    <vt:i4>883200</vt:i4>
  </property>
  <property fmtid="{D5CDD505-2E9C-101B-9397-08002B2CF9AE}" pid="21" name="EktSearchable">
    <vt:i4>1</vt:i4>
  </property>
  <property fmtid="{D5CDD505-2E9C-101B-9397-08002B2CF9AE}" pid="22" name="EktEDescription">
    <vt:lpwstr>Summary &amp;lt;p&amp;gt;Акронимы  Установки  Действия  Рекомендации  Программа  Управление  Финансирование  Сведения о гранте  Ввод данных  Показатели  Меню  Component  Countries  Currency  LFA  Medicaments  PERIOD  Phase  PrintA  PrintDataF  PrintDataM  PrintF </vt:lpwstr>
  </property>
  <property fmtid="{D5CDD505-2E9C-101B-9397-08002B2CF9AE}" pid="23" name="EktFile_Size">
    <vt:lpwstr>850 KB</vt:lpwstr>
  </property>
  <property fmtid="{D5CDD505-2E9C-101B-9397-08002B2CF9AE}" pid="24" name="EktFile_Type">
    <vt:lpwstr>XLS</vt:lpwstr>
  </property>
  <property fmtid="{D5CDD505-2E9C-101B-9397-08002B2CF9AE}" pid="25" name="ekttaxonomyenabled">
    <vt:i4>1</vt:i4>
  </property>
  <property fmtid="{D5CDD505-2E9C-101B-9397-08002B2CF9AE}" pid="26" name="SV_QUERY_LIST_4F35BF76-6C0D-4D9B-82B2-816C12CF3733">
    <vt:lpwstr>empty_477D106A-C0D6-4607-AEBD-E2C9D60EA279</vt:lpwstr>
  </property>
  <property fmtid="{D5CDD505-2E9C-101B-9397-08002B2CF9AE}" pid="27" name="SV_HIDDEN_GRID_QUERY_LIST_4F35BF76-6C0D-4D9B-82B2-816C12CF3733">
    <vt:lpwstr>empty_477D106A-C0D6-4607-AEBD-E2C9D60EA279</vt:lpwstr>
  </property>
  <property fmtid="{D5CDD505-2E9C-101B-9397-08002B2CF9AE}" pid="28" name="ContentTypeId">
    <vt:lpwstr>0x0101004EBAFB83A586EF4F94E7F07E84C3D94B</vt:lpwstr>
  </property>
  <property fmtid="{D5CDD505-2E9C-101B-9397-08002B2CF9AE}" pid="29" name="AuthorIds_UIVersion_512">
    <vt:lpwstr>21</vt:lpwstr>
  </property>
  <property fmtid="{D5CDD505-2E9C-101B-9397-08002B2CF9AE}" pid="30" name="AuthorIds_UIVersion_1024">
    <vt:lpwstr>21</vt:lpwstr>
  </property>
  <property fmtid="{D5CDD505-2E9C-101B-9397-08002B2CF9AE}" pid="31" name="AuthorIds_UIVersion_40960">
    <vt:lpwstr>13</vt:lpwstr>
  </property>
  <property fmtid="{D5CDD505-2E9C-101B-9397-08002B2CF9AE}" pid="32" name="AuthorIds_UIVersion_41472">
    <vt:lpwstr>21</vt:lpwstr>
  </property>
  <property fmtid="{D5CDD505-2E9C-101B-9397-08002B2CF9AE}" pid="33" name="AuthorIds_UIVersion_43008">
    <vt:lpwstr>31,21</vt:lpwstr>
  </property>
  <property fmtid="{D5CDD505-2E9C-101B-9397-08002B2CF9AE}" pid="34" name="MediaServiceImageTags">
    <vt:lpwstr/>
  </property>
</Properties>
</file>