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7"/>
  <workbookPr codeName="ThisWorkbook"/>
  <mc:AlternateContent xmlns:mc="http://schemas.openxmlformats.org/markup-compatibility/2006">
    <mc:Choice Requires="x15">
      <x15ac:absPath xmlns:x15ac="http://schemas.microsoft.com/office/spreadsheetml/2010/11/ac" url="https://undp.sharepoint.com/sites/GF-UNDPKyrgyzRepublic/Shared Documents/General/CCM Dashboard/HIV-TB/CCM Dashboard_P23_2023/"/>
    </mc:Choice>
  </mc:AlternateContent>
  <xr:revisionPtr revIDLastSave="0" documentId="8_{8B73CDF6-0D65-4400-8167-BBE7DDB284F6}" xr6:coauthVersionLast="47" xr6:coauthVersionMax="47" xr10:uidLastSave="{00000000-0000-0000-0000-000000000000}"/>
  <bookViews>
    <workbookView minimized="1" xWindow="8376" yWindow="5136" windowWidth="23040" windowHeight="12120" tabRatio="793" firstSheet="1" activeTab="1" xr2:uid="{00000000-000D-0000-FFFF-FFFF00000000}"/>
  </bookViews>
  <sheets>
    <sheet name="Меню" sheetId="1" r:id="rId1"/>
    <sheet name="Ввод данных" sheetId="29" r:id="rId2"/>
    <sheet name="Показатели" sheetId="45" r:id="rId3"/>
    <sheet name="Сведения о гранте" sheetId="27" r:id="rId4"/>
    <sheet name="Финансирование" sheetId="30" r:id="rId5"/>
    <sheet name="Программа" sheetId="37" r:id="rId6"/>
    <sheet name="Управление" sheetId="35" r:id="rId7"/>
    <sheet name="Установки" sheetId="32" state="hidden" r:id="rId8"/>
    <sheet name="Акронимы" sheetId="46" state="hidden" r:id="rId9"/>
  </sheet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_xlnm.Print_Area" localSheetId="5">Программа!$A$1:$Q$54</definedName>
    <definedName name="_xlnm.Print_Area" localSheetId="6">Управление!$A$1:$M$50</definedName>
    <definedName name="_xlnm.Print_Area" localSheetId="4">Финансирование!$A$2:$M$31</definedName>
    <definedName name="PrintA">#REF!</definedName>
    <definedName name="PrintDataF">'Ввод данных'!$A$25:$I$82</definedName>
    <definedName name="PrintDataM">'Ввод данных'!$A$84:$G$165</definedName>
    <definedName name="PrintF">Финансирование!$A$2:$M$31</definedName>
    <definedName name="PrintGD">'Сведения о гранте'!$A$2:$J$13</definedName>
    <definedName name="PrintM">Управление!$A$2:$M$64</definedName>
    <definedName name="PrintP">Программа!$A$2:$P$55</definedName>
    <definedName name="PrintR">#REF!</definedName>
    <definedName name="Rating">Установки!$G$9:$G$14</definedName>
    <definedName name="Round">Установки!$D$9:$D$21</definedName>
    <definedName name="мва">Установки!$I$9:$I$30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6" i="35" l="1"/>
  <c r="K47" i="35"/>
  <c r="M47" i="35"/>
  <c r="E135" i="29"/>
  <c r="E133" i="29"/>
  <c r="D124" i="29"/>
  <c r="D123" i="29"/>
  <c r="D34" i="29" l="1"/>
  <c r="D33" i="29"/>
  <c r="B50" i="37"/>
  <c r="D98" i="29"/>
  <c r="C124" i="29"/>
  <c r="C123" i="29"/>
  <c r="B122" i="29"/>
  <c r="C122" i="29" s="1"/>
  <c r="D122" i="29" s="1"/>
  <c r="C34" i="29" l="1"/>
  <c r="C33" i="29"/>
  <c r="F225" i="29"/>
  <c r="D139" i="29" l="1"/>
  <c r="K154" i="29"/>
  <c r="B124" i="29"/>
  <c r="B123" i="29"/>
  <c r="J59" i="35"/>
  <c r="K49" i="35"/>
  <c r="K48" i="35"/>
  <c r="A197" i="29"/>
  <c r="G53" i="37"/>
  <c r="D143" i="29"/>
  <c r="D144" i="29"/>
  <c r="F142" i="29"/>
  <c r="I142" i="29" s="1"/>
  <c r="F143" i="29"/>
  <c r="A228" i="29"/>
  <c r="A226" i="29"/>
  <c r="A224" i="29"/>
  <c r="G52" i="37"/>
  <c r="G51" i="37"/>
  <c r="G50" i="37"/>
  <c r="G49" i="37"/>
  <c r="M66" i="35"/>
  <c r="M49" i="35"/>
  <c r="M48" i="35"/>
  <c r="F162" i="29"/>
  <c r="I162" i="29" s="1"/>
  <c r="F161" i="29"/>
  <c r="I161" i="29" s="1"/>
  <c r="F160" i="29"/>
  <c r="I160" i="29" s="1"/>
  <c r="F159" i="29"/>
  <c r="I159" i="29" s="1"/>
  <c r="F158" i="29"/>
  <c r="I158" i="29" s="1"/>
  <c r="F157" i="29"/>
  <c r="I157" i="29" s="1"/>
  <c r="F156" i="29"/>
  <c r="I156" i="29" s="1"/>
  <c r="F155" i="29"/>
  <c r="F154" i="29"/>
  <c r="F153" i="29"/>
  <c r="I153" i="29" s="1"/>
  <c r="F152" i="29"/>
  <c r="I152" i="29" s="1"/>
  <c r="F151" i="29"/>
  <c r="I151" i="29" s="1"/>
  <c r="F150" i="29"/>
  <c r="I150" i="29" s="1"/>
  <c r="F149" i="29"/>
  <c r="I149" i="29" s="1"/>
  <c r="F148" i="29"/>
  <c r="I148" i="29" s="1"/>
  <c r="F146" i="29"/>
  <c r="F145" i="29"/>
  <c r="M46" i="35"/>
  <c r="K43" i="35" l="1"/>
  <c r="K50" i="35"/>
  <c r="M50" i="35" s="1"/>
  <c r="K148" i="29"/>
  <c r="K51" i="35"/>
  <c r="M51" i="35" s="1"/>
  <c r="K149" i="29"/>
  <c r="K52" i="35"/>
  <c r="M52" i="35" s="1"/>
  <c r="K150" i="29"/>
  <c r="K53" i="35"/>
  <c r="M53" i="35" s="1"/>
  <c r="K151" i="29"/>
  <c r="K54" i="35"/>
  <c r="M54" i="35" s="1"/>
  <c r="K152" i="29"/>
  <c r="K55" i="35"/>
  <c r="M55" i="35" s="1"/>
  <c r="K153" i="29"/>
  <c r="K56" i="35"/>
  <c r="M56" i="35" s="1"/>
  <c r="K57" i="35"/>
  <c r="M57" i="35" s="1"/>
  <c r="K155" i="29"/>
  <c r="K58" i="35"/>
  <c r="M58" i="35" s="1"/>
  <c r="K156" i="29"/>
  <c r="K59" i="35"/>
  <c r="M59" i="35" s="1"/>
  <c r="K157" i="29"/>
  <c r="K60" i="35"/>
  <c r="M60" i="35" s="1"/>
  <c r="K158" i="29"/>
  <c r="K61" i="35"/>
  <c r="M61" i="35" s="1"/>
  <c r="K159" i="29"/>
  <c r="K62" i="35"/>
  <c r="M62" i="35" s="1"/>
  <c r="K160" i="29"/>
  <c r="K63" i="35"/>
  <c r="M63" i="35" s="1"/>
  <c r="K161" i="29"/>
  <c r="K64" i="35"/>
  <c r="M64" i="35" s="1"/>
  <c r="K162" i="29"/>
  <c r="K65" i="35"/>
  <c r="M65" i="35" s="1"/>
  <c r="K142" i="29"/>
  <c r="I143" i="29"/>
  <c r="K44" i="35" s="1"/>
  <c r="M44" i="35" s="1"/>
  <c r="K143" i="29" l="1"/>
  <c r="F144" i="29"/>
  <c r="F141" i="29"/>
  <c r="F140" i="29"/>
  <c r="I140" i="29" s="1"/>
  <c r="K40" i="35" s="1"/>
  <c r="F139" i="29"/>
  <c r="D138" i="29"/>
  <c r="F138" i="29" s="1"/>
  <c r="D137" i="29"/>
  <c r="F137" i="29" s="1"/>
  <c r="D136" i="29"/>
  <c r="F136" i="29" s="1"/>
  <c r="I136" i="29" s="1"/>
  <c r="K36" i="35" s="1"/>
  <c r="M36" i="35" s="1"/>
  <c r="D135" i="29"/>
  <c r="D134" i="29"/>
  <c r="F134" i="29" s="1"/>
  <c r="D133" i="29"/>
  <c r="F133" i="29" s="1"/>
  <c r="D132" i="29"/>
  <c r="F132" i="29" l="1"/>
  <c r="I132" i="29" s="1"/>
  <c r="F135" i="29"/>
  <c r="K32" i="35"/>
  <c r="M32" i="35" s="1"/>
  <c r="K132" i="29"/>
  <c r="I135" i="29" l="1"/>
  <c r="K35" i="35" s="1"/>
  <c r="M35" i="35" s="1"/>
  <c r="I144" i="29" l="1"/>
  <c r="K41" i="35" s="1"/>
  <c r="I141" i="29"/>
  <c r="K42" i="35" s="1"/>
  <c r="M42" i="35" s="1"/>
  <c r="I139" i="29"/>
  <c r="I138" i="29"/>
  <c r="I137" i="29"/>
  <c r="K136" i="29"/>
  <c r="K135" i="29"/>
  <c r="I133" i="29"/>
  <c r="K133" i="29" l="1"/>
  <c r="K33" i="35"/>
  <c r="M33" i="35" s="1"/>
  <c r="K137" i="29"/>
  <c r="K37" i="35"/>
  <c r="M37" i="35" s="1"/>
  <c r="K138" i="29"/>
  <c r="K38" i="35"/>
  <c r="M38" i="35" s="1"/>
  <c r="K139" i="29"/>
  <c r="K39" i="35"/>
  <c r="M39" i="35" s="1"/>
  <c r="M40" i="35"/>
  <c r="K140" i="29"/>
  <c r="M41" i="35"/>
  <c r="K141" i="29"/>
  <c r="M43" i="35"/>
  <c r="K144" i="29"/>
  <c r="I134" i="29"/>
  <c r="K134" i="29" l="1"/>
  <c r="K34" i="35"/>
  <c r="M34" i="35" s="1"/>
  <c r="M45" i="35" l="1"/>
  <c r="B28" i="35"/>
  <c r="B51" i="37"/>
  <c r="B52" i="37"/>
  <c r="D113" i="29"/>
  <c r="D114" i="29"/>
  <c r="D112" i="29"/>
  <c r="X33" i="37"/>
  <c r="W33" i="37"/>
  <c r="V33" i="37"/>
  <c r="U33" i="37"/>
  <c r="T33" i="37"/>
  <c r="X32" i="37"/>
  <c r="W32" i="37"/>
  <c r="V32" i="37"/>
  <c r="U32" i="37"/>
  <c r="T32" i="37"/>
  <c r="X29" i="37"/>
  <c r="W29" i="37"/>
  <c r="V29" i="37"/>
  <c r="U29" i="37"/>
  <c r="T29" i="37"/>
  <c r="X28" i="37"/>
  <c r="W28" i="37"/>
  <c r="V28" i="37"/>
  <c r="U28" i="37"/>
  <c r="T28" i="37"/>
  <c r="AA26" i="37"/>
  <c r="AD26" i="37" s="1"/>
  <c r="X26" i="37"/>
  <c r="W26" i="37"/>
  <c r="V26" i="37"/>
  <c r="U26" i="37"/>
  <c r="T26" i="37"/>
  <c r="AA25" i="37"/>
  <c r="AF25" i="37" s="1"/>
  <c r="X25" i="37"/>
  <c r="W25" i="37"/>
  <c r="V25" i="37"/>
  <c r="U25" i="37"/>
  <c r="T25" i="37"/>
  <c r="AF23" i="37"/>
  <c r="AE23" i="37"/>
  <c r="AD23" i="37"/>
  <c r="AC23" i="37"/>
  <c r="AB23" i="37"/>
  <c r="X23" i="37"/>
  <c r="W23" i="37"/>
  <c r="V23" i="37"/>
  <c r="U23" i="37"/>
  <c r="T23" i="37"/>
  <c r="C201" i="29"/>
  <c r="B201" i="29"/>
  <c r="A201" i="29"/>
  <c r="C199" i="29"/>
  <c r="B199" i="29"/>
  <c r="A199" i="29"/>
  <c r="C197" i="29"/>
  <c r="B197" i="29"/>
  <c r="F203" i="29"/>
  <c r="E223" i="29"/>
  <c r="F223" i="29"/>
  <c r="G223" i="29"/>
  <c r="H223" i="29"/>
  <c r="I223" i="29"/>
  <c r="J223" i="29"/>
  <c r="K223" i="29"/>
  <c r="L223" i="29"/>
  <c r="M223" i="29"/>
  <c r="N223" i="29"/>
  <c r="O223" i="29"/>
  <c r="B224" i="29"/>
  <c r="C224" i="29"/>
  <c r="E224" i="29"/>
  <c r="F224" i="29"/>
  <c r="G224" i="29"/>
  <c r="H224" i="29"/>
  <c r="I224" i="29"/>
  <c r="J224" i="29"/>
  <c r="K224" i="29"/>
  <c r="L224" i="29"/>
  <c r="M224" i="29"/>
  <c r="N224" i="29"/>
  <c r="O224" i="29"/>
  <c r="E225" i="29"/>
  <c r="G225" i="29"/>
  <c r="H225" i="29"/>
  <c r="I225" i="29"/>
  <c r="J225" i="29"/>
  <c r="K225" i="29"/>
  <c r="L225" i="29"/>
  <c r="M225" i="29"/>
  <c r="N225" i="29"/>
  <c r="O225" i="29"/>
  <c r="B226" i="29"/>
  <c r="C226" i="29"/>
  <c r="E226" i="29"/>
  <c r="F226" i="29"/>
  <c r="G226" i="29"/>
  <c r="H226" i="29"/>
  <c r="I226" i="29"/>
  <c r="J226" i="29"/>
  <c r="K226" i="29"/>
  <c r="L226" i="29"/>
  <c r="M226" i="29"/>
  <c r="N226" i="29"/>
  <c r="O226" i="29"/>
  <c r="E227" i="29"/>
  <c r="F227" i="29"/>
  <c r="G227" i="29"/>
  <c r="H227" i="29"/>
  <c r="I227" i="29"/>
  <c r="J227" i="29"/>
  <c r="K227" i="29"/>
  <c r="L227" i="29"/>
  <c r="M227" i="29"/>
  <c r="N227" i="29"/>
  <c r="O227" i="29"/>
  <c r="B228" i="29"/>
  <c r="C228" i="29"/>
  <c r="E228" i="29"/>
  <c r="F228" i="29"/>
  <c r="G228" i="29"/>
  <c r="H228" i="29"/>
  <c r="I228" i="29"/>
  <c r="J228" i="29"/>
  <c r="K228" i="29"/>
  <c r="L228" i="29"/>
  <c r="M228" i="29"/>
  <c r="N228" i="29"/>
  <c r="O228" i="29"/>
  <c r="E229" i="29"/>
  <c r="F229" i="29"/>
  <c r="G229" i="29"/>
  <c r="H229" i="29"/>
  <c r="I229" i="29"/>
  <c r="J229" i="29"/>
  <c r="K229" i="29"/>
  <c r="L229" i="29"/>
  <c r="M229" i="29"/>
  <c r="N229" i="29"/>
  <c r="O229" i="29"/>
  <c r="F91" i="29"/>
  <c r="F92" i="29"/>
  <c r="B33" i="29"/>
  <c r="B34" i="29"/>
  <c r="B64" i="29"/>
  <c r="E64" i="29" s="1"/>
  <c r="C64" i="29"/>
  <c r="D72" i="29"/>
  <c r="D71" i="29"/>
  <c r="D70" i="29"/>
  <c r="D69" i="29"/>
  <c r="H166" i="29"/>
  <c r="B13" i="27"/>
  <c r="D10" i="27"/>
  <c r="B10" i="27"/>
  <c r="B9" i="27"/>
  <c r="B8" i="45"/>
  <c r="B23" i="45"/>
  <c r="B2" i="37"/>
  <c r="B2" i="35"/>
  <c r="B2" i="45"/>
  <c r="B3" i="27"/>
  <c r="B3" i="32" s="1"/>
  <c r="B2" i="30"/>
  <c r="B2" i="1"/>
  <c r="K3" i="30"/>
  <c r="M3" i="30"/>
  <c r="A32" i="29"/>
  <c r="B4" i="1"/>
  <c r="C3" i="37"/>
  <c r="B3" i="37"/>
  <c r="B3" i="30"/>
  <c r="B6" i="27"/>
  <c r="C4" i="30"/>
  <c r="C4" i="35"/>
  <c r="C4" i="37"/>
  <c r="D68" i="29"/>
  <c r="C38" i="29"/>
  <c r="B38" i="29"/>
  <c r="B9" i="45"/>
  <c r="K3" i="35"/>
  <c r="M3" i="35"/>
  <c r="I11" i="27"/>
  <c r="B12" i="27"/>
  <c r="C3" i="35"/>
  <c r="B3" i="35"/>
  <c r="B4" i="35"/>
  <c r="E4" i="35"/>
  <c r="K4" i="35"/>
  <c r="M4" i="35"/>
  <c r="D5" i="35"/>
  <c r="L5" i="35"/>
  <c r="M5" i="35"/>
  <c r="O3" i="37"/>
  <c r="Q3" i="37"/>
  <c r="B4" i="37"/>
  <c r="E4" i="37"/>
  <c r="P4" i="37"/>
  <c r="D5" i="37"/>
  <c r="P5" i="37"/>
  <c r="T50" i="37"/>
  <c r="U50" i="37"/>
  <c r="T51" i="37"/>
  <c r="U51"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H35" i="29"/>
  <c r="Q67" i="29"/>
  <c r="K35" i="29"/>
  <c r="M35" i="29"/>
  <c r="B10" i="45"/>
  <c r="B11" i="45"/>
  <c r="B19" i="45"/>
  <c r="B20" i="45"/>
  <c r="B21" i="45"/>
  <c r="B22" i="45"/>
  <c r="B25" i="45"/>
  <c r="H4" i="1"/>
  <c r="I35" i="29"/>
  <c r="G35" i="29"/>
  <c r="Q35" i="29"/>
  <c r="J35" i="29"/>
  <c r="Q34" i="29"/>
  <c r="Q66" i="29"/>
  <c r="L35" i="29"/>
  <c r="P68" i="29"/>
  <c r="AC25" i="37"/>
  <c r="AB25" i="37"/>
  <c r="AE25" i="37"/>
  <c r="AD25" i="37"/>
  <c r="AF26" i="37"/>
  <c r="AC26" i="37"/>
  <c r="AE26" i="37" l="1"/>
  <c r="AB26" i="37"/>
  <c r="B35" i="29"/>
  <c r="Q29" i="29"/>
  <c r="C35" i="29"/>
  <c r="B8" i="30"/>
  <c r="B18" i="35"/>
  <c r="J8" i="30"/>
  <c r="I28" i="35"/>
  <c r="B7" i="35"/>
  <c r="J22" i="30"/>
  <c r="I18" i="35"/>
  <c r="B22" i="30"/>
  <c r="I7" i="35"/>
  <c r="Q30" i="29" l="1"/>
  <c r="F35" i="29" l="1"/>
  <c r="Q33" i="29"/>
  <c r="Q32" i="29"/>
  <c r="E35" i="29"/>
  <c r="D35" i="29"/>
  <c r="Q31"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s>
  <commentList>
    <comment ref="A118" authorId="0" shapeId="0" xr:uid="{00000000-0006-0000-0200-00000800000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<sst xmlns="http://schemas.openxmlformats.org/spreadsheetml/2006/main" count="945" uniqueCount="656">
  <si>
    <t>V1.0</t>
  </si>
  <si>
    <t>Информация о гранте</t>
  </si>
  <si>
    <t>Страна:</t>
  </si>
  <si>
    <t>Кыргызстан</t>
  </si>
  <si>
    <t>Название гранта:</t>
  </si>
  <si>
    <t>«Эффективный контроль за ВИЧ-инфекцией и туберкулезом в Кыргызской Республике»</t>
  </si>
  <si>
    <t>Грант №</t>
  </si>
  <si>
    <t>KGZ-C-UNDP</t>
  </si>
  <si>
    <t>Компонент:</t>
  </si>
  <si>
    <t>ВИЧ/СПИД/ТБ</t>
  </si>
  <si>
    <t>Общая сумма:</t>
  </si>
  <si>
    <t xml:space="preserve">34061297
</t>
  </si>
  <si>
    <t>Основной реципиент:</t>
  </si>
  <si>
    <t>ПРООН</t>
  </si>
  <si>
    <t>Раунд:</t>
  </si>
  <si>
    <t>GS6</t>
  </si>
  <si>
    <t>Фаза:</t>
  </si>
  <si>
    <t>Дата начала (дд/ммм/гг):</t>
  </si>
  <si>
    <t>Местный агент Фонда:</t>
  </si>
  <si>
    <t>UNOPS</t>
  </si>
  <si>
    <t>Последняя оценка:</t>
  </si>
  <si>
    <t>B2</t>
  </si>
  <si>
    <t>Менеджер портфолио Фонда:</t>
  </si>
  <si>
    <t>Корина Максим</t>
  </si>
  <si>
    <t>Период предоставления отчетной информации</t>
  </si>
  <si>
    <t>Отчетный период</t>
  </si>
  <si>
    <t>P3</t>
  </si>
  <si>
    <t>с:</t>
  </si>
  <si>
    <t>до:</t>
  </si>
  <si>
    <t>Дата ввода информации:</t>
  </si>
  <si>
    <t>Кем подготовлено:</t>
  </si>
  <si>
    <t>Информация об индикаторах</t>
  </si>
  <si>
    <t>Введите данные в ячейки соответствующего цвета</t>
  </si>
  <si>
    <t xml:space="preserve">Информация о финансировании: </t>
  </si>
  <si>
    <t xml:space="preserve">Информация об управлении: </t>
  </si>
  <si>
    <t xml:space="preserve">Информация о программе: </t>
  </si>
  <si>
    <t xml:space="preserve">     Введите финансовые данные в каждую ячейку оранжевого цвета.</t>
  </si>
  <si>
    <t>Валюта финансирования гранта</t>
  </si>
  <si>
    <t>$</t>
  </si>
  <si>
    <t>F1: Бюджет и выплаты Глобальным фондом</t>
  </si>
  <si>
    <t>Выплаты</t>
  </si>
  <si>
    <t>P1</t>
  </si>
  <si>
    <t>P2</t>
  </si>
  <si>
    <t>P4</t>
  </si>
  <si>
    <t>P5</t>
  </si>
  <si>
    <t>P6</t>
  </si>
  <si>
    <t>P7</t>
  </si>
  <si>
    <t>P8</t>
  </si>
  <si>
    <t>P9</t>
  </si>
  <si>
    <t>P10</t>
  </si>
  <si>
    <t>P11</t>
  </si>
  <si>
    <t>P12</t>
  </si>
  <si>
    <t>% Общего объема</t>
  </si>
  <si>
    <t>Бюджет (в $)</t>
  </si>
  <si>
    <t>Общий бюджет</t>
  </si>
  <si>
    <t>Общая сумма выплат</t>
  </si>
  <si>
    <t>F2: Бюджет и фактические расходы согласно задачам гранта</t>
  </si>
  <si>
    <t>Комментарии</t>
  </si>
  <si>
    <t>Диагностика и тестирование COVID</t>
  </si>
  <si>
    <t>Данная задача включает бюджет  в рамках С19RM средств, выделенных  на: закупки тестов, лабораторных реагентов, медицинского оборудования для диагностирования, и соответствующие затраты на управление поставками.
В 2023 году был произведен закуп:
- мебели для лабораторий на сумму 21 742$;
- 12 кондиционеров для НЦФ и ОЦПБТ на сумму 9 397$;
- генератор для Чуйского ОЦКГВГ и ВИЧна сумму 7 247$
- стабилизаторов напряжения для НЦФ, Нарынского, Таласского и Иссык-Кульского ОЦПБТ на сумму  9 078$;
- платформа GeneXpert и тесты для быстрой идентификации PHK коронавируса SARS-CoV-2 на сумму 124 900$, включая расходы на доставку.
-затраты на PSM расходы на сумму  4 277$
Также на 31.12.2023 имеется неоплаченное обязательство на 26 780$ на IT оборудование, которое будет выплачено в 2024 после доставки</t>
  </si>
  <si>
    <t>Смягчение негативных воздействий для программ по ВИЧ</t>
  </si>
  <si>
    <t>За отчетный период бюджет был израсходован в полном объеме:
- 129 952$ Суб-получателями: РЦКГВГВ, РЦПН, и 11  НПО (з/плата специалистов по работе с сообществом, врачей и м/сестер МДК и млбильных бригад, психологов, соответствующие  транпортные расходы и административные расходы, онлайн-консультации, профильные мини-сессии)
- 41 865$ ПРООН на техническую оддержку мобильного приложения по вопросам тестирования, поддержки и лечения, связанных с ВИЧ; мобильные карты; тренинги: по эффективному взаимодействию мед.работников и сотрудников НПО; Роль среднего медюперсонала в реализации ПТАО; Расширение тестирования на ВИЧ методом экспресс-тестирования с консультированием; для сотрудников пробации по инфоримрованию о туберкулезе; по профилактике синдрома эмоционального сгорания.</t>
  </si>
  <si>
    <t>Устранение препятствий к услугам, связанных с правами человека и гендерными факторами</t>
  </si>
  <si>
    <t>За отчетный период бюджет был израсходован в полном объеме:
- 29 092$ Суб-получателями: 3  НПО (з/плата специалистов по работе с сообществом, экспертов по разработке национальных механизмах реагирования на COVID, соответствующие  транпортные расходы и административные расходы)
- 6 121$ ПРООН на тренинг  по противодействию гендерному насилию для НПО.</t>
  </si>
  <si>
    <t>Кейс-менеджмент, клинические операции и лечение</t>
  </si>
  <si>
    <t>В рамках данной интервенции в 2023 г. бюджет был освоен на 86% и были произведены следующие основные расходы:
- закуплены 2 машины скорой помощи на сумму 151 177$
- компьютерный томограф на сумму 387 040$ 
- процессор для цифровой радиографии и темопленки на сумму 5 020$
- сопутствующие расходы на PSM на сумму 39 065$.
При этом имеются фин.обязательства на 31.12.2023 на сумму 72 681$ на лаб.оборудовнаие и расходные материалы, которые будут оплачены в 2024 после доставки. С учетом этих обязательств освоение бюджета составит 97%</t>
  </si>
  <si>
    <t>Профилактика инфекций, контроль и защита медицинских работников</t>
  </si>
  <si>
    <t>В рамках данной интервенции в 2023 г. были оплачены расходы на сумму 31 985$, связанных с закупкой дезинфицирующих средств и сопутствующими расходами на PSM. При этом был получен второй транш страховки на сумму 27 723$ за сгоревшие товары под даннй интервенций в 2022 г во время пожара на складе.</t>
  </si>
  <si>
    <t>Лабораторные системы</t>
  </si>
  <si>
    <t>В рамках данной интервенции в 2023 г. были расходы на:
- закуп Анализатора биохимического автоматического HumaStar 200 с расходными материалами на сумму 57 436$
- Инкубатор на сумму 6 101$
- прочие и сопутствующие расходы на PSM 
 При этом имеются фин.обязательства на 31.12.2023 на сумму 140 851$ на реагенты для химического анализатора и лаб.оборудовнаие, которые будут оплачены в 2024 после доставки. С учетом этих обязательств освоение бюджета составит 101%</t>
  </si>
  <si>
    <t>Смягчение негативных воздействий для программ по ТБ</t>
  </si>
  <si>
    <t xml:space="preserve">В рамках данной интервенции были оплачены транспортные расходы НЦФ по Ошской области  в феврале 2023г. на рабочее совещание по обсуждению текущей эпидемиологической ситации по ТБ в КР и дальнейших путях ее улучшения а рамках реал-ции Программы Кабнета Министров КР Туберкулез 6 на 2022-2026 годы </t>
  </si>
  <si>
    <t>Надзор: эпидемиологическое расследование и отслеживание контактов</t>
  </si>
  <si>
    <t>В рамках данной интервенции имеются фин.обязательства на 31.12.2023 на сумму 13 515$ на ковд тесты для геномного секвенирования, которые будут оплачены в 2024 после доставки. С учетом этих обязательств освоение бюджета составит 100%</t>
  </si>
  <si>
    <t>Мероприятия по изменению поведения</t>
  </si>
  <si>
    <t>В рамках данной интервенции было использовано 83% выделенного бюджета и были произведены следующие основные расходы:
- 242 935$ Суб-получателями  РЦКГВГВ, РЦПН, ЦЗ  и 14  НПО (з/плата аутрич и соц работников, равных консультантов,  специалистов по управлению базами данных и продуктами медицинского назначения, дермавенерологов, проктологов, м/сестер, психологов, специалистов по базе данных МИС, соц.поддержка клиентов, восстановление документов, продуктовые и гигиенические пакеты, соответствующие  транпортные расходы, профильные мини-сессии и тренинги, эксперт по анализу эффективности закупок)
- 273 245$ ПРООН (закуп любрикантов и женских презервативов, и сопутствующие расходы на PSM; лабораторные исследования; гигиенические ср-ва, продукты; профильные тренинги)ю При этом был получен второй транш страховки на сумму 58 709$  (общая сумма транша -1 млн) за сгоревшие товары под даннй интервенций в 2022 г во время пожара на складе.</t>
  </si>
  <si>
    <t>Программы обмена игл и шприцев</t>
  </si>
  <si>
    <t xml:space="preserve">За отчетный период бюджет был израсходован на 98%:
-210 835$ Суб-получателями: РЦПН и 8  НПО (з/п соц. и аутрич работникам, равным консультантам, олайн консультантам, специалистам по управлению мед.товарами, психиатру/норкологу, специалистов по работе с сообществом (работник ПОШ)  в СИН, надбавки зам.координатора по программе  ПОШ в СИН, специалист по по  добровольному тестированию и консультированию на ВИЧ в СИН профильные  тренинги, МиО расходы)
- 363 235$ ПРООН на закуп контейнеров для утилизации, спиртовые салфетки, шприцы и соответствующие расходы на PSM, расходы 8 участников обучающего тура в Вильнюс для сотрудников гос.мед организации и НПО по улучшению ОСТ и профилактике ВИЧ, расходы на тренинги по расширению возможностей сообщества ЛУН/ЛУИН в преодолении правовых барьеров, тренинга для мед.работников ПМСП и ЦКГВГи ВИЧ по вопросам мотивационного консультирования с целью расширения охвата МСМ/ТГ к услугам ДКП, тренинга по применеию инструкций о профилактики ВИЧ и ТБ сотрудниками , уолномоченными го.органами Ми-ва юстиции и организация непрерывности лечения для КГН, основы психосоциального консультирования, обучение представителей НПО и сайтов ПТАО навыкам мотивационного консультирования, новые подходы в лечении ЛУИН, Современная наркосцена, психостимуляторы, снижение вреда и онлайн работа. При этом был получен второй транш страховки на сумму 109 396$  (общая сумма транша -1 млн) за сгоревшие товары под даннй интервенций в 2022 г во время пожара на складе. 
 </t>
  </si>
  <si>
    <t>Опиоидная заместительная терапия и другое лечение наркозависимости с медицинской помощью</t>
  </si>
  <si>
    <t>За отчетный период бюджет был израсходован на 43%:
- 43 585$ Суб-получателями:РЦПН (з/п соц./равных работникоа, Оплата за оказание хирургичесокй помощи клиентам ПТМ, надбавки мед.сестрам и врачам сайтов ПТМ за обслуживание и удержание клиентов, расходы на МиО визиты сотрудников )
- 238 848$ ПРООН на закуп метадона, экспресс-тестов, Дистиллятор воды, перчатки, и соответствующие расходы на PSM, При этом был получен второй транш страховки на сумму 8 0022$  (общая сумма транша -1 млн) за сгоревшие товары под даннй интервенций в 2022 г во время пожара на складе. 
При этом имеются фин.обязательства на 31.12.2023 на сумму 60 563$ на налоксон, диспенсер, и бутыли и сопутствующие расходы на PSM, которые будут оплачены в 2024 после доставки. Освоение с учетом обязательств будет составлять 52%.Основная причина неполного освоения бюджета - отмена закупки бупренорфина и налоксона</t>
  </si>
  <si>
    <t>Лечение (МЛУ ТБ)</t>
  </si>
  <si>
    <t>За отчетный период бюджет был израсходован на 83%:
- 50 000$ оплачен взнос за 2022 г в ЗК напрямую ГФ 
- 84 895$ Суб-получателями: НЦФ и 3  НПО (надбавка врачам и мед.сестрам и лаборантом НЦФ, мед.специалистам НЦФ в рамках операционного исследования по модифицированным режимам лечения больных с устойчивыми формами ТБ, з/п кейс-менеджерам, расходы на МиО визиты,)
- 1 363 926$ ПРООН на закуп противо ТБ препаратов, рентген-аппарата и соответствующие расходы на PSM.  При этом был получен второй транш страховки на сумму 582 502$  (общая сумма транша -1 млн) за сгоревшие товары под даннй интервенций в 2022 г во время пожара на складе. на расходы 3х участников в Ригу на курс Иновации в леченнии и ведении лекарственно-устойчивого ТБ; 2х участников в Женеву на региональное совещание по ускорению прогресса в достижении целей тестирования на ВИЧ в странах ВЕЦА; 5ти участников в Минск на тренинг по Планированию, внедрению и мониторингу коротких режимов лечения ТБ/РУ-ТБ/ЛТБИ, 2х участников в Дубаи по обучению по техническому обслуживанию системы GeneXpert, 3х участников в Москву на участие в конференции Туберкулез и современные инфекции, тренинг по повышению потенциала м/сестер ПМСП по ТБ, рабочее совещание по результатам коллегии МЗКР в целях повышения эффективности противо ТБ службы, тренинг для м/с ТБ кабинетов ПМСП нормативным и практическим аспекатам альтернативных методов контролируемого лечения, сбору мокроты и ИК, тренинг по алгоритму выявления ТБ,тренинг для фтизиатров ПМСП по эффективному консультированию, шклда пациентов и навыки эффективного консультирования для м/сестер ЛУ ТБ отделений; на расходы по МиО визитам сотрудников НЦФ, МЗКР
При этом имеются фин.обязательства на 31.12.2023 на сумму 106 112$ на противо ТБ препараты, установку и тренинг по рентген-аппарату и сопутствующие расходы на PSM, которые будут оплачены в 2024 после доставки. 
Неиспользованный остаток бюджета в основном относится к экономии по расходам по PSM.</t>
  </si>
  <si>
    <t>Выявление и диагностика случаев (МЛУ-ТБ)</t>
  </si>
  <si>
    <t>В рамках данной интервенции в 2023 г. было использовано 83% выделенного бюджета на закуп диагностических ТБ тестов; бактерицидных облучателей (УФ); УФ ламп;  паровые дезинфекторы, шкафы биобезопасности; количественный микро ПЦР-анализатора; картриджи;  пробирок-индикаторов роста микобактерий   и др лаб расходных материалов и реагентов, а также сопутствующие расходы на PSM. При этом был получен второй транш страховки на сумму 76 884$ (общая сумма транша -1 млн) за сгоревшие товары под даннй интервенций в 2022 г во время пожара на складе.
При этом имеются неоплаченные контрактные обязательства в размере 97 841$ на 31 декабря 2023 г. по оплате сопутствующих раходов на PSM. С учетом обязательств процент освоения бюджета составит 88%.</t>
  </si>
  <si>
    <t>Оказание помощи при МЛУ-ТБ по месту жительства</t>
  </si>
  <si>
    <t>В рамках данной интервенции в 2023 г. было использовано 82% выделенного бюджета  и были произведены следующие основные расходы:
-  217 838$ Суб-получателями: 4 НПО (з/плата специалистов по работе с сообществом, врачей и м/сестер, психологов, кейс-менеджеров, МиО специалистов; соответствующие  транпортные расходы, онлайн-консультации, профильные мини-сессии, продуктовые и гигиенические пакеты, оплата за флюрографию, мотивационные выплаты пациентам за приверженность к лечению, и выплаты-пособия на интернет пациентам за видео-контролируемое лечение)
- 29 550$ ПРООН на МСКТ органов грудной клетки детям в Бишкеке, Оше и Жалал-Абаде; мобильные карты, продукты и гигиенические товары.
Неиспользованный бюджет в размере 54 322$ в основном относится к мотивационным выплатам пациентам за приверженность ввиду меньшего количества пациентов, чем заложеено в бюджете; а также не были произведены работы по установке лестниц для Нарынского противотуберкулезного центра, ввиду высокого риска проблем с безопасностью, принимая во внимание, что здание старое и существовала вероятность того, что штукатурка/стена со временем может обрушиться, по всему зданию появятся трещины. Оснащение изолятора в НЦФ трубами для подачи кислорода не было реализовано, поскольку конечный потребитель не смог своевременно дать ответ на разъяснения в ходе тендерного процесса.</t>
  </si>
  <si>
    <t>Дифференцированное предоставление услуг АРВТ и помощь при ВИЧ</t>
  </si>
  <si>
    <t xml:space="preserve">За отчетный период бюджет был израсходован на 174%:
- 68 6742$ Суб-получателями: РЦКГВГВ и 11  НПО (надбавка врачу-консультанту по мотивационным выплатам детям, живущим с ВИЧ, мотивационные выплаты детям с ВИЧ, продуктовые и гигиеннические пакеты, профильные мини-сессии, поддержка в восстановление документов)
- 1 363 926$ ПРООН на закуп АРВ препаратов, диагностических тестов для опре-деления вирусной нагрузки, картриджей, проточного цитофлуориметра, лабораторного холодильника-морозильника, автоклава, кабинета биобезопасности, медицинского аспиратора  и т.п.и соответствующие расходы на PSM, канц.товары и школьные принадлежности для детей, живущих с ВИЧ, продуктовые и гигиенические пакеты, траспортные расходы по доставке биоматериалов.
 Перерасход в данной интервенции в виду того, что также были закуплены тесты на геппатит и соответствующие  лекарства. Данная закупка была произвелена по дополнительному запросу от РЦКГВГВ за счет сэкономленных средств, образовашихся от курсовой разницы, которые вклбчены в бюджете под другой интервенцией, с разрешения ГФ. При этом был получен второй транш страховки на сумму 7 992$  (общая сумма транша -1 млн) за сгоревшие товары под даннй интервенций в 2022 г во время пожара на складе. 
При этом имеются фин.обязательства на 31.12.2023 на сумму 39 751$ на АРВ препараты и Витамин B6 и сопутствующие расходы на PSM, которые будут оплачены в 2024 после доставки. </t>
  </si>
  <si>
    <t>Консультации и психосоциальная поддержка</t>
  </si>
  <si>
    <t>За отчетный период бюджет был израсходован на 63%:
- 130 985$ Суб-получателями: РЦКГВГВ и 6  НПО (з/плата соц.работников и равных консультантов, врачей и м/сестер, работающих с ЛЖВ, врачей в ИК, врачей по улучшению ЭТ и врачей для ДКП на базе НПО, психологов, зам. координатора по лечению и уходу, мотивационные выплаты сотрудникам по достижению индикаторов в выявлении и эффектинов АРВ лечению от ВИЧ, )
- 29 641$ ПРООН на техническую поддержку для подготовки обучающего тура по продвижению и расширению усулг по ДКП среди КГН, расходы 8 участников обучающего тура в Вильнюс для сотрудников гос.мед организации и НПО по улучшению ОСТ и профилактике ВИЧ, на конферен-услуги по проведению тренинга по "Школе пациентов" и ее 6 модулям, использовнаия мобильного приложения HIVapp для КГН.
Остаток неиспользованного бюджета в основном связан с меньшими выплатами со стороны Суб-получателей персоналу из-за низких идентификационных показателей при участии в АРВ и удержании на лечении, а также  в виду того, что в рамках планов по улучшению показателей по ВИЧ и ТБ  было проведено меньше тренингов и привлечено меньше экспертов и консультантов, чем предполагалось</t>
  </si>
  <si>
    <t>Тестирование в учреждениях</t>
  </si>
  <si>
    <t>В рамках данной интервенции в 2023 г. было использовано 133% выделенного бюджета, т.к. были оплачены обязательства прошлого года по закупке иммуноферментных тест-систем, предназначенная для скрининга ВИЧ-инфекции.  Также были закуплены тесты ELISA.</t>
  </si>
  <si>
    <t>Тестирование в сообществах</t>
  </si>
  <si>
    <t>В рамках данной интервенции в 2023 г. бюджет был освоен на 70% и были произведены следующие основные расходы: закуп экспресс диагностических тестов на ВИЧ; перчаток; наборов реагентов тестов Monolisa HCV Ag-Ab; тестов для самодиагностики на ВИЧ OraQuick HIV Self-Test; экспресс-тестов OraQuick® HCV Rapid Antibody Test для определения антител к ВГС ; сопутствующие расходы на PSM. При этом был получен второй транш страховки на сумму 77 514$ (общая сумма транша -1 млн) за сгоревшие товары под даннй интервенций в 2022 г во время пожара на складе.
При этом имеются фин.обязательства на 31.12.2023 на сумму 3 765$, относящиеся к  расходам на перевозку. С учетом этих обязательств освоение бюджета составит 71%</t>
  </si>
  <si>
    <t>Мобилизация сообщества и адвокация (ВИЧ / ТБ)</t>
  </si>
  <si>
    <t>В рамках данной интервенции в 2023 г. было использовано 129% выделенного бюджета. Отклонение произошло главным образом из-за перерасхода средств на проведение форум для ЛЖВ, МСМ,ЛУИН,СР,к на страновом уровне из-за увеличения количества участников. Были произведены следующие основные расходы:
- 117 043$ Суб-получателями: 11 НПО (з/плата адвокатов, юристов, аутрич и соц.работников, МиО специалистов, консультантов по оказанию социальной поддержки освобожденным из мест лишения свободы, соответствующие  транпортные расходы, профильные мини-сессии, рабочие встречи, проведение тематический акций, разработка инфо-документов)
- 143 550$ ПРООН на траспортные расходы участников и конферен-услуги по проведению рабочего совещания по повышению эффективности противотуберкулезных мероприятий в Нарынской, Таласской областях; тренинга по обучению механизмам адвокации; национального форума гражданского общества, осуществляющего свою деятельность в сфере противодействия ВИЧ и ТБ; обучающий тур 15 участников  по продвижению и расширению услуг по ДКП среди КГН; проведение медиакампании в поддержку прав людей, живущих с ВИЧ, и снижения стигмы и дискриминации по отношению к ним; рабочей встрече по формированию благоприятной среды для расширения доступа к услугам с организациями, работающими с СР</t>
  </si>
  <si>
    <t>Снижение стигмы и дискриминации (ВИЧ / ТБ)</t>
  </si>
  <si>
    <t>За отчетный период бюджет был израсходован на 94%:
- 84 202$ Суб-получателями: 10  НПО (з/п аутрич и соц.работникам, кейс-мееджерам, специалистам по базе данных МИС, Администратор БД ReAct, психолог, продуктовые и гигиеннические пакеты, восстановление документов, профильные мини-сессии, поддержка в восстановление документов, оплата экспертам для проведения анализа реализации плана перехода на государственное финансирование, для проведения анализа осуществления государственных закупок в сфере ТБ, по разработке подзаконных актов по вопросам ВИЧ и ТБ в соответствии с утвержденными Законами "Об охране здоровья граждан КР" и "Об общественном здравоохранении",для анализа правоприменительных практик, Обновление нормативно-правовой базы, относящейся к профилакическим прграммам для КГН. Обновление Инструкции по профилактике ВИЧ и учебно-методического пособия "Теория и практика снижения вреда" для сотрудников МВД,  Обновление нормативно-правовой базы, относящейся к профилактическим прграммам для КГН, рабочей группы по пересмотру клинических протоколов по ИППП , для анализа и мониторинга исполнения Дорожной карты по переходу на государственное финансирование программ по ВИЧ, по внесение изменений в перечень жизненно важных лекарственных средств (ПЖВЛС) и программу государственных гарантий (ПГГ). Для лечения ВИЧ-инфекции, ТБ, ВГС, ЗГТ, ПТМ, лечению ИППП, вакцинации против ВГВ, для анализа положения\соблюдения прав ЛУИН, за проведение комплексного анализа ограничений получения личных документов для представителей ключевых групп населения по их преодолению, Разработка Межведомственных Инструкций  по обеспечению непрерывности услуг профилактики, лечения, ухода и поддержки для ЛЖВ, больных ТБ и \или представителей КГН, заключаемых под стражу, либо освобождающихся из мест лишения свободы,    Тренинги для личного состава по правам и Инструкции. Оплата тренерам, тренерам за проведение двух 2-х дневных тренинга  мед. работникам ПМСП (врачи-фтизиатры районных туб кабинетов) и ОЦБТ по вопросам стигмы и дискриминации, и прочие профильные тренинги, рабочие встречи, расходы на МиО )
- 241 427$ ПРООН на техническую поддержку: оплату эксперту за организацию обучающего тура в Вильнюс для сотрудников гос. мед и немедицинских органищаций, эксперту по проведению анализа НПА стран ближнего зарубежья для оценки доступности прохождения анализов при лечении лиц с ТБ в РФ и РК, эксперту по внедрению вопросов профилактики ВИЧ и прав человека в программы учебной подготовки судей, эксперта по разработке приказа МЗКР об утверждении алгоритма / инструкции выдачи ПТП на длительный срок в организациях здравоохранения и на базе сообществ лицам, находящимся на лечении по ТБ, на предоставлене услуг по адвокации и продвижению финансирования программы поддерживающей терапии метадоном из средств гос.бюджета. и т.п. расходны на профильные тренинги, встречи.</t>
  </si>
  <si>
    <t>Юридические услуги по ВИЧ и ВИЧ/ТБ</t>
  </si>
  <si>
    <t xml:space="preserve">За отчетный период бюджет был израсходован на 105%:
- 144 6062$ Суб-получателями: РЦУЗ и 2  НПО (з/п уличным юристам, менторам, юристам, экспертам за разработку тренингового модуля "Школа ТБ пациентов", информационных документов "Дневник пациента", других ИОМ и видео материала, профильные тренинги, встречи с партнерами)
- 21 685$ ПРООН на тренинг для врачей ПМСП, сотрудников НПО и кейс-менеджеров; рабочую встречу с СП по реализации проектов по активному выявлению новых случаев ТБ; тренинг по правовым основам профилактических программ по ТБ для кейс-менеджеров и сотрудников НПО, круглый стол по внедрению вопросов профилактики ВИЧ и прав человека в деятельность судебных органов в КР, тренинг Школа пациентов и навыки эффективного консультирования.
При этом был получен второй транш страховки на сумму 3 712$  (общая сумма транша -1 млн) за сгоревшие товары под даннй интервенций в 2022 г во время пожара на складе. 
При этом имеются фин.обязательства на 31.12.2023 на сумму 4 752$ на закуп планшетов, которые будут оплачены в 2024 после доставки. </t>
  </si>
  <si>
    <t>Системы менеджмента качества и аккредитация</t>
  </si>
  <si>
    <t>За отчетный период бюджет был израсходован на 118%:
- 15 0492$ Суб-получателями: РЦКГВГВ и ЦРЗ (на тренинги для лаборантов, выплаты консультантам для усиления методической и практической помощи медицинскому персоналу (врачам и медицинским сестрам) на уровне ПМСП)
- 80 418$ ПРООН на оплату эксперта по разработке программ тренингов для лаборантов и их проведения на тему Организация и внедрение системы менеджмента качества в лаборатории диагностики ВИЧ; расходы на данные тренинги; оплата иненера по ослуживанию и ремонту лабораторного оборудования; оплата эксперта по подготовке биологических станартноых образцов для контроля тестирования на ВИЧ; на услуги по ВОК для НРЛ. Перерасход бюджета в виду фактических высоких цен на обслуживание лабораторное оборудовнаие</t>
  </si>
  <si>
    <t>Системы управления инфраструктурой и оборудованием</t>
  </si>
  <si>
    <t>Бюджет был использован на 29%.  Неиспользованный остаток бюджета, связанный с ремонтными работами Ошской туберкулёзной лаборатории. Затраты на ремонтные работы в Ошской туберкулёзной лаборатории были завышены, поскольку расчеты основывались на счете заказа, предоставленном IML RED GMBH (ВОЗ – Наднациональной справочной лабораторией туберкулеза), которую GIZ наняла для проведения ремонтных работ в Ошской туберкулёзной лаборатории.</t>
  </si>
  <si>
    <t>Регулярная отчетность</t>
  </si>
  <si>
    <t>За отчетный период бюджет был израсходован на 125%:
- 24 274$ Суб-получателями: РЦКГВГВ и РЦПН (проведение круглого стола по результатм БПИ, расходы на МиО и менторские визиты, оплаты консультантам МиО)
- 22 698$ ПРООН на мобильные карты для БПИ, на экспертов по разработке /адаптации протоколов по формативной оценке, БПИ и оценке численности среди СР в КР, расходы 4х участников для участия в Тбилиси в Региональном семинаре по повышению кчества анализа данных о распространенности ВИЧ-инфекции в КГН, расходы рабочей встречи по обсуждению результатов БПИ.
перерасход бюджета в виду того, что бюджет в рамках соглашения с РЦКВГВ был увеличен уже после того, как была проведена бюджетная ревизия гранта</t>
  </si>
  <si>
    <t>Управление грантом</t>
  </si>
  <si>
    <t>За отчетный период бюджет был израсходован на 62%:
- 779 904$ Суб-получателями: РЦКГВГВ, РЦПН, РЦУЗ, НЦФ, ЦРЗ  и 22  НПО (з/п координаторов, бухгалтеров, надбавки техничнским специалистам НЦФ, офисные и др.административные расходы)
- 1 875 240$ ПРООН на закуп мебели, IT оборудования,  расходы на проведение встреи с суб-получателями, на поездку в Женеву по обсуждению нового гранта, расходв ПРООН ОРП (з/п сотрудников, МиО визиты, аудит суб-получателей, офисные расходы, GMS)
При этом имеются фин.обязательства на 31.12.2023 на сумму 92 408$ на IT оборудование и GMS, относящийся ко всей сумме наоплаченных обязательств, которые будут оплачены в 2024 после доставки. 
Остаток неиспользованного бюджета относится к закупу IT оборудования для СП,  в виду того, что тендер на закупку ИТ-оборудования для проектных СР объявлялся трижды, контракт не заключался из-за поступления технически несоответствующих предложений; был отменен закуп 2х офисных машин для ПРООН; остаток неиспользованной суммы курсовой разницы, которую ГФ не разрешил использовать для бюджетной ревизии в виду того, что педложенные мероприятия не были включены в список PAAR, т.к. только мероприяти из PAAR, могут быть покрыты из экономии за счет курсовой разницы; неиспользованной сумме GMS, относящейся к неиспользованным остаткам бюджета по другим интервенциям</t>
  </si>
  <si>
    <t>Всего:</t>
  </si>
  <si>
    <t>F3: Выплаты и расходы</t>
  </si>
  <si>
    <t>До отчетного периода</t>
  </si>
  <si>
    <t>Текущий отчетный период</t>
  </si>
  <si>
    <t>Выплачено Глобальным фондом</t>
  </si>
  <si>
    <t>Расходы и платежи ОР</t>
  </si>
  <si>
    <t>Выплачено субреципиентам</t>
  </si>
  <si>
    <t>Расходы субреципиентов</t>
  </si>
  <si>
    <t>F4: Последний отчетный и платежный цикл ОР</t>
  </si>
  <si>
    <t>Последняя выплата средств: количество календарных дней</t>
  </si>
  <si>
    <t>Расчетные (дни)</t>
  </si>
  <si>
    <t>Фактические (дни)</t>
  </si>
  <si>
    <t xml:space="preserve">Сколько дней понадобилось для подачи ИОР/ЗПС в офис МАФ </t>
  </si>
  <si>
    <t xml:space="preserve">Спустя сколько дней ОР получил платеж </t>
  </si>
  <si>
    <t>н/п</t>
  </si>
  <si>
    <t>Спустя сколько дней суб-реципиенты получили платежи</t>
  </si>
  <si>
    <t>Информация об управлении:</t>
  </si>
  <si>
    <t>Введите данные об управлении в каждую ячейку голубого цвета.</t>
  </si>
  <si>
    <t>M1: Статус Предварительных условий (ПУ) и Действий с установленным сроком исполнения (ДУС)</t>
  </si>
  <si>
    <t>Выполненные</t>
  </si>
  <si>
    <t>Невыполненные, но непросроченные</t>
  </si>
  <si>
    <t>Невыполненные и просроченные</t>
  </si>
  <si>
    <t>Всего</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</si>
  <si>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</si>
  <si>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</si>
  <si>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</si>
  <si>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</si>
  <si>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M2: Статус ключевых руководящих должностей в структуре ОР</t>
  </si>
  <si>
    <t>Отдел управления проектом</t>
  </si>
  <si>
    <t>Запланировано</t>
  </si>
  <si>
    <t>Заполнено</t>
  </si>
  <si>
    <t>Вакантно</t>
  </si>
  <si>
    <t>ВИЧ/СПИД</t>
  </si>
  <si>
    <t>ТБ</t>
  </si>
  <si>
    <t>Общее (оба компонента)</t>
  </si>
  <si>
    <t xml:space="preserve">M3: Контрактные соглашения (СР) </t>
  </si>
  <si>
    <t>Определеные</t>
  </si>
  <si>
    <t>Прошедшие оценку</t>
  </si>
  <si>
    <t>Одобренные</t>
  </si>
  <si>
    <t>Подписавшие соглашение</t>
  </si>
  <si>
    <t>Получающие финансирование</t>
  </si>
  <si>
    <t>СР ВИЧ/СПИД</t>
  </si>
  <si>
    <t>СР ТБ</t>
  </si>
  <si>
    <t>M4: Количество полных отчетов, полученных к установленному сроку</t>
  </si>
  <si>
    <t>Ожидаемое кол-во</t>
  </si>
  <si>
    <t>Полученное кол-во</t>
  </si>
  <si>
    <t>Незавершенные</t>
  </si>
  <si>
    <t>Отчеты ССР для СР ВИЧ/СПИД</t>
  </si>
  <si>
    <t>Отчеты СР для ОР ВИЧ СПИД</t>
  </si>
  <si>
    <t>Отчеты ССР для СР ТБ</t>
  </si>
  <si>
    <t>Отчеты СР для ОР ТБ</t>
  </si>
  <si>
    <t>M5: Бюджет и закупки товаров медицинского назначения, медицинского оборудования,  лекарственных средств и фармацевтических препаратов</t>
  </si>
  <si>
    <t>Утвержденный бюджет*</t>
  </si>
  <si>
    <t>Финансовые обязательства</t>
  </si>
  <si>
    <t>Расходы</t>
  </si>
  <si>
    <t>Совокупный утвердженный бюджет*</t>
  </si>
  <si>
    <t>Общий объем финансовых обязательств</t>
  </si>
  <si>
    <t>Общий объем расходов</t>
  </si>
  <si>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</si>
  <si>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M6: Разница между текущим и резервным запасами</t>
  </si>
  <si>
    <t>Компонент</t>
  </si>
  <si>
    <t>Продукция</t>
  </si>
  <si>
    <t>(1)
Кол-во таблеток на 1 пациента в день
(см. Национальный протокол по лечению)</t>
  </si>
  <si>
    <t>(2 = 1 x 30)
Месячный курс лечения 
(кол-во таблеток на 1 пациента на 30 дней)</t>
  </si>
  <si>
    <t>(3)
Общее кол-во пациентов, получающих лечение</t>
  </si>
  <si>
    <t>(4 = 2 x 3)
Общее кол-во таблеток, необходимое для всех пациентов на 1месяц</t>
  </si>
  <si>
    <t>(5)
Текущие запасы на центральном складе (с действительным сроком годности на ближайшие 3 месяца)</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</si>
  <si>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</si>
  <si>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</si>
  <si>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</si>
  <si>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РЦ СПИД\НЦФ</t>
  </si>
  <si>
    <t>FDC (AZT+3TC) 300/150 mg</t>
  </si>
  <si>
    <t>EFV 200</t>
  </si>
  <si>
    <t>LPV/r 200/50 mg</t>
  </si>
  <si>
    <t>FDC (TDF/FTC) 300/200 mg</t>
  </si>
  <si>
    <t>FDC  (TDF/FTC/EFV) 300/200/600 mg</t>
  </si>
  <si>
    <t>FDC (ABC/3TC) 600/300 mg</t>
  </si>
  <si>
    <t>FDC (ABC/3TC) 120/60 mg</t>
  </si>
  <si>
    <t>FDC (ABC/DTG/3TC) 600/50/300 mg</t>
  </si>
  <si>
    <t>DTG 50 mg</t>
  </si>
  <si>
    <t>FDC (TDF/FTC/DTG) 300/200/50 mg</t>
  </si>
  <si>
    <t>ATV/r 300mg</t>
  </si>
  <si>
    <t>Ral 100mg (жеват табл)</t>
  </si>
  <si>
    <t>DTG 10 mg</t>
  </si>
  <si>
    <t>Capreomycin  1000mg  Порошок для инъекций</t>
  </si>
  <si>
    <t>Kanamycin  1000mg  Порошок для инъекций</t>
  </si>
  <si>
    <t>Amikacin 500 mg/2 ml инъекции</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</si>
  <si>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</si>
  <si>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</si>
  <si>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</si>
  <si>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</si>
  <si>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</si>
  <si>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</si>
  <si>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</si>
  <si>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</si>
  <si>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Pretomanid 200 mg Таблетки</t>
  </si>
  <si>
    <t>Pyrazinamide  400mg  Таблетки без оболочки</t>
  </si>
  <si>
    <t>Клофаземин 100 мг</t>
  </si>
  <si>
    <t>Имипенем500/Циластатин 500</t>
  </si>
  <si>
    <t>Линезолид 600 мг</t>
  </si>
  <si>
    <t>Бедаквилин 100 мг</t>
  </si>
  <si>
    <t>Деламанид 50 мг</t>
  </si>
  <si>
    <t>Информация о программе: ВИЧ/СПИД</t>
  </si>
  <si>
    <t xml:space="preserve">     Введите данные о реализации программы в каждую ячейку желтого цвета.</t>
  </si>
  <si>
    <t>Программные показатели (Система оценки результатов реализации)</t>
  </si>
  <si>
    <t>Код</t>
  </si>
  <si>
    <t>Связаны напрямую?</t>
  </si>
  <si>
    <t>KP-1d⁽ᴹ⁾ Процент ЛУИН, охваченных программами по профилактике ВИЧ - минимальный пакет услуг</t>
  </si>
  <si>
    <t>Топ 10</t>
  </si>
  <si>
    <t>с текущим грантом</t>
  </si>
  <si>
    <t>Целевой показатель</t>
  </si>
  <si>
    <t>Достигнуто </t>
  </si>
  <si>
    <t>HTS-5 Процент людей с впервые выявленным ВИЧ, начавших АРТ</t>
  </si>
  <si>
    <t>TCS-1.1⁽ᴹ⁾ Процент людей, получающих АРТ, среди всех людей, живущих с ВИЧ, на конец отчетного периода</t>
  </si>
  <si>
    <t>KP-5 Процент ЛУИН, получающих ОЗТ, которые находятся на лечении не менее 6 месяцев после начала лечения</t>
  </si>
  <si>
    <t>HTS-3f⁽ᴹ⁾ Количество людей в тюрьмах или других закрытых учреждениях, которые прошли тест на ВИЧ в течение отчетного периода и знают свои результаты</t>
  </si>
  <si>
    <t>KP-1c⁽ᴹ⁾ Процент СР, охваченных программами по профилактике ВИЧ - минимальный пакет услуг</t>
  </si>
  <si>
    <t>KP-1a⁽ᴹ⁾ Процент МСМ, охваченных программами по профилактике ВИЧ - минимальный пакет услуг</t>
  </si>
  <si>
    <t xml:space="preserve"> Топ 10</t>
  </si>
  <si>
    <t>74,44%</t>
  </si>
  <si>
    <t>HTS-3d⁽ᴹ⁾ Процент ЛУИН, протестированных на ВИЧ за отчетный период и знающих свой результат</t>
  </si>
  <si>
    <t>55,04%</t>
  </si>
  <si>
    <t>56,28%</t>
  </si>
  <si>
    <t>HTS-3c⁽ᴹ⁾ Процент СР, протестированных на ВИЧ за отчетный период и знающих свой результат</t>
  </si>
  <si>
    <t>60,00%</t>
  </si>
  <si>
    <t>45,40%</t>
  </si>
  <si>
    <t>HTS-3a⁽ᴹ⁾ Процент МСМ, протестированных на ВИЧ за отчетный период и знающих свой результат</t>
  </si>
  <si>
    <t>53,25%</t>
  </si>
  <si>
    <t>KP-6a Процент МСМ, подходящих по критериям для начала доконтактной профилактики (ДКП), которые начали антиретровирусную ДКП в течение отчетного периода</t>
  </si>
  <si>
    <t xml:space="preserve"> с текущим грантом</t>
  </si>
  <si>
    <t>22,00%</t>
  </si>
  <si>
    <t>TB/HIV-6⁽ᴹ⁾ Процент ВИЧ-позитивных пациентов с новым и/или рецидивным туберкулезом, получающих АРТ во время лечения туберкулеза</t>
  </si>
  <si>
    <t>94,00%</t>
  </si>
  <si>
    <t>95,21%</t>
  </si>
  <si>
    <t>Таблица обновляется автоматически. Данные в эти ячейки не вводятся</t>
  </si>
  <si>
    <t>Информация о программе: ТБ</t>
  </si>
  <si>
    <t>Р1</t>
  </si>
  <si>
    <t>Р2</t>
  </si>
  <si>
    <t>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t>
  </si>
  <si>
    <t>да</t>
  </si>
  <si>
    <t>Достигнуто</t>
  </si>
  <si>
    <t xml:space="preserve">MDR TB-2: Количество бактериологически подтвержденных зарегистрированных ЛУ-ТБ случаев (РУ-ТБ и/или МЛУ-ТБ)		</t>
  </si>
  <si>
    <t>MDR TB-3: Количество случаев с РУ/МЛУ ТБ, начавших лечение препаратами второго ряда</t>
  </si>
  <si>
    <t>MDR TB-7: Процент подтвержденных МЛУ-ТБ случаев, протестированных на чувствительность к фторхинолонам и инъекционным препаратам второго ряда</t>
  </si>
  <si>
    <t xml:space="preserve">WPTM_1: Реализация плана по расширению лечения на амбулаторном уровне: К концу 2023 года 23% больных с туберкулезом получают лечение исключительно на амбулаторном уровне		</t>
  </si>
  <si>
    <t>WPTM</t>
  </si>
  <si>
    <t>WPTM_2: Улучшение доступа к быстрой и высококачественной диагностике ТБ в южном регионе через строительство новой модульной лаборатории третьего уровня биологической безопасности расположенной на территории ООЦБТ.  Цель на 2021 год: Отобрана и законтрактирована строительная фирма для строительства модульной лаборатории</t>
  </si>
  <si>
    <t>Завершено</t>
  </si>
  <si>
    <t xml:space="preserve">Достигнуто </t>
  </si>
  <si>
    <t>Начато</t>
  </si>
  <si>
    <t xml:space="preserve">Начато </t>
  </si>
  <si>
    <t>не начато</t>
  </si>
  <si>
    <t xml:space="preserve">  </t>
  </si>
  <si>
    <t>Финансирование</t>
  </si>
  <si>
    <t>Наименование:</t>
  </si>
  <si>
    <t>Определение</t>
  </si>
  <si>
    <t>Измерение</t>
  </si>
  <si>
    <t>Источник данных</t>
  </si>
  <si>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</si>
  <si>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</si>
  <si>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Банковская или бухгалтерская информация ОР; уведомления ГФ о выплате средств; ОПР/ЗПС; веб-сайт ГФ.</t>
  </si>
  <si>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</si>
  <si>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</si>
  <si>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</si>
  <si>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</si>
  <si>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rPr>
        <sz val="11"/>
        <rFont val="Arial"/>
        <family val="2"/>
      </rPr>
      <t>ОПР/ЗПС</t>
    </r>
    <r>
      <rPr>
        <sz val="11"/>
        <color indexed="8"/>
        <rFont val="Arial"/>
        <family val="2"/>
      </rPr>
      <t>; данные ОР; отчеты СР  основному реципиенту.</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</si>
  <si>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</si>
  <si>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</si>
  <si>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</si>
  <si>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Управление</t>
  </si>
  <si>
    <t>Источники Данных</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</si>
  <si>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</si>
  <si>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</si>
  <si>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</si>
  <si>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</si>
  <si>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t>Количество в текущем отчетном периоде.</t>
  </si>
  <si>
    <t xml:space="preserve">Документация ОР. </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</si>
  <si>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</si>
  <si>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</si>
  <si>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Документация ОР; соглашения с субреципиентами/ меморандум о взаимопонимании (МоВ); документация СКК.</t>
  </si>
  <si>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</si>
  <si>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Количество  полученных отчетов. Эта цифра отражает только отчетный период; она не является совокупной.</t>
  </si>
  <si>
    <t>Документация ОР и СР.</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</si>
  <si>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</si>
  <si>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Валюта финансирования гранта (долл. США или евро).</t>
  </si>
  <si>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</si>
  <si>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</si>
  <si>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</si>
  <si>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Количество месяцев.</t>
  </si>
  <si>
    <t>Документация ОР: складские данные</t>
  </si>
  <si>
    <t>Показатель по ВИЧ /СПИД</t>
  </si>
  <si>
    <t>Определение (на основании Плана мониторинга и оценки)</t>
  </si>
  <si>
    <t>Индикатор  отражает процент ЛУИН из оценочного числа, которые хотя бы один раз в течении отчетного периода получили минимальный пакет услуг (шприцы, иглы, салфетки), презервативы и информационный материал (в виде информационных брошюр или информационных сессий).</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</si>
  <si>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ЛУИН за отчетный период, включая заключенных ЛУИН; знаменатель: оценочное количество ЛУИН за 2013 г. </t>
  </si>
  <si>
    <t>Отчетная документация организаций - СР (ежеквартально), БД МИС.</t>
  </si>
  <si>
    <t>Индикатор отражает процент  лиц с известным статусом на конец отчетного периода получающие АРТ в соответствии с утвержденным национальным протоколом лечения из оценочного числа ЛЖВ. </t>
  </si>
  <si>
    <t>Индикатор не кумулятивный, состоит из двух частей. Числитель: Число людей, находящихся на АРТ на конец отчетного периода, знаменатель: оценочное число ЛЖВ по Спектруму. </t>
  </si>
  <si>
    <t>Данные РЦ СПИД, ЭС.</t>
  </si>
  <si>
    <t xml:space="preserve">Индикатор отражает процент  лиц, получающих АРТ на конец отчетного периода из оценочного количества ЛЖВ. </t>
  </si>
  <si>
    <t>Числитель: Число ЛЖВ, получающих АРТ на конец отчетного периода.
Знаменатель: Оценочное число ЛЖВ.
Данные необходимо направлять в разбивке по полу, возрасту, указывать продолжительность лечения и принадлежность к ключевой группе.</t>
  </si>
  <si>
    <t>Индикатор отражает приверженность/удержание на опиоидной заместительной терапии и охватывает гражданский и пенитенциарный системы (по стране). </t>
  </si>
  <si>
    <t xml:space="preserve">Не куммулятивный. Числитель: количество  ЛУИН (новых), начавших лечение в период, предшествующий отчетному, включая тех, которые умерли после начала лечения, которые прекратили лечение, и тех, за кем был утрачен контроль через 6 месяцев, а также по числу ЛУИН продолжающих непрерывный курс ПТМ лечения спустя 6 месяцев после его начала, по стране включая ГСИН, знаменатель: количество ЛУИН, которые  были вовлечены в программу ОЗТ за период, предшествующий отчетному.		</t>
  </si>
  <si>
    <t>Данные РЦН, ЭРЗПТ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</si>
  <si>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</si>
  <si>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</si>
  <si>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СР, которые получили хотя бы один раз минимальный пакет услуг в течение отчетного периода из оценочного числа СР.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</si>
  <si>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СР за отчетный период; знаменатель: оценочное количество СР за 2013 г. 		</t>
  </si>
  <si>
    <t>Процент МСМ, которые получили хотя бы один раз минимальный пакет услуг в течение отчетного периода из оценочного числа МСМ.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</si>
  <si>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МСМ за отчетный период; знаменатель: оценочное количество МСМ за 2016 г. 		</t>
  </si>
  <si>
    <t>Отчетная документация организаций - СР (ежеквартально), БД МИС</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</si>
  <si>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</si>
  <si>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ЛУИН за 2013 г. </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</si>
  <si>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</si>
  <si>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</si>
  <si>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</si>
  <si>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МСМ, прошедших тестирование и знающих свои результаты за отчетный период; знаменатель: оценочное количество МСМ за 2016 г. </t>
  </si>
  <si>
    <t>Процент МСМ, начавших ДКП в течении отчетного периода из числа запланированных (150 МСМ будут получать ДКП ежегодно).</t>
  </si>
  <si>
    <t xml:space="preserve">Не куммулятивный: Числитель: Количество отвечающих критериям МСМ, которые начали ДКП* в течение отчетного периода. 
*К людям, которые начали ДКП, относятся те, кто начал ДКП впервые, и те, кто, возможно, прекратил ДКП и возобновил ДКП в отчетный период. 
Критериями для начала ДКП будет: ВИЧ-отрицательный статус, отсутствие признаков и симптомов острой ВИЧ-инфекции, а также наличие у МСМ высокого риска заразиться ВИЧ и возможная польза от ДКП. Все дополнительные критерии будут зависеть от контекста и будут основываться на критериях, описанных в национальном клиническом протоколе. </t>
  </si>
  <si>
    <t xml:space="preserve">TB/HIV-6⁽ᴹ⁾ Процент ВИЧ-позитивных пациентов с новым и/или рецидивным туберкулезом, получающих АРТ во время лечения туберкулеза </t>
  </si>
  <si>
    <t xml:space="preserve">Процент ВИЧ-положительных новых и рецидивирующих больных туберкулезом, которые начали лечение ТБ в течение отчетного периода, которые уже получают АРТ или начавшие АРТ во время лечения ТБ. </t>
  </si>
  <si>
    <t>Не куммулятивный: Числитель: количество ЛЖВ с впервые выявленным ТБ или с рецидивом ТБ , которые начали противотуберкулезное лечение при этом уже получают АРТ, или среди тех кто начал АРТ во время лечения туберкулеза, в течение отчетного периода.</t>
  </si>
  <si>
    <t>Данные РЦ СПИД, программа ЭС.</t>
  </si>
  <si>
    <t>Показатель по ТБ</t>
  </si>
  <si>
    <t>Знаменатель: Фактическое число ЛЖВ с впервые или повторно выявленным ТБ, зарегистрированных за отчетный период.</t>
  </si>
  <si>
    <t xml:space="preserve">Числитель: Кол-во ТБ пациентов, зарегистрированных в отчетный период, имеющих ТЛЧ результат. Охват методами ТЛЧ включает как быстрые молекулярные тесты (Xpert  MBT Rif), так и стандартные культуральные тесты. Знаменатель: Общее количество зарегистрированных ТБ случаев в этом же году; знаменатель включает все бактериологически подтвержденные новые и ранее леченые ТБ случаи. </t>
  </si>
  <si>
    <t>Данные в разбивке по возрасту и полу указать в примечаниях</t>
  </si>
  <si>
    <t>Отчетный инструмент  относится к форме ТБ 06, табл. 1. </t>
  </si>
  <si>
    <t>MDR TB-2: Количество бактериологически подтвержденных зарегистрированных ЛУ-ТБ случаев (РУ-ТБ и/или МЛУ-ТБ)</t>
  </si>
  <si>
    <t xml:space="preserve">Кыргызстан сфокусирован на достижении целей ООН; исходя из ресурсов и возможностей национальной противотуберкулезной программы ожидается, что охват составит 80% от целей ООН.  Абсолютное количество бактериологически подтвержденных случаев ЛУ РУ ТБ и/или МЛУ/ШЛУ (включая ШЛУ), зарегистрированных за отчетный период.                                      
</t>
  </si>
  <si>
    <t>Измеряется в абсолютных числах  на основании ежеквартальных статистических данных РЦИиЭ НЦФ.</t>
  </si>
  <si>
    <t>Отчетный инструмент  относится к форме ТБ 06 У, табл. 1. </t>
  </si>
  <si>
    <t>MDR TB-3: Количество случаев с РУ/МЛУ ТБ, начавших лечение препаратами второго ряда</t>
  </si>
  <si>
    <t xml:space="preserve">Кыргызстан сфокусирован на достижении целей ООН; исходя из ресурсов и возможностей национальной противотуберкулезной программы ожидается, что охват составит 80% от целей ООН. Индикатор включает абсолютное число всех лабораторно-подтвержденных и предполагаемых (клинических) случаев РУ/МЛУ/ШЛУ ТБ, взятых на лечение препаратами второго ряда в отчетный период. Основываясь на историческом разрыве между числом выявленных ТБ случаев и числом случаев, взятых на лечение, ожидается, что в первый год будет охвачено 95% от всех зарегистрированных случаев ТБ. </t>
  </si>
  <si>
    <t>База данных МЛУ-ТБ НЦФ РЦИиЭ</t>
  </si>
  <si>
    <t>Измеряется количество подтвержденных РУ/МЛУ ТБ случаев, протестированных на устойчивость к  препаратам второго ряда в отчетный период любым методом (Хайн-тест 2го ряда или фенотипический ТЛЧ). </t>
  </si>
  <si>
    <t>Числитель: Количество подтвержденных РУ/МЛУ ТБ случаев протестированных на устойчивость к препаратам второго ряда в отчетный период. Знаменатель: Общее количество подтвержденных случаев РУ/МЛУ, зарегистрированных в отчетный период. </t>
  </si>
  <si>
    <t>Отчетный инструмент  относится к форме ТБ 06, табл. 3а и 3б. </t>
  </si>
  <si>
    <t>WPTM_1: Реализация плана по расширению лечения на амбулаторном уровне: К концу 2023 года 23% больных с туберкулезом получают лечение исключительно на амбулаторном уровне</t>
  </si>
  <si>
    <t xml:space="preserve">"Начато"- План по расширению лечения на амбулаторном уровне в КР на период 2021-2023 года одобрен МЗ КР; "В процессе" - Создана рабочая группа по реализацию Плана; "Завершено" - 23% больных с туберкулезом получают лечение исключительно на амбулаторном уровне. </t>
  </si>
  <si>
    <t xml:space="preserve">Числитель: количество всех ТБ случаев (бактериологически подтвержденных и клинически диагностированных), новых и ранее леченых, получавших лечение на амбулаторном уровне (период их госпитализации составил менее 30 дней) в отчетный период  Знаменатель: Общее количество всех ТБ случаев (бактериологически подтвержденных и клинически диагностированных), новых и ранее леченых, зарегистрированных и начавших лечение в течение отчетного периода. </t>
  </si>
  <si>
    <t>Программные документы, Отчетный инструмент  относится к форме ТБ 06, табл. 1. </t>
  </si>
  <si>
    <t xml:space="preserve">"Не начато" - Окончательное решение по юной лаборатории еще не принято; "Начато" - Тендер на строительную компанию запущен; "в процессе" - строительная компания отобрана, "Завершено" - подписан контракт со строительной компанией.  </t>
  </si>
  <si>
    <t>Проектные документы</t>
  </si>
  <si>
    <t>Номер показателя: название (№ в Системе оценки результатов реализации)</t>
  </si>
  <si>
    <t>Показатели должны быть выбраны ОР и членами СКК или Техническим комитетом СКК, см. Систему оценки результатов реализации</t>
  </si>
  <si>
    <t>Система оценки результатов реализации</t>
  </si>
  <si>
    <t>Грант №:</t>
  </si>
  <si>
    <t>Дата начала:</t>
  </si>
  <si>
    <t>Общ. финансирование:</t>
  </si>
  <si>
    <t>Отчетный период:</t>
  </si>
  <si>
    <t>дo:</t>
  </si>
  <si>
    <t>Последняя оценка</t>
  </si>
  <si>
    <t>Портфолио Менеджер  Фонда:</t>
  </si>
  <si>
    <t>Кем подготовлен:</t>
  </si>
  <si>
    <t>Дата подготовки отчета:</t>
  </si>
  <si>
    <t>Финансовые показатели</t>
  </si>
  <si>
    <t>Комментарии:</t>
  </si>
  <si>
    <t>ГФ в отчетном периоде произвел выплату на общую сумму 11 372 549$. Итого, ГФ выплатил 102% от общего бюджета за 2021-2023 гг.</t>
  </si>
  <si>
    <t xml:space="preserve">В отчетном периоде ГФ произвел выплату согласно утвержденного годового графика выплат.
Расходы ОП составили 11 052 794$. При этом имеются финансовые обязательства, в основном, по закупкам товаров медицинского назначения и медицинского оборудования, лекарственных средств и фармацевтических препаратов, GMS  на 31 декабря 2023 в 658 614$. Итого за текущий период с учетом обязательств освоено 82% выделенных средств на ОП. В текущем периоде ПРООН произвел выплаты 25 СП на общую сумму в 2 242 135$ по запросу от СП в рамках 46 подписанных Соглашений и бюджетов. </t>
  </si>
  <si>
    <t xml:space="preserve">Расходы  связаны с обеспечением всех направлений деятельности программы по задачам. За отчетный период было израсходовано  80% выделенного бюджета согласно фактическим потребностям. При этом на конец отчетного периода имеются финансовые обязательства на 658 614$, с учетом которых освоение будет 84%. </t>
  </si>
  <si>
    <t>В отчетном периоде ОП предоставил отчет в ГФ в установленные сроки, 29 февраля 2023 г.</t>
  </si>
  <si>
    <t>Совокупный бюджет</t>
  </si>
  <si>
    <t>Совокупные расходы</t>
  </si>
  <si>
    <t>Raiting</t>
  </si>
  <si>
    <t>Valor</t>
  </si>
  <si>
    <t>Программные показатели по ВИЧ/СПИД</t>
  </si>
  <si>
    <t>Комментрии:</t>
  </si>
  <si>
    <t xml:space="preserve">В  отчетном периоде 19 831 ЛУИН получили минимальный пакет услуг, в том числе 3 273 женщин. 5 НПО и Республиканский центр психического здоровья и наркологии осуществляют  мероприятия по всей стране и в пенитенциарной системе. Планировалось охватить минимальным пакетом услуг 80% от оценочного числа ЛУИН (25 000, последняя оценка 2013 года), достигнуто 79,32%, так процент достижения индикатора составил 99% в 2023 году, в 2022 году - 97%. 	                                                              Минимальный пакет услуг включает предоставление шприцев, спиртовых салфеток и информационный компонент (предоставление ИОМ и/или консультация).
</t>
  </si>
  <si>
    <t>За отчетный период 919 из 1031 впервые выявленных с ВИЧ инфекцией начали АРТ, что составило 89,04%, из них 362 женщин (39,39%) и 557 мужчины (60,61%). АРВ-терапия начата в течение 30 дней после постановки диагноза, процент достижения данного индикатора составил 99% в 2023 году, тогда как в 2022 году было 102%.   С октября 2023 года введена стратегия, мотивирующая врачей первичного звена выявлять ВИЧ по клиническим показаниям. Эта стратегия  действует с июля 2022 года на уровне стационаров. К внедрению экспресс-тестирования с использованием капли крови на первичном уровне медицинской помощи и в стационарах были привлечены 4 специалиста при поддержке проекта ПРООН/ГФ. Так в 2023 году выявлено 13 новых случаев ВИЧ-инфекции на уровне первичной медико-санитарной помощи, на стационарном уровне в 2023 году проведено 10 728 тестов и выявлено 79 случаев.</t>
  </si>
  <si>
    <r>
      <t>На 31 декабря 2023 года получали АРВ терапию 6353 ЛЖВ  (женщин – 2883, мужчин – 3470).  Последние доступные данные об оценочной численности ЛЖВ составляют 11000 по данным ЮНЭЙДС/SPECTRUM. Целевой показатель составлял 90%, выполнено 57,75%, т.о. процент достижения составил 64%, что на 7% меньше, чем в 2022 году.                                                                                                                                                                                         
Отставание за отчетный период обусловлено, главным образом</t>
    </r>
    <r>
      <rPr>
        <sz val="10"/>
        <rFont val="Calibri"/>
        <family val="2"/>
        <charset val="204"/>
      </rPr>
      <t xml:space="preserve"> (по данным РЦКГВГиВИЧ): </t>
    </r>
    <r>
      <rPr>
        <sz val="10"/>
        <color rgb="FFFF0000"/>
        <rFont val="Calibri"/>
        <family val="2"/>
        <charset val="204"/>
      </rPr>
      <t xml:space="preserve">  </t>
    </r>
    <r>
      <rPr>
        <sz val="10"/>
        <rFont val="Calibri"/>
        <family val="2"/>
      </rPr>
      <t xml:space="preserve">                                                                                                                                                                                                                 -недостаточная настороженность медицинских работников на  выявлении случаев ВИЧ-инфекции, что приводит к поздней диагностике;
- прерывание антиретровирусной терапии (АРТ) среди пациентов представляет собой значительную проблему, недостаточная приверженность к лечению пациентов с ВИЧ инфекцией;
- реформы в системе здравоохранения привели к частой смене медицинского персонала, что затрудняет  работу с пациентами, особенно с КГН (ключевые группы населения);
- расширение функций службы СПИД привело к перегрузке специалистов, что снижает качество предоставляемых услуг и уменьшается время, уделяемое пациентам;
- низкая заработная плата и нестабильная социально-экономическая ситуация приводят к текучести кадров.			</t>
    </r>
  </si>
  <si>
    <t>Показатели</t>
  </si>
  <si>
    <t>0% - 59%</t>
  </si>
  <si>
    <t>60% - 89%</t>
  </si>
  <si>
    <t>&gt; 90%</t>
  </si>
  <si>
    <t>Замечания</t>
  </si>
  <si>
    <t>min</t>
  </si>
  <si>
    <t xml:space="preserve">Общее количество ЛУИН, охваченных профилактическими услугами, в том числе ЛУИН в пенитенциарных учреждениях составило 19 831 человек. Это составляет 79,3% при целевом показателе 80%. Процент достижения данного показателя составляет 99%.
5 НПО реализовали проекты среди ЛУИН в г. Бишкек, Чуйской области, г. Ош, Ошской области, г. Джалал-Абад, Джалал-Абадской области, г. Талас и Таласской области, г. Каракол. Кроме того, в системе исполнения наказаний имеются пункты обмена шприцев. Минимальный пакет услуг включает предоставление шприцев, спиртовых салфеток и информационный компонент (ИОМ или консультирование).
Программа охватывает в основном ЛУИН старше 25 лет (97,24%), молодые ЛУИН и потребители новых ПАВ остаются недоступными для профилактических программ. </t>
  </si>
  <si>
    <t>max</t>
  </si>
  <si>
    <t>90,00%</t>
  </si>
  <si>
    <t>За отчетный период 89% (919 из 1031) людей с впервые выявленным ВИЧ начали АРТ. С октября 2023 года введена стратегия, мотивирующая врачей первичного звена выявлять ВИЧ по клиническим показаниям. Эта стратегия  действует с июля 2022 года на уровне стационаров. К внедрению экспресс-тестирования с использованием капли крови на первичном уровне медицинской помощи и в стационарах были привлечены 4 специалиста. В 2023 году  выявлено 13 новых случаев ВИЧ-инфекции на уровне первичной медико-санитарной помощи. На стационарном уровне в 2023 году проведено 10 728 тестов, в 2023 году выявлено 79 новых случаев ВИЧ (0,7%).
Процент достижения этого показателя составляет 99% в 2023 году по сравнению со 102% в 2022 году, наблюдается незначительное снижение показателя.
Все они начали АРВ-терапию в течение 30 дней после постановки диагноза. Данные предоставлены Республиканским центром по контролю гемоконтактных вирусных гепатитов и ВИЧ (РЦКГВиВИЧ)».</t>
  </si>
  <si>
    <t>Rating</t>
  </si>
  <si>
    <r>
      <rPr>
        <sz val="11"/>
        <rFont val="Calibri"/>
        <family val="2"/>
        <charset val="204"/>
      </rPr>
      <t xml:space="preserve">На 31 декабря 2023 года получали АРВ-терапию 6353 ЛЖВ  (женщин – 2883, мужчин – 3470).  Совместно с РЦКГВиВИЧ, региональными центрами КГВГиВИЧ и НПО были приняты ряд мер для увеличения числа ЛЖВ, получающих АРТ, такие как:
• Распределение АРВ-препаратов на более длительный срок для 5150 ЛЖВ (3-6-12 месяцев), доставка АРВ-препаратов на дом пациентам при поддержке мультидисциплинарных бригад  (всего проведено 164 визита). 3 мультидисциплинарными бригадами были оказаны услуги 870 ЛЖВ/ЛЖВ на базе НПО, 2 мобильными бригадами были выполнены следующие работы: доставка АРВ-препаратов 162 ЛЖВ и выявлено 28 пациентов, которые были потеряны для последующего наблюдения и затем вновь привлечены в программу помощи при ВИЧ;
• Оказание социальной поддержки и мотивационных выплат детям, живущим с ВИЧ (всего в 2023 году в размере 5 056 000 сомов сделаны выплаты детям -в 1 квартале – 449 детей, живущих с ВИЧ, во 2 квартале – 444, в 3 квартале – 435 и в 4 квартале – 375);
• Большинство пациентов переведено на схему лечения на основе Долутегравира (5 905 ЛЖВ из 6 353);
• Функционировали 2 центра  для поддержки ЛЖВ при подключении к АРТ среди вновь начавших  лечение и уход, охвачено услугами поддержки 224 ЛЖВ . </t>
    </r>
    <r>
      <rPr>
        <sz val="11"/>
        <color rgb="FFFF0000"/>
        <rFont val="Calibri"/>
        <family val="2"/>
      </rPr>
      <t xml:space="preserve">
</t>
    </r>
    <r>
      <rPr>
        <sz val="11"/>
        <rFont val="Calibri"/>
        <family val="2"/>
        <charset val="204"/>
      </rPr>
      <t>Несмотря на все вышеперечисленные предпринятые меры, процент достижения индикатора составил  64% (в 2022 - 71%).
В 2024 году ОР продолжит реализацию мероприятий, направленных на привлечение ЛЖВ к началу АРТ и усиление приверженности.</t>
    </r>
  </si>
  <si>
    <t>Программа ОЗТ продолжала реализовываться РЦПН как в гражданском секторе, так и в пенитенциарной системе. На терапии по состоянию на 31 декабря 2023 г. (включая СИН) находились 724 ЛУИН, 622 (85,9%) на терапии более 6 мес., 144 новых клиентов за отченый период вошли в программу ОЗТ, и 70 из них находились на терапии в течение 6 месяцев после даты включения, и коэффициент удержания составляет 48,61%, в то время как в 2022 году он составлял 54,2%. Процент достижения данного индикатора за отченый период составила 61%.                                                                                                                                                                                                                           
За отчетный период проект ПРООН/ГФ предприняли следующие действия: (1) НПО, работающие с ЛУИН, уделили больше внимания проведению тематических мини-сессий и равных консультаций, направленных на улучшение знаний об ОЗТ среди ЛУИН; (2) участие во внедрении обновленных руководств по ОЗТ с целью включения различных вариантов лечения; (3) обучение врачей ОЗТ по вопросам профилактики синдрома выгорания, обучение медсестер ОЗТ обновленным клиническим руководствам; (4) ознакомительная поездка в Литву для повышения квалификации врачей ОЗТ в ведении пациентов ОЗТ; (5) перевод программы ОЗТ на финансирование из средств государственного бюджета для обеспечения непрерывности ОЗТ и повышения мотивации персонала в предоставлении услуг ОЗТ; (6) обучение НПО, работающих с ЛУИН навыкам психосоциальнго консультирования (7)  пересмотр приказа Минздрава с целью увеличения количества клиентов, имеющих право на 5-дневную выдачу метадона и применения  шкалы ранжирования для 2-5-дневной выдачи метадона. Мероприятия будут продолжены в 2024 году.</t>
  </si>
  <si>
    <t xml:space="preserve">За отчетный период 7 159 заключенных (м-6715/ж-444) прошли тестирование на ВИЧ и знают свои результаты. Среди протестированных заключенных выявлено 32 случая ВИЧ-инфекции (3 женщины, 29 мужчин).
Целевой показатель составил 70,63%, достигнуто 111,23%, соответственно процент достижения составил 120%, тогда как в 2022 году этот показатель составил 106%.
Столь высокий охват тестированием обусловлен тем, что в 2023 году во всех учреждениях было проведено тотальное медицинское обследование заключенных, требующее обязательного тестирования на ВИЧ, независимо от того, когда оно проводилось в последний раз. Отчетные данные о заключенных представлены по 16 учреждениям ГСИН, в 12 из которых работаю профилактические программы, проект ПРООН/ГФ. </t>
  </si>
  <si>
    <t xml:space="preserve">За 2023 год коэффициент достижения данного индикатора составил 102%, что на 18% выше, чем в 2022 году. Число СР, охваченных минимальным пакетом услуг, составило 5813. 
6 НПО реализовали проекты среди СР в г. Бишкек, Чуйской области, г. Ош, Ошской области, г. Джалал-Абад, Джалал-Абадской области, г. Нарын, Нарынской области, г. Талас и Таласской области, г. Кызыл-Кия, Чолпон-Ата, Города Балыкчи, город Каракол и Иссык-Кульская область. 
В дополнение к существующим услугам, предоставлялись услуги по диагностике и лечению ИППП (сифилис, гонорея, трихомониаз). В 2023 году 624 СР прошли лабораторное тестирование на ИППП и 502 СР получили лечение от ИППП (в том числе сифилис-206, гонорея-68, трихомониаз-48, прочие-180). </t>
  </si>
  <si>
    <t xml:space="preserve">За отчетный период % достижения данного показателя составил 117%, что на 6% выше достижения за 2022 год. Число МСМ, охваченных минимальным пакетом услуг, составило 15 830.
Три НПО предоставляли профилактические услуги среди МСМ в городах Бишкек, Ош, Джалал-Абад, Талас, а также в Иссык-Кульской, Ошскойи Чуйской областях. 
В дополнение к существующим услугам, предоставляются услуги по диагностике и лечению ИППП.  В течение 2023 года 220 МСМ прошли обследование на ИППП и 152 МСМ прошли лечение от ИППП (в том числе сифилис-26, гонорея-39, трихомониаз-1, другие-84). Лечение получили все, у кого была диагностирована та или иная ИППП.
</t>
  </si>
  <si>
    <t>За отчетный период 17 692 ЛУИН прошли тестирование на ВИЧ. Коэффициент достижения в 2023 году составляет 102%, в 2022 году процент достижения был аналогичным. Большинство ЛУИН протестированы с помощью экспресс-тестов по слюне (для ключевых групп населения это гораздо удобнее, чем ИФА, так как проводится на базе НПО, что повышает готовность сообщества пройти тестирование). 10 ЛУИН были выявлены с предварительным положительным результатом экспресс-теста на ВИЧ, затем все 10 были подтверждены, 7 ЛУИН выявлены на базе НПО, 3 – в ГСИН.  В 2024 году будут разработаны механизмы оказания профилактических услуг через онлайн-платформы и распространения медицинских изделий и наборов для самотестирования через тест-машины и/или вендинговые аппараты.</t>
  </si>
  <si>
    <t>За отчетный период 4670 СР  прошли тестирование на ВИЧ. Процент достижения данного показателя в 2023 году составляет 93,4% по сравнению с 85% в 2022 году. Все СР получили экспресс-тестирование по слюне (для ключевых групп населения это гораздо удобнее, чем ИФА, так как проводится на базе НПО, что повышает готовность сообщества пройти тестирование). У 2 СР были предварительные положительные результаты экспресс-теста на ВИЧ, все 2 были подтверждены. В 2024 году будут разработаны механизмы оказания профилактических услуг через онлайн-платформы и распространение изделений медицинской продукции и самотестирования через тест-машины и/или автоматы по предоставлению презервативов.</t>
  </si>
  <si>
    <r>
      <t>За отчетный период тестирование прошли 10 492 МСМ</t>
    </r>
    <r>
      <rPr>
        <sz val="11"/>
        <color rgb="FFFF0000"/>
        <rFont val="Calibri"/>
        <family val="2"/>
        <charset val="204"/>
      </rPr>
      <t>.</t>
    </r>
    <r>
      <rPr>
        <sz val="11"/>
        <color rgb="FF000000"/>
        <rFont val="Calibri"/>
        <family val="2"/>
      </rPr>
      <t xml:space="preserve"> Коэффициент достижения этого показателя в 2023 году составляет 87% по сравнению со 102% в 2022 году.
Все протестированные МСМ прошли экспресс-тесты по слюне. У 8 МСМ был выявлен предварительный положительный результат экспресс-теста на ВИЧ, затем все 8 результатов были подтверждены.
Снижение показателя по сравнению с предыдущим годом вызвано следующим: многие клиенты прошли тестирование методом самотестирования в рамках других проектов и отказались от тестирования во второй раз, некоторые клиенты отказались от тестирования на ВИЧ, нуждались лишь в  для получения МПУ,  НПО «Кыргыз Индиго» прекратило работу в рамках проекта ПРООН/ГФ с 4-го квартала 2023 года, однако НПО «АнтиСПИД» охватила некоторую часть клиентов «Кыргыз Индиго», но в основном для предоставления МПУ.
В 2024 году будут разработаны механизмы оказания профилактических услуг через онлайн-платформы и распространение изделений медицинской продукции и самотестирования через тест-машины и/или автоматы по предоставлению презервативов.</t>
    </r>
  </si>
  <si>
    <t>В 2023 году ДКП получили 261 МСМ (цель- 150), процент достижения индикатора составил 174%, что является существенным улучшением по сравнению с 2022 (22%).
Перевыполнение связано с продвижением ДКП среди МСМ, а также вкладом других проектов, продивгающих ДКП в стране. Проект ПРООН/ГФ продолжил сотрудничать с ЕКОМ и провели несколько тренингов по ДКП для медицинского персонала Центров КГВГиВИЧ и сотрудников НПО в Бишкеке и Оше, проведен обучающий тур в Берлин для 3 врачей и 3 руководителей Центров КГВГиВИЧ из Бишкека и Оша, а также 7 сотрудников из 2 НПО с целью получения дополнительных знаний и изучения передового опыта по предоставлению ДКП в  НПО и государственных организациях, являющихся поставщиками услуг в Германии. Чтобы расширить доступ услуга ДКП для МСМ/ТГ предоставляется в НПО. С ноября 2022 года врачи Центров КГВГиВИЧ в Бишкеке и Оше один день в неделю посещают НПО для консультирования, тестирования на ВИЧ и предоставления ДКП.</t>
  </si>
  <si>
    <t xml:space="preserve">За отчетный период 114 из 115 ЛЖВ с новым или рецидивирующим случаем туберкулеза  во время лечения туберкулеза получали АРТ, процент достижения составил 103%, тогда как в 2022 году этот показатель составил 102%, соответственно показатель остается на таком же высоком уровне.
</t>
  </si>
  <si>
    <t>Программные показатели по ТБ</t>
  </si>
  <si>
    <t xml:space="preserve">MDR TB-3: Количество случаев с РУ/МЛУ ТБ, начавших лечение препаратами второго ряда	</t>
  </si>
  <si>
    <t xml:space="preserve">MDR TB-7: Процент подтвержденных МЛУ-ТБ случаев, протестированных на чувствительность к фторхинолонам и инъекционным препаратам второго ряда	</t>
  </si>
  <si>
    <t xml:space="preserve">В рамках гранта ГФ страна получает всестороннюю поддержку для выполнения этого индикатора, проблема заключается в невыполнении диагностического алгоритма в отдельных случаях. </t>
  </si>
  <si>
    <t xml:space="preserve">Несмотря на реализацию Плана по улучшению выполнения данного индикатора (НЦФ, ПРООН, партнеры), количество зарегистрированных случаев РУ/МЛУ ТБ продолжает снижаться. Согласно рекомендациям миссии ВОЗ (2023), страна должна сосредоточить усилия на уровне ПМСП и проводить активное выявление случаев среди целевых групп населения. </t>
  </si>
  <si>
    <t xml:space="preserve">Ключевыми факторами, внесшими вклад в достижение этого индикатора, являются улучшение системы передачи  лабораторных данных и функционирование системы транпортировки мокроты. </t>
  </si>
  <si>
    <t>Замечания и комментарии</t>
  </si>
  <si>
    <t xml:space="preserve">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		</t>
  </si>
  <si>
    <t xml:space="preserve">3262 случая бактериологически подтвержденного туберкулеза было зарегистрировано в течение отчетного периода,3101 из них имеют результат ТЛЧ к препаратам второго ряда, включая ГенЭксперт (95%). Данный показатель не изменился по сравнению с предыдущим отчетным периодом. Фактически, в стране нет никаких барьеров для того, чтобы улучшить выполнение этого показателя: в рамках гранта ГФ ПРООН вносил вклад в поддержку этой активности, в том числе закупал все необходимые лабораторные реактивы и реагенты, обеспечивал техническую поддержку лабораторного оборудования (инженер), поддерживал лабораторный персонал (27 лабораторных специалистов получали оплату за удержание на рабочем месте, включая 7 сотрудников ГСИН), поддерживал 7 областных координаторов по системе транспортировки патологического материала для улучшения выполнения диагностического алгоритма, закупил и поставил дополнительное лабораторное и диагностическое оборудование, включая 2 Тру-Ната, один аппарат КТ, стационарные и портативные рентген-аппараты. </t>
  </si>
  <si>
    <r>
      <t xml:space="preserve">В течение отчетного периода 836 РУ/МЛУ ТБ случаев было зарегистрировано, включая 768 лабораторно подтвержденных РУ/МЛУ ТБ случаев. Цель была достигнута лишь на 42%. 17 РУ/МЛУ случаев было зарегистрировано в пенитенциарной системе, и 751 – в гражданском секторе. По сравнению с предыдущим отчетным периодом регистрация случаев РУ/МЛУ ТБ сократилась еще на 10%, по сравнению с пре-пандемийным периодом выявление сократилось на 42%: 858 в 2022 году,  914 в 2021, 1108 в 2020 и 1440 в 2019.  
Учитывая тенденцию в снижении выявления случаев ТБ, которое признается всеми международными экспертами и миссией ВОЗ как недовыявление, а также недостижение целевых показателей Национальной Программы (1200 случаев РУ/МЛУ ТБ в 2023) и гранта ГФ, по рекомендации ГФ при поддержке ПРООН страна разработала План по улучшению индикаторов, который включал  22 мероприятия, в т.ч. создание благоприятной нормативно-правовой среды, расширение активного выявления случаев среди уязвимых групп и обследование контактных, улучшение доступа и качества к консультированию по ТБ на уроне первичного звена, проведение координационных встреч, стади-туры для сотрудников НТП и СИН, и другие активности.   </t>
    </r>
    <r>
      <rPr>
        <sz val="11"/>
        <color rgb="FFFF0000"/>
        <rFont val="Calibri"/>
        <family val="2"/>
        <charset val="204"/>
      </rPr>
      <t>План внедрялся с октября 2022 года по декабрь 2023 года, оценочная стоимость плана составила около 300 тыс.$.</t>
    </r>
    <r>
      <rPr>
        <sz val="11"/>
        <color indexed="8"/>
        <rFont val="Calibri"/>
        <family val="2"/>
      </rPr>
      <t xml:space="preserve"> Все мероприятия, за исключением одного (отменено НЦФ) были выполнены. В частности, проведены координационные встречи, 500 медицинских работников обучены на тренингах; НПО выявили и провели скрининг 3272 людям из числа контактных и 3083 из числа уязвимых групп в Ошской и Иссык-Кульской областях, в колониях-поселении в Чуйской области и в службе пробации в г.Бишкек; всего было выявлено 829 случая с симптомами ТБ, 641 из них прошли дальнейшее обследование на ТБ (77%), 32 случая активного ТБ было выявлено, и 7 случаев другой патологии. 244 детей были обследованы методом компьютерной томографии, у 88 (36%) был выявлен ТБ. 
Несмотря на реализацию этого плана, количество выявленных случаев РУ/МЛУ ТБ продолжает сокращаться. Согласно рекомендациям миссии ВОЗ (отчет 2023 г.), необходимо продолжить мероприятия по АВС среди наиболее уязвимых групп.  </t>
    </r>
  </si>
  <si>
    <t xml:space="preserve">Выполнение этого индикатора полностью зависит от числа зарегистрированных РУ/МЛУ случаев (предыдущий индикатор): 836 РУ/МЛУ случаев было зарегистрировано в отчетный период (бактериологически подтвержденных и клинических),776 из них взяты на лечение (93%). Из 776 случаев, взятых на лечение, 708 – бактериологически подверженные случаи, и 68 – клинически диагностированные: люди из контактов, дети и ранее леченые случаи.  Доля клинических случаев в последние три года выросла по сравнению с предыдущими годами: 3% в 2019 году, 4.5% в 2020, 7.4% - в 2021, 11% - в 2022 г., и 8.8% в 2023, хотя охват ТЛЧ к препаратам второго ряда постоянно улучшается (см.индикатор MDR TB-7.1).
По сравнению с предыдущим отчетным периодом, число взятых на лечение РУ/МЛУ ТБ случаев снизилось: 904 в 2022 г., 934 в 2021; 986 в 2020, и 1376 в 2019. Но при этом охват лечением улучшился по сравнению с до-пандемийным периодом: с 83% в 2019 году до 93% в 2020, и с тех пор остается выше 90%. 
Для обеспечения доступа к качественному лечению, ПРООН закупил и доставил все препараты второго ряда в соответсвии с заявкой НЦФ; лечение пациентам назначается с учетом лекарственной чувствительности (более 85% имеют ТЛЧ к ПВР). </t>
  </si>
  <si>
    <t xml:space="preserve">В отчетном периоде 662 из 767 лабораторно подтвержденных случаев РУ/МЛУ ТБ были протестированы на чувствительность к препаратам второго ряда (86%). 18% (122 случая), протестированных на ТЛЧ к ПВР, имели устойчивость к фторхинолонам (пре-ШЛУ ТБ), и 3% (22) имеют устойчивость к новым и перепрофилированным препаратам (ШЛУ). Факторы, которые вносят вклад в достижение этого индикатора: (1) функционирующая по всей стране система транспортировки патологического материала, (2) лабораторная информационная система связана с электронной картой ТБ01, что позволяет получать результаты ТЛЧ  в режиме реального времени, (3) Областные ЛУ-Координаторы и координаторы по системе транспортировки  мониторят внедрение диагностического алгоритма. </t>
  </si>
  <si>
    <t xml:space="preserve">Согласно национальным процедурам МиО, этот индикатор включает все ТБ случаи, которые начали лечение и провели в стационаре менее 30 дней в течение интенсивной фазы. Индикатор оценивается после трех месяцев лечения. В отчетном периоде 4810 ТБ случаев было зарегистрировано в гражданском секторе, 4705 из них начали лечение, 930 из них находились на исключительно амбулаторном лечении согласно определению (19,7%).Индикатор был выполнен только на 44%, в связи с чем МАФ и ГФ оценили эту меру как "не выполнено". Для достижения этого индикатора в октябре 2022 года была запущена реализация Плана по расширению амбулаторного лечения, разработанного НЦФ при поддержке ПРООН и партнеров. План включал 28 мероприятий, преимущественно на уровне ПМСП, целью которых было повысить потенциал ПМСП в предоставлении амбулаторного лечения. Практика показала, что большинство этих мероприятий нуждается в рутинной имплементации. Главным барьером для расширения амбулаторного лечения является система финансирования стационаров на основе пролеченного случая: в связи с сокращением числа выявленных случаев ТБ, стационары пытаются госпитализировать каждого человека с ТБ. </t>
  </si>
  <si>
    <t>завершено</t>
  </si>
  <si>
    <t xml:space="preserve">
• В августе 2024 было принято окончательное совместное решение (ГФ, НПТ, ПРООН) по южной лаборатории: новый модуль не закупать, провести ремонт существующего здания на территории ООЦБТ, лаборатория не будет осуществлять ТЛЧ, только микроскопию мокроты и посевы. 
• В вгусте 2023 года при поддержке д-ра Х.Хоффмана (GIZ, Gauteng) ПРООН реализовало техническое задание на ремонтные работы существующего здания лаборатории ООЦБТ, был проведен тендер для компании на выполнение работ. 
Ремонтные работы закончены к февралю 2024 года. В настоящее время завершается установка ветиляцилнной системы. </t>
  </si>
  <si>
    <t>Показатели по управлению</t>
  </si>
  <si>
    <t xml:space="preserve">По обоим компонентам предварительных условий (ПУ) нет </t>
  </si>
  <si>
    <t>По ВИЧ\ТБ  гранту всего 24  штатные позиции, из них 5 - по компоненту ВИЧ,  2 - по компоненту ТБ.,  оставшиеся  17   относятся к обоим компонентам,  все штатные позиции были заполнены</t>
  </si>
  <si>
    <t xml:space="preserve">По компоненту ВИЧ -  реализацию программы осуществлял всего 22 Суб-получателя в рамках 35 СП-Соглашений, по всем Соглашениям СП получали финансирование. 
По компоненту ТБ -   реализацию программы осуществляло всего 5 Суб-получателей в рамках 7 СП-Соглашений, по всем Соглашениям СП получали финансирование. </t>
  </si>
  <si>
    <t>Комментарии по ВИЧ:</t>
  </si>
  <si>
    <t>По компоненту ВИЧ -  35 из 35 ожидаемых программных отчетов СП были получены своевременно,  они  были проверены, доработаны СП и приняты в установленные сроки.
По компоненту   ТБ - 7 из 7 ожидаемых программных отчетов СП были получены своевременно,  они  были проверены, доработаны СП и приняты в установленные сроки.</t>
  </si>
  <si>
    <t>Медикаменты и ИМН закуплены согласно потребности на 2023 год. В расчетах потребности учтены текущий запас, ожидаемые поставки и наличие бюджета</t>
  </si>
  <si>
    <t>Комментарии по ТБ:</t>
  </si>
  <si>
    <r>
      <t xml:space="preserve">В настоящее время закупка ПТП для лечения ЛУ-ТБ больных осуществляется по линии ПРООН и гос.бюджета. В  общем запас имеющихся ПТП для лечения ЛУ-ТБ по двум источникам финансирования составляет от 2 до 27 месяцев, за исключением претоманида, который имеется в запасе на 118 месяцев.  </t>
    </r>
    <r>
      <rPr>
        <sz val="8"/>
        <color rgb="FFFF0000"/>
        <rFont val="Calibri"/>
      </rPr>
      <t>Данная ситуация сложилась из-за невыполнения набора пациентов на BPal и BPalM режимы лечения, что привело к накоплению препарата.</t>
    </r>
    <r>
      <rPr>
        <sz val="8"/>
        <color rgb="FF000000"/>
        <rFont val="Calibri"/>
      </rPr>
      <t xml:space="preserve"> При расчете потребности на закупку противотуберкулезных препаратов для лечения туберкулеза с лекарственно-устойчивым туберкулезом (ЛУ-ТБ) страна прогнозировала переход на краткосрочные режимы (КР) в соотношении 40% на 60% относительно к длительным режимам лечения. К КР относятся BPal, BPalM, а также, стандартный и модифицированный короткие режимы. Фактически набор на КР осуществляется на 23% против 40%. В связи с чем на сегодняшний день имеется риск истечения претоманида со сроком годности - 05.2027. Однако, НТП ведет работу по раннему выявлению туберкулеза, следствием чего ожидают увеличение выявления больных на ранних стадиях туберкулеза, следовательно и набора на краткосрочные режимы, так как одним из критериев для взятия на КР является отсутствие распрастраненного  поражения ТБ и тяжелых форм внелегочного ТБ. Поскольку остаточный срок годности составляет 41 месяцев (3,5 года)  и работа над расширением КР ведется, страна ожидает изменение ситуации в сторону увеличения набора, соответственно и расхода препарата. Из-за задержки поставок закупленных через ГП "Кыргызфармация" несколько препаратов находятся в 2-х и 6-ти месячном запасе (Lfx250, Amx/Clv, Imp/Cls), в связи с чем есть риск невыполненеия обеспечения беспербойных поставок, что может привести к перерывам в лечении. Также, в малых количествах имеются - Н300, Е400, Z400, однако, данные препараты для лечения ЛУ-ТБ широко не используются и применяются в редких случаях и поэтому не закупаются специально для лечения ЛУ-ТБ, но при необходимости имеются в наличии во всех ОЗ, так как закупаются за счет гос.бюджета для лечения лекарственно-чувствительного туберкулеза. А также, в таблице имеются несколько наименований ПТП, которые на сегодняшний день не используются в режимах лечения ЛУ-ТБ - это инъекционные ПТП (Cm, Km, Am)  и препараты группы "С" - Pto, PAS  в связи с чем не закупаются.   Остаток GX картриджей составляет 10,4 месяцев,  сроки годности приемлемы, рисков по истечению срока  годности и дефицита нет. </t>
    </r>
  </si>
  <si>
    <t>Запасы антиретровирусных препаратов (АРВП) и тестов отслеживаются, у товаров с критически низкими уровнями запасов поставки либо уже осуществлены, либо планируются в ближайшее время. Принимая во внимание изменение клинического протокола на основании последних рекомендации ВОЗ, преобладают схемы на основе Долутегравира (DTG) (в основном на TLD), использование схем с монопрепаратами (отдельными) постепенно их пропорция будет снижается. У препаратов с запасом свыше 10 месяцев срок годности приемлемый и они будут использован до истечения срока годности. АРВ препараты закупаются и за счет бюджетных средств (FDC (TLD), FDC (TDF/FTC) 300/200 mg, DTG 50 mg, FDC (TDF/FTC/EFV). Согласно рекомендациям ВОЗ, страна постепенно использует имеющиеся запасы LPV/r (как для взрослых, так и для детей) и далее превалирующими схемами у детей становятся схемы на основе DTG в детской дозировке и RAL. Необходимо принять во внимание что АРТ выдаётся стабильным пациентам на период от 3-12 мес. (то есть АРТ на руках у пациентов имеются и это нужно принять во внимание при оценке запасов АРВП). ЭТ поставлены в марте 2023 г., и проходят оценку диагностической эффективности для диагностики ВИЧ по околодесневой жидкости «OraQuick» HlV ½.</t>
  </si>
  <si>
    <t>Лекарственные средства и продукты медицинского назначения</t>
  </si>
  <si>
    <t>Уровень запасов, выраженный в месяцах лечения для всех имеющихся пациентов</t>
  </si>
  <si>
    <t xml:space="preserve">Уровень резервных запасов в месяцах </t>
  </si>
  <si>
    <t>Разница между имеющимся и безопасным уровнем запасов</t>
  </si>
  <si>
    <t>ВИЧ</t>
  </si>
  <si>
    <t>FDC (ABC/DTG/3TC (600/50/300)</t>
  </si>
  <si>
    <t>ATV 300mg</t>
  </si>
  <si>
    <t>Метадон</t>
  </si>
  <si>
    <t>Картриджи (Вирусная нагрузка)</t>
  </si>
  <si>
    <t>Экспресс тестирование (по околодесновой жидкости)</t>
  </si>
  <si>
    <t>Genexpert картриджи</t>
  </si>
  <si>
    <t>Set-up = List of validation for Grant Detail page</t>
  </si>
  <si>
    <t>Component</t>
  </si>
  <si>
    <t>Currency</t>
  </si>
  <si>
    <t>Round</t>
  </si>
  <si>
    <t>Phase</t>
  </si>
  <si>
    <t>Period</t>
  </si>
  <si>
    <t>LFA</t>
  </si>
  <si>
    <t>Medicaments</t>
  </si>
  <si>
    <t>Countries</t>
  </si>
  <si>
    <t>Пожалуйста выберите</t>
  </si>
  <si>
    <t>ВИЧ / СПИД</t>
  </si>
  <si>
    <t>Раунд 1</t>
  </si>
  <si>
    <t>Фаза 1</t>
  </si>
  <si>
    <t>A1</t>
  </si>
  <si>
    <t>CA (Crown Agents)</t>
  </si>
  <si>
    <t>Изониазид</t>
  </si>
  <si>
    <t>Афганистан</t>
  </si>
  <si>
    <t>МАЛЯРИЯ</t>
  </si>
  <si>
    <t>€</t>
  </si>
  <si>
    <t>Раунд 2</t>
  </si>
  <si>
    <t>Фаза 2</t>
  </si>
  <si>
    <t>A2</t>
  </si>
  <si>
    <t>DEL (Deloitte)</t>
  </si>
  <si>
    <t>Этамбутол</t>
  </si>
  <si>
    <t>Албания</t>
  </si>
  <si>
    <t>Раунд 3</t>
  </si>
  <si>
    <t>RCC</t>
  </si>
  <si>
    <t>B1</t>
  </si>
  <si>
    <t>DTT (DTT Emerging Markets)</t>
  </si>
  <si>
    <t>Рифампицин</t>
  </si>
  <si>
    <t>Алжир</t>
  </si>
  <si>
    <t>Раунд 4</t>
  </si>
  <si>
    <t>FIN (Finconsult)</t>
  </si>
  <si>
    <t>Пиразинамид</t>
  </si>
  <si>
    <t>Ангола</t>
  </si>
  <si>
    <t>УСЗ</t>
  </si>
  <si>
    <t>Раунд 5</t>
  </si>
  <si>
    <t>C</t>
  </si>
  <si>
    <t>GT (Grant Thornton)</t>
  </si>
  <si>
    <t>RDT</t>
  </si>
  <si>
    <t>Аргентина</t>
  </si>
  <si>
    <t>Раунд 6</t>
  </si>
  <si>
    <t>H-C (Hodar-Conseil)</t>
  </si>
  <si>
    <t>NVP</t>
  </si>
  <si>
    <t>Армения</t>
  </si>
  <si>
    <t>Раунд 7</t>
  </si>
  <si>
    <t>KPMG (KPMG)</t>
  </si>
  <si>
    <t>3TC</t>
  </si>
  <si>
    <t>Азербайджан</t>
  </si>
  <si>
    <t>Раунд 8</t>
  </si>
  <si>
    <t>MSCI (MSCI)</t>
  </si>
  <si>
    <t>D4T</t>
  </si>
  <si>
    <t>Бангладеш</t>
  </si>
  <si>
    <t>Раунд 9</t>
  </si>
  <si>
    <t>PwC (PricewaterhouseCoopers)</t>
  </si>
  <si>
    <t>AZT</t>
  </si>
  <si>
    <t>Беларусь</t>
  </si>
  <si>
    <t>Раунд 10</t>
  </si>
  <si>
    <t xml:space="preserve">STI (Swiss Tropical Institute), </t>
  </si>
  <si>
    <t>DDI</t>
  </si>
  <si>
    <t>Белиз</t>
  </si>
  <si>
    <t>EFV</t>
  </si>
  <si>
    <t>Бенин</t>
  </si>
  <si>
    <t>AS/LF</t>
  </si>
  <si>
    <t>Бутан</t>
  </si>
  <si>
    <t>AS/AQ</t>
  </si>
  <si>
    <t>Боливия</t>
  </si>
  <si>
    <t>AS/MQ</t>
  </si>
  <si>
    <t>Босния и Герцеговина</t>
  </si>
  <si>
    <t>Al/Lum</t>
  </si>
  <si>
    <t>Ботсвана</t>
  </si>
  <si>
    <t>Бразилия</t>
  </si>
  <si>
    <t>Пищевые добавки для ТБ</t>
  </si>
  <si>
    <t>Болгария</t>
  </si>
  <si>
    <t>E-PAP</t>
  </si>
  <si>
    <t>Буркина Фасо</t>
  </si>
  <si>
    <t>ZDV/3TC/NVP</t>
  </si>
  <si>
    <t>Бурунди</t>
  </si>
  <si>
    <t>ZDV/3TC</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</si>
  <si>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</si>
  <si>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</si>
  <si>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</si>
  <si>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</si>
  <si>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</si>
  <si>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</si>
  <si>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</si>
  <si>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</si>
  <si>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</si>
  <si>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</si>
  <si>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</si>
  <si>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</si>
  <si>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</si>
  <si>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</si>
  <si>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</si>
  <si>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</si>
  <si>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</si>
  <si>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</si>
  <si>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</si>
  <si>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</si>
  <si>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</si>
  <si>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</si>
  <si>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</si>
  <si>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</si>
  <si>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</si>
  <si>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</si>
  <si>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</si>
  <si>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</si>
  <si>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</si>
  <si>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Глобальный (LWF)</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</si>
  <si>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</si>
  <si>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</si>
  <si>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</si>
  <si>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</si>
  <si>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</si>
  <si>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</si>
  <si>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</si>
  <si>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</si>
  <si>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</si>
  <si>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</si>
  <si>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</si>
  <si>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</si>
  <si>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</si>
  <si>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</si>
  <si>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</si>
  <si>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</si>
  <si>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</si>
  <si>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</si>
  <si>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</si>
  <si>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</si>
  <si>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</si>
  <si>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</si>
  <si>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</si>
  <si>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</si>
  <si>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</si>
  <si>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</si>
  <si>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</si>
  <si>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</si>
  <si>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</si>
  <si>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</si>
  <si>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</si>
  <si>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</si>
  <si>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</si>
  <si>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</si>
  <si>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</si>
  <si>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</si>
  <si>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</si>
  <si>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</si>
  <si>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</si>
  <si>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</si>
  <si>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</si>
  <si>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</si>
  <si>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</si>
  <si>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</si>
  <si>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</si>
  <si>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</si>
  <si>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</si>
  <si>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</si>
  <si>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</si>
  <si>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</si>
  <si>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</si>
  <si>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</si>
  <si>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</si>
  <si>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</si>
  <si>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</si>
  <si>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</si>
  <si>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</si>
  <si>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</si>
  <si>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</si>
  <si>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</si>
  <si>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</si>
  <si>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</si>
  <si>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</si>
  <si>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</si>
  <si>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</si>
  <si>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</si>
  <si>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</si>
  <si>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</si>
  <si>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</si>
  <si>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</si>
  <si>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</si>
  <si>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</si>
  <si>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</si>
  <si>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</si>
  <si>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</si>
  <si>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</si>
  <si>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</si>
  <si>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</si>
  <si>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</si>
  <si>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</si>
  <si>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</si>
  <si>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</si>
  <si>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</si>
  <si>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АРВ</t>
  </si>
  <si>
    <t>Анти-ретровирусные препараты</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</si>
  <si>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</si>
  <si>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</si>
  <si>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</si>
  <si>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</si>
  <si>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</si>
  <si>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</si>
  <si>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</si>
  <si>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</si>
  <si>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</si>
  <si>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</si>
  <si>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</si>
  <si>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</si>
  <si>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</si>
  <si>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</si>
  <si>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Принципиальный Реципиент</t>
  </si>
  <si>
    <t>ПУ</t>
  </si>
  <si>
    <t>Предварительное условие</t>
  </si>
  <si>
    <t>СКМ</t>
  </si>
  <si>
    <t>Страновой Координационный Механизм</t>
  </si>
  <si>
    <t>СР</t>
  </si>
  <si>
    <t>Суб-реципиент</t>
  </si>
  <si>
    <t>ССР</t>
  </si>
  <si>
    <t>Суб-суб-реципиент</t>
  </si>
  <si>
    <t>УЗС</t>
  </si>
  <si>
    <t>Управление Закупками и Снабжением</t>
  </si>
  <si>
    <t>УФО</t>
  </si>
  <si>
    <t>Улучшенный Финансовый Отчет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</si>
</sst>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_-* #,##0.00_-;\-* #,##0.00_-;_-* &quot;-&quot;??_-;_-@_-"/>
    <numFmt numFmtId="165" formatCode="_-* #,##0.00\ _₽_-;\-* #,##0.00\ _₽_-;_-* &quot;-&quot;??\ _₽_-;_-@_-"/>
    <numFmt numFmtId="166" formatCode="_-* #,##0.00_р_._-;\-* #,##0.00_р_._-;_-* &quot;-&quot;??_р_._-;_-@_-"/>
    <numFmt numFmtId="167" formatCode="&quot;Q&quot;#,##0_);[Red]\(&quot;Q&quot;#,##0\)"/>
    <numFmt numFmtId="168" formatCode="_(* #,##0_);_(* \(#,##0\);_(* &quot;-&quot;??_);_(@_)"/>
    <numFmt numFmtId="169" formatCode="0.0"/>
    <numFmt numFmtId="170" formatCode="_([$€]* #,##0.00_);_([$€]* \(#,##0.00\);_([$€]* &quot;-&quot;??_);_(@_)"/>
    <numFmt numFmtId="171" formatCode="[$$-409]#,##0"/>
    <numFmt numFmtId="172" formatCode="[$-409]d/mmm/yyyy;@"/>
    <numFmt numFmtId="173" formatCode="[$$-409]#,##0_);\([$$-409]#,##0\)"/>
    <numFmt numFmtId="174" formatCode="0.0%"/>
    <numFmt numFmtId="175" formatCode="#,##0.0"/>
    <numFmt numFmtId="176" formatCode="_-&quot;$&quot;* #,##0_-;\-&quot;$&quot;* #,##0_-;_-&quot;$&quot;* &quot;-&quot;_-;_-@_-"/>
    <numFmt numFmtId="177" formatCode="_ [$€-413]\ * #,##0.00_ ;_ [$€-413]\ * \-#,##0.00_ ;_ [$€-413]\ * &quot;-&quot;_ ;_ @_ "/>
    <numFmt numFmtId="178" formatCode="_-* #,##0.00\ &quot;€&quot;_-;\-* #,##0.00\ &quot;€&quot;_-;_-* &quot;-&quot;??\ &quot;€&quot;_-;_-@_-"/>
    <numFmt numFmtId="179" formatCode="_-[$€-2]\ * #,##0.00_-;\-[$€-2]\ * #,##0.00_-;_-[$€-2]\ * &quot;-&quot;??_-;_-@_-"/>
  </numFmts>
  <fonts count="160">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14"/>
      <color indexed="9"/>
      <name val="Calibri"/>
      <family val="2"/>
    </font>
    <font>
      <sz val="11"/>
      <color indexed="8"/>
      <name val="Arial"/>
      <family val="2"/>
    </font>
    <font>
      <b/>
      <sz val="14"/>
      <color indexed="51"/>
      <name val="Calibri"/>
      <family val="2"/>
    </font>
    <font>
      <sz val="11"/>
      <color indexed="59"/>
      <name val="Calibri"/>
      <family val="2"/>
    </font>
    <font>
      <sz val="10"/>
      <color indexed="59"/>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4"/>
      <color indexed="52"/>
      <name val="Calibri"/>
      <family val="2"/>
    </font>
    <font>
      <b/>
      <sz val="14"/>
      <color indexed="14"/>
      <name val="Calibri"/>
      <family val="2"/>
    </font>
    <font>
      <b/>
      <sz val="10"/>
      <color indexed="53"/>
      <name val="Calibri"/>
      <family val="2"/>
    </font>
    <font>
      <b/>
      <sz val="12"/>
      <name val="Arial"/>
      <family val="2"/>
    </font>
    <font>
      <i/>
      <sz val="11"/>
      <color indexed="8"/>
      <name val="Calibri"/>
      <family val="2"/>
    </font>
    <font>
      <b/>
      <sz val="11"/>
      <color indexed="60"/>
      <name val="Calibri"/>
      <family val="2"/>
    </font>
    <font>
      <sz val="10"/>
      <color indexed="60"/>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8"/>
      <name val="Arial"/>
      <family val="2"/>
    </font>
    <font>
      <sz val="8"/>
      <color indexed="81"/>
      <name val="Tahoma"/>
      <family val="2"/>
    </font>
    <font>
      <b/>
      <sz val="20"/>
      <color indexed="8"/>
      <name val="Calibri"/>
      <family val="2"/>
    </font>
    <font>
      <sz val="20"/>
      <color indexed="8"/>
      <name val="Calibri"/>
      <family val="2"/>
    </font>
    <font>
      <b/>
      <sz val="11"/>
      <color indexed="53"/>
      <name val="Arial"/>
      <family val="2"/>
    </font>
    <font>
      <sz val="11"/>
      <color indexed="8"/>
      <name val="Symbol"/>
      <family val="1"/>
      <charset val="2"/>
    </font>
    <font>
      <b/>
      <sz val="11"/>
      <color indexed="8"/>
      <name val="Arial"/>
      <family val="2"/>
      <charset val="204"/>
    </font>
    <font>
      <b/>
      <sz val="22"/>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sz val="11"/>
      <color theme="1"/>
      <name val="Calibri"/>
      <family val="2"/>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8"/>
      <color rgb="FF000000"/>
      <name val="Calibri"/>
      <family val="2"/>
    </font>
    <font>
      <sz val="10"/>
      <color rgb="FF0D0D0D"/>
      <name val="Calibri"/>
      <family val="2"/>
    </font>
    <font>
      <sz val="8"/>
      <color rgb="FF000000"/>
      <name val="Calibri"/>
      <family val="2"/>
      <charset val="204"/>
    </font>
    <font>
      <sz val="8"/>
      <name val="Calibri"/>
      <family val="2"/>
      <charset val="204"/>
    </font>
    <font>
      <sz val="11"/>
      <color indexed="8"/>
      <name val="Arial"/>
      <family val="2"/>
      <charset val="204"/>
    </font>
    <font>
      <b/>
      <sz val="11"/>
      <name val="Arial"/>
      <family val="2"/>
      <charset val="204"/>
    </font>
    <font>
      <sz val="11"/>
      <color rgb="FF000000"/>
      <name val="Arial"/>
      <family val="2"/>
    </font>
    <font>
      <b/>
      <sz val="11"/>
      <color rgb="FF000000"/>
      <name val="Arial"/>
      <family val="2"/>
    </font>
    <font>
      <sz val="11"/>
      <color rgb="FF000000"/>
      <name val="Calibri"/>
      <family val="2"/>
      <charset val="204"/>
    </font>
    <font>
      <sz val="10"/>
      <color rgb="FF000000"/>
      <name val="Calibri"/>
      <family val="2"/>
    </font>
    <font>
      <sz val="11"/>
      <color rgb="FF000000"/>
      <name val="Calibri"/>
      <family val="2"/>
    </font>
    <font>
      <sz val="11"/>
      <color rgb="FF800000"/>
      <name val="Calibri"/>
      <family val="2"/>
    </font>
    <font>
      <b/>
      <sz val="11"/>
      <color rgb="FF000000"/>
      <name val="Calibri"/>
      <family val="2"/>
    </font>
    <font>
      <sz val="8"/>
      <color rgb="FF000000"/>
      <name val="Calibri"/>
      <family val="2"/>
      <charset val="1"/>
    </font>
    <font>
      <sz val="10"/>
      <name val="Calibri"/>
      <family val="2"/>
      <charset val="204"/>
    </font>
    <font>
      <sz val="11"/>
      <color rgb="FFFF0000"/>
      <name val="Calibri"/>
      <family val="2"/>
      <charset val="204"/>
    </font>
    <font>
      <sz val="11"/>
      <color rgb="FFFF0000"/>
      <name val="Calibri"/>
      <family val="2"/>
    </font>
    <font>
      <sz val="10"/>
      <color rgb="FFFF0000"/>
      <name val="Calibri"/>
      <family val="2"/>
      <charset val="204"/>
    </font>
    <font>
      <sz val="8"/>
      <color rgb="FF000000"/>
      <name val="Calibri"/>
    </font>
    <font>
      <sz val="8"/>
      <color rgb="FFFF0000"/>
      <name val="Calibri"/>
    </font>
  </fonts>
  <fills count="5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rgb="FFFFF2CC"/>
        <bgColor indexed="64"/>
      </patternFill>
    </fill>
    <fill>
      <patternFill patternType="solid">
        <fgColor rgb="FFD9D9D9"/>
        <bgColor indexed="64"/>
      </patternFill>
    </fill>
    <fill>
      <patternFill patternType="solid">
        <fgColor rgb="FFFFCC99"/>
        <bgColor rgb="FF000000"/>
      </patternFill>
    </fill>
    <fill>
      <patternFill patternType="solid">
        <fgColor rgb="FF99CCFF"/>
        <bgColor rgb="FF000000"/>
      </patternFill>
    </fill>
    <fill>
      <patternFill patternType="solid">
        <fgColor rgb="FF8DB4E2"/>
        <bgColor indexed="64"/>
      </patternFill>
    </fill>
    <fill>
      <patternFill patternType="solid">
        <fgColor rgb="FFFFFFFF"/>
        <bgColor indexed="64"/>
      </patternFill>
    </fill>
    <fill>
      <patternFill patternType="solid">
        <fgColor theme="6" tint="0.39997558519241921"/>
        <bgColor indexed="64"/>
      </patternFill>
    </fill>
  </fills>
  <borders count="1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style="medium">
        <color indexed="51"/>
      </left>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thin">
        <color indexed="16"/>
      </left>
      <right style="medium">
        <color indexed="64"/>
      </right>
      <top style="medium">
        <color indexed="64"/>
      </top>
      <bottom style="thin">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thin">
        <color indexed="64"/>
      </right>
      <top style="thin">
        <color indexed="64"/>
      </top>
      <bottom style="medium">
        <color rgb="FF0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51"/>
      </right>
      <top style="medium">
        <color indexed="51"/>
      </top>
      <bottom style="thin">
        <color indexed="64"/>
      </bottom>
      <diagonal/>
    </border>
    <border>
      <left/>
      <right style="medium">
        <color indexed="51"/>
      </right>
      <top style="thin">
        <color indexed="64"/>
      </top>
      <bottom/>
      <diagonal/>
    </border>
    <border>
      <left/>
      <right style="medium">
        <color indexed="51"/>
      </right>
      <top/>
      <bottom style="thin">
        <color indexed="64"/>
      </bottom>
      <diagonal/>
    </border>
    <border>
      <left/>
      <right style="medium">
        <color indexed="51"/>
      </right>
      <top/>
      <bottom style="medium">
        <color indexed="51"/>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51"/>
      </left>
      <right style="medium">
        <color indexed="51"/>
      </right>
      <top/>
      <bottom style="medium">
        <color indexed="51"/>
      </bottom>
      <diagonal/>
    </border>
    <border>
      <left style="medium">
        <color indexed="51"/>
      </left>
      <right style="medium">
        <color indexed="51"/>
      </right>
      <top style="medium">
        <color indexed="51"/>
      </top>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800000"/>
      </left>
      <right style="thin">
        <color rgb="FF800000"/>
      </right>
      <top style="thin">
        <color rgb="FF800000"/>
      </top>
      <bottom/>
      <diagonal/>
    </border>
    <border>
      <left style="thin">
        <color rgb="FF993300"/>
      </left>
      <right style="thin">
        <color rgb="FF993300"/>
      </right>
      <top style="thin">
        <color rgb="FF993300"/>
      </top>
      <bottom style="thin">
        <color rgb="FF993300"/>
      </bottom>
      <diagonal/>
    </border>
    <border>
      <left/>
      <right style="medium">
        <color indexed="64"/>
      </right>
      <top style="thin">
        <color rgb="FF993300"/>
      </top>
      <bottom style="thin">
        <color rgb="FF993300"/>
      </bottom>
      <diagonal/>
    </border>
    <border>
      <left style="thin">
        <color rgb="FF993300"/>
      </left>
      <right style="thin">
        <color rgb="FF993300"/>
      </right>
      <top/>
      <bottom style="thin">
        <color rgb="FF993300"/>
      </bottom>
      <diagonal/>
    </border>
    <border>
      <left/>
      <right style="medium">
        <color indexed="64"/>
      </right>
      <top/>
      <bottom style="thin">
        <color rgb="FF993300"/>
      </bottom>
      <diagonal/>
    </border>
    <border>
      <left style="medium">
        <color indexed="64"/>
      </left>
      <right style="thin">
        <color rgb="FF993300"/>
      </right>
      <top style="thin">
        <color rgb="FF993300"/>
      </top>
      <bottom style="thin">
        <color rgb="FF993300"/>
      </bottom>
      <diagonal/>
    </border>
    <border>
      <left style="medium">
        <color indexed="64"/>
      </left>
      <right style="thin">
        <color rgb="FF993300"/>
      </right>
      <top/>
      <bottom style="thin">
        <color rgb="FF993300"/>
      </bottom>
      <diagonal/>
    </border>
    <border>
      <left style="medium">
        <color indexed="64"/>
      </left>
      <right style="thin">
        <color indexed="64"/>
      </right>
      <top/>
      <bottom style="medium">
        <color rgb="FF000000"/>
      </bottom>
      <diagonal/>
    </border>
  </borders>
  <cellStyleXfs count="17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48" fillId="0" borderId="4" applyNumberFormat="0" applyFill="0" applyAlignment="0" applyProtection="0"/>
    <xf numFmtId="0" fontId="49"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8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86" fillId="0" borderId="0"/>
    <xf numFmtId="43" fontId="86" fillId="0" borderId="0"/>
    <xf numFmtId="43" fontId="86" fillId="0" borderId="0"/>
    <xf numFmtId="43" fontId="8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43" fontId="86" fillId="0" borderId="9" applyNumberFormat="0" applyFill="0" applyAlignment="0" applyProtection="0"/>
    <xf numFmtId="43" fontId="1" fillId="0" borderId="9" applyNumberFormat="0" applyFill="0" applyAlignment="0" applyProtection="0"/>
    <xf numFmtId="43" fontId="86" fillId="0" borderId="9" applyNumberFormat="0" applyFill="0" applyAlignment="0" applyProtection="0"/>
    <xf numFmtId="0" fontId="50"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86" fillId="0" borderId="0"/>
    <xf numFmtId="0" fontId="104" fillId="0" borderId="0"/>
    <xf numFmtId="0" fontId="105" fillId="0" borderId="0"/>
    <xf numFmtId="9" fontId="2" fillId="0" borderId="0" applyFont="0" applyFill="0" applyBorder="0" applyAlignment="0" applyProtection="0"/>
    <xf numFmtId="9" fontId="105" fillId="0" borderId="0" applyFont="0" applyFill="0" applyBorder="0" applyAlignment="0" applyProtection="0"/>
    <xf numFmtId="164" fontId="105" fillId="0" borderId="0" applyFont="0" applyFill="0" applyBorder="0" applyAlignment="0" applyProtection="0"/>
    <xf numFmtId="3" fontId="106" fillId="41" borderId="0">
      <alignment horizontal="center"/>
    </xf>
    <xf numFmtId="9" fontId="106" fillId="41" borderId="0">
      <alignment horizontal="center"/>
    </xf>
    <xf numFmtId="3" fontId="107" fillId="0" borderId="0">
      <alignment horizontal="center" vertical="center"/>
      <protection locked="0"/>
    </xf>
    <xf numFmtId="174" fontId="107" fillId="0" borderId="0">
      <alignment horizontal="center" vertical="center"/>
      <protection locked="0"/>
    </xf>
    <xf numFmtId="49" fontId="108" fillId="0" borderId="0">
      <alignment horizontal="left"/>
    </xf>
    <xf numFmtId="0" fontId="109" fillId="0" borderId="0" applyNumberFormat="0" applyFill="0" applyBorder="0" applyAlignment="0" applyProtection="0"/>
    <xf numFmtId="0" fontId="2" fillId="0" borderId="0"/>
    <xf numFmtId="0" fontId="110" fillId="0" borderId="0"/>
    <xf numFmtId="0" fontId="105" fillId="0" borderId="0"/>
    <xf numFmtId="0" fontId="105" fillId="0" borderId="0"/>
    <xf numFmtId="0" fontId="105" fillId="0" borderId="0"/>
    <xf numFmtId="0" fontId="99" fillId="0" borderId="0"/>
    <xf numFmtId="0" fontId="99" fillId="0" borderId="0"/>
    <xf numFmtId="166" fontId="111" fillId="0" borderId="0" applyFont="0" applyFill="0" applyBorder="0" applyAlignment="0" applyProtection="0"/>
    <xf numFmtId="9" fontId="111" fillId="0" borderId="0" applyFont="0" applyFill="0" applyBorder="0" applyAlignment="0" applyProtection="0"/>
    <xf numFmtId="0" fontId="114" fillId="0" borderId="0"/>
    <xf numFmtId="165" fontId="114" fillId="0" borderId="0" applyFont="0" applyFill="0" applyBorder="0" applyAlignment="0" applyProtection="0"/>
    <xf numFmtId="164" fontId="111" fillId="0" borderId="0" applyFont="0" applyFill="0" applyBorder="0" applyAlignment="0" applyProtection="0"/>
    <xf numFmtId="165" fontId="105" fillId="0" borderId="0" applyFont="0" applyFill="0" applyBorder="0" applyAlignment="0" applyProtection="0"/>
    <xf numFmtId="9" fontId="111" fillId="0" borderId="0" applyFont="0" applyFill="0" applyBorder="0" applyAlignment="0" applyProtection="0"/>
    <xf numFmtId="176" fontId="106" fillId="0" borderId="118">
      <alignment horizontal="center" vertical="center"/>
    </xf>
    <xf numFmtId="177" fontId="116" fillId="0" borderId="0">
      <protection locked="0"/>
    </xf>
    <xf numFmtId="177" fontId="78" fillId="0" borderId="0">
      <alignment horizontal="center" vertical="center"/>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177" fontId="94" fillId="42" borderId="0" applyNumberFormat="0" applyBorder="0" applyAlignment="0" applyProtection="0"/>
    <xf numFmtId="177" fontId="94" fillId="6" borderId="0" applyNumberFormat="0" applyBorder="0" applyAlignment="0" applyProtection="0"/>
    <xf numFmtId="177" fontId="94" fillId="7" borderId="0" applyNumberFormat="0" applyBorder="0" applyAlignment="0" applyProtection="0"/>
    <xf numFmtId="177" fontId="94" fillId="43" borderId="0" applyNumberFormat="0" applyBorder="0" applyAlignment="0" applyProtection="0"/>
    <xf numFmtId="177" fontId="94" fillId="5" borderId="0" applyNumberFormat="0" applyBorder="0" applyAlignment="0" applyProtection="0"/>
    <xf numFmtId="177" fontId="94" fillId="3" borderId="0" applyNumberFormat="0" applyBorder="0" applyAlignment="0" applyProtection="0"/>
    <xf numFmtId="177" fontId="94" fillId="11" borderId="0" applyNumberFormat="0" applyBorder="0" applyAlignment="0" applyProtection="0"/>
    <xf numFmtId="177" fontId="94" fillId="9" borderId="0" applyNumberFormat="0" applyBorder="0" applyAlignment="0" applyProtection="0"/>
    <xf numFmtId="177" fontId="94" fillId="44" borderId="0" applyNumberFormat="0" applyBorder="0" applyAlignment="0" applyProtection="0"/>
    <xf numFmtId="177" fontId="94" fillId="43" borderId="0" applyNumberFormat="0" applyBorder="0" applyAlignment="0" applyProtection="0"/>
    <xf numFmtId="177" fontId="94" fillId="11" borderId="0" applyNumberFormat="0" applyBorder="0" applyAlignment="0" applyProtection="0"/>
    <xf numFmtId="177" fontId="94" fillId="45" borderId="0" applyNumberFormat="0" applyBorder="0" applyAlignment="0" applyProtection="0"/>
    <xf numFmtId="177" fontId="119" fillId="46" borderId="0" applyNumberFormat="0" applyBorder="0" applyAlignment="0" applyProtection="0"/>
    <xf numFmtId="177" fontId="119" fillId="9" borderId="0" applyNumberFormat="0" applyBorder="0" applyAlignment="0" applyProtection="0"/>
    <xf numFmtId="177" fontId="119" fillId="44" borderId="0" applyNumberFormat="0" applyBorder="0" applyAlignment="0" applyProtection="0"/>
    <xf numFmtId="177" fontId="119" fillId="47" borderId="0" applyNumberFormat="0" applyBorder="0" applyAlignment="0" applyProtection="0"/>
    <xf numFmtId="177" fontId="119" fillId="12" borderId="0" applyNumberFormat="0" applyBorder="0" applyAlignment="0" applyProtection="0"/>
    <xf numFmtId="177" fontId="119" fillId="48" borderId="0" applyNumberFormat="0" applyBorder="0" applyAlignment="0" applyProtection="0"/>
    <xf numFmtId="0" fontId="113" fillId="0" borderId="0" applyNumberFormat="0" applyFill="0" applyBorder="0" applyAlignment="0" applyProtection="0">
      <alignment vertical="top"/>
      <protection locked="0"/>
    </xf>
    <xf numFmtId="164" fontId="105" fillId="0" borderId="0" applyFont="0" applyFill="0" applyBorder="0" applyAlignment="0" applyProtection="0"/>
    <xf numFmtId="165" fontId="94" fillId="0" borderId="0" applyFont="0" applyFill="0" applyBorder="0" applyAlignment="0" applyProtection="0"/>
    <xf numFmtId="178" fontId="105" fillId="0" borderId="0" applyFont="0" applyFill="0" applyBorder="0" applyAlignment="0" applyProtection="0"/>
    <xf numFmtId="177" fontId="109" fillId="0" borderId="0" applyNumberFormat="0" applyFill="0" applyBorder="0" applyAlignment="0" applyProtection="0">
      <alignment vertical="top"/>
      <protection locked="0"/>
    </xf>
    <xf numFmtId="0" fontId="120" fillId="0" borderId="0"/>
    <xf numFmtId="0" fontId="121" fillId="0" borderId="0" applyNumberFormat="0" applyFill="0" applyBorder="0" applyAlignment="0" applyProtection="0">
      <alignment vertical="top"/>
      <protection locked="0"/>
    </xf>
    <xf numFmtId="0" fontId="105" fillId="7" borderId="10" applyBorder="0">
      <alignment vertical="top"/>
    </xf>
    <xf numFmtId="177" fontId="106" fillId="0" borderId="0"/>
    <xf numFmtId="0" fontId="111" fillId="0" borderId="0"/>
    <xf numFmtId="0" fontId="105" fillId="0" borderId="0"/>
    <xf numFmtId="0" fontId="111" fillId="0" borderId="0"/>
    <xf numFmtId="177" fontId="105" fillId="0" borderId="0"/>
    <xf numFmtId="0" fontId="111" fillId="0" borderId="0"/>
    <xf numFmtId="9" fontId="111" fillId="0" borderId="0" applyFont="0" applyFill="0" applyBorder="0" applyAlignment="0" applyProtection="0"/>
    <xf numFmtId="9" fontId="111" fillId="0" borderId="0" applyFont="0" applyFill="0" applyBorder="0" applyAlignment="0" applyProtection="0"/>
    <xf numFmtId="9" fontId="111" fillId="0" borderId="0" applyFont="0" applyFill="0" applyBorder="0" applyAlignment="0" applyProtection="0"/>
    <xf numFmtId="9" fontId="122" fillId="0" borderId="0" applyFont="0" applyFill="0" applyBorder="0" applyAlignment="0" applyProtection="0"/>
    <xf numFmtId="0" fontId="115" fillId="8" borderId="29">
      <alignment horizontal="centerContinuous"/>
    </xf>
    <xf numFmtId="49" fontId="112" fillId="49" borderId="10">
      <alignment horizontal="center" vertical="center" wrapText="1"/>
    </xf>
    <xf numFmtId="177" fontId="119" fillId="50" borderId="0" applyNumberFormat="0" applyBorder="0" applyAlignment="0" applyProtection="0"/>
    <xf numFmtId="177" fontId="119" fillId="13" borderId="0" applyNumberFormat="0" applyBorder="0" applyAlignment="0" applyProtection="0"/>
    <xf numFmtId="177" fontId="119" fillId="15" borderId="0" applyNumberFormat="0" applyBorder="0" applyAlignment="0" applyProtection="0"/>
    <xf numFmtId="177" fontId="119" fillId="47" borderId="0" applyNumberFormat="0" applyBorder="0" applyAlignment="0" applyProtection="0"/>
    <xf numFmtId="177" fontId="119" fillId="12" borderId="0" applyNumberFormat="0" applyBorder="0" applyAlignment="0" applyProtection="0"/>
    <xf numFmtId="177" fontId="119" fillId="14" borderId="0" applyNumberFormat="0" applyBorder="0" applyAlignment="0" applyProtection="0"/>
    <xf numFmtId="177" fontId="123" fillId="3" borderId="1" applyNumberFormat="0" applyAlignment="0" applyProtection="0"/>
    <xf numFmtId="177" fontId="124" fillId="8" borderId="8" applyNumberFormat="0" applyAlignment="0" applyProtection="0"/>
    <xf numFmtId="177" fontId="125" fillId="8" borderId="1" applyNumberFormat="0" applyAlignment="0" applyProtection="0"/>
    <xf numFmtId="0" fontId="109"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177" fontId="127" fillId="0" borderId="119" applyNumberFormat="0" applyFill="0" applyAlignment="0" applyProtection="0"/>
    <xf numFmtId="177" fontId="128" fillId="0" borderId="5" applyNumberFormat="0" applyFill="0" applyAlignment="0" applyProtection="0"/>
    <xf numFmtId="177" fontId="129" fillId="0" borderId="9" applyNumberFormat="0" applyFill="0" applyAlignment="0" applyProtection="0"/>
    <xf numFmtId="177" fontId="129" fillId="0" borderId="0" applyNumberFormat="0" applyFill="0" applyBorder="0" applyAlignment="0" applyProtection="0"/>
    <xf numFmtId="177" fontId="103" fillId="0" borderId="120" applyNumberFormat="0" applyFill="0" applyAlignment="0" applyProtection="0"/>
    <xf numFmtId="177" fontId="130" fillId="18" borderId="2" applyNumberFormat="0" applyAlignment="0" applyProtection="0"/>
    <xf numFmtId="177" fontId="131" fillId="0" borderId="0" applyNumberFormat="0" applyFill="0" applyBorder="0" applyAlignment="0" applyProtection="0"/>
    <xf numFmtId="177" fontId="132" fillId="10" borderId="0" applyNumberFormat="0" applyBorder="0" applyAlignment="0" applyProtection="0"/>
    <xf numFmtId="0" fontId="104" fillId="0" borderId="0"/>
    <xf numFmtId="0" fontId="111" fillId="0" borderId="0"/>
    <xf numFmtId="0" fontId="105" fillId="0" borderId="0"/>
    <xf numFmtId="0" fontId="94" fillId="0" borderId="0"/>
    <xf numFmtId="0" fontId="94" fillId="0" borderId="0"/>
    <xf numFmtId="0" fontId="105" fillId="0" borderId="0"/>
    <xf numFmtId="0" fontId="104" fillId="0" borderId="0"/>
    <xf numFmtId="177" fontId="133" fillId="6" borderId="0" applyNumberFormat="0" applyBorder="0" applyAlignment="0" applyProtection="0"/>
    <xf numFmtId="177" fontId="134" fillId="0" borderId="0" applyNumberFormat="0" applyFill="0" applyBorder="0" applyAlignment="0" applyProtection="0"/>
    <xf numFmtId="177" fontId="105" fillId="4" borderId="7" applyNumberFormat="0" applyFont="0" applyAlignment="0" applyProtection="0"/>
    <xf numFmtId="9" fontId="104" fillId="0" borderId="0" applyFont="0" applyFill="0" applyBorder="0" applyAlignment="0" applyProtection="0"/>
    <xf numFmtId="177" fontId="135" fillId="0" borderId="3" applyNumberFormat="0" applyFill="0" applyAlignment="0" applyProtection="0"/>
    <xf numFmtId="177" fontId="136" fillId="0" borderId="0" applyNumberFormat="0" applyFill="0" applyBorder="0" applyAlignment="0" applyProtection="0"/>
    <xf numFmtId="165" fontId="105" fillId="0" borderId="0" applyFont="0" applyFill="0" applyBorder="0" applyAlignment="0" applyProtection="0"/>
    <xf numFmtId="165" fontId="111" fillId="0" borderId="0" applyFont="0" applyFill="0" applyBorder="0" applyAlignment="0" applyProtection="0"/>
    <xf numFmtId="175" fontId="105" fillId="0" borderId="0" applyFont="0" applyFill="0" applyBorder="0" applyAlignment="0" applyProtection="0"/>
    <xf numFmtId="169" fontId="105" fillId="0" borderId="0" applyFont="0" applyFill="0" applyBorder="0" applyAlignment="0" applyProtection="0"/>
    <xf numFmtId="166" fontId="104" fillId="0" borderId="0" applyFont="0" applyFill="0" applyBorder="0" applyAlignment="0" applyProtection="0"/>
    <xf numFmtId="166" fontId="105" fillId="0" borderId="0" applyFont="0" applyFill="0" applyBorder="0" applyAlignment="0" applyProtection="0"/>
    <xf numFmtId="177" fontId="137" fillId="7" borderId="0" applyNumberFormat="0" applyBorder="0" applyAlignment="0" applyProtection="0"/>
    <xf numFmtId="179" fontId="137" fillId="7" borderId="0" applyNumberFormat="0" applyBorder="0" applyAlignment="0" applyProtection="0"/>
    <xf numFmtId="0" fontId="20" fillId="0" borderId="0"/>
    <xf numFmtId="0" fontId="138" fillId="0" borderId="0" applyFill="0" applyBorder="0" applyProtection="0">
      <alignment horizontal="left"/>
    </xf>
  </cellStyleXfs>
  <cellXfs count="899">
    <xf numFmtId="0" fontId="0" fillId="0" borderId="0" xfId="0"/>
    <xf numFmtId="43" fontId="16" fillId="0" borderId="0" xfId="38" applyFont="1" applyAlignment="1">
      <alignment vertical="center"/>
    </xf>
    <xf numFmtId="43" fontId="22" fillId="0" borderId="0" xfId="38" applyFont="1" applyAlignment="1">
      <alignment vertical="center"/>
    </xf>
    <xf numFmtId="0" fontId="21" fillId="0" borderId="0" xfId="0" applyFont="1"/>
    <xf numFmtId="43" fontId="19" fillId="0" borderId="0" xfId="49" applyFont="1"/>
    <xf numFmtId="43" fontId="19" fillId="0" borderId="0" xfId="49" applyFont="1" applyAlignment="1">
      <alignment horizontal="center"/>
    </xf>
    <xf numFmtId="43" fontId="19" fillId="0" borderId="0" xfId="49" applyFont="1" applyAlignment="1">
      <alignment horizontal="right"/>
    </xf>
    <xf numFmtId="43" fontId="86" fillId="0" borderId="0" xfId="48"/>
    <xf numFmtId="43" fontId="15" fillId="0" borderId="0" xfId="48" applyFont="1"/>
    <xf numFmtId="0" fontId="18" fillId="0" borderId="0" xfId="48" applyNumberFormat="1" applyFont="1"/>
    <xf numFmtId="43" fontId="86" fillId="0" borderId="0" xfId="50"/>
    <xf numFmtId="43" fontId="86" fillId="0" borderId="0" xfId="50" applyAlignment="1">
      <alignment horizontal="left"/>
    </xf>
    <xf numFmtId="0" fontId="15" fillId="0" borderId="0" xfId="0" applyFont="1"/>
    <xf numFmtId="43" fontId="15" fillId="0" borderId="0" xfId="50" applyFont="1"/>
    <xf numFmtId="15" fontId="29" fillId="0" borderId="0" xfId="0" applyNumberFormat="1" applyFont="1" applyAlignment="1" applyProtection="1">
      <alignment horizontal="center" vertical="center" wrapText="1"/>
      <protection locked="0"/>
    </xf>
    <xf numFmtId="43" fontId="28" fillId="0" borderId="0" xfId="0" applyNumberFormat="1" applyFont="1"/>
    <xf numFmtId="168" fontId="28" fillId="0" borderId="0" xfId="60" applyNumberFormat="1" applyFont="1" applyAlignment="1">
      <alignment horizontal="left"/>
    </xf>
    <xf numFmtId="43" fontId="16" fillId="0" borderId="0" xfId="47" applyFont="1" applyAlignment="1">
      <alignment vertical="center"/>
    </xf>
    <xf numFmtId="0" fontId="0" fillId="0" borderId="10" xfId="0" applyBorder="1" applyAlignment="1">
      <alignment horizontal="center"/>
    </xf>
    <xf numFmtId="0" fontId="1" fillId="0" borderId="0" xfId="0" applyFont="1"/>
    <xf numFmtId="10" fontId="6" fillId="0" borderId="0" xfId="59" applyNumberFormat="1" applyFont="1" applyFill="1" applyBorder="1" applyAlignment="1">
      <alignment horizontal="center"/>
    </xf>
    <xf numFmtId="10" fontId="6" fillId="0" borderId="0" xfId="59" applyNumberFormat="1" applyFont="1" applyFill="1" applyBorder="1" applyAlignment="1" applyProtection="1">
      <alignment horizontal="center"/>
      <protection locked="0"/>
    </xf>
    <xf numFmtId="43" fontId="86" fillId="0" borderId="0" xfId="57" applyFill="1" applyBorder="1" applyAlignment="1" applyProtection="1">
      <alignment vertical="center"/>
      <protection locked="0"/>
    </xf>
    <xf numFmtId="167" fontId="32" fillId="0" borderId="0" xfId="0" applyNumberFormat="1" applyFont="1" applyAlignment="1">
      <alignment horizontal="center"/>
    </xf>
    <xf numFmtId="0" fontId="26" fillId="0" borderId="0" xfId="0" applyFont="1" applyAlignment="1">
      <alignment horizontal="centerContinuous"/>
    </xf>
    <xf numFmtId="0" fontId="0" fillId="0" borderId="0" xfId="0" applyAlignment="1">
      <alignment horizontal="centerContinuous"/>
    </xf>
    <xf numFmtId="43" fontId="38" fillId="0" borderId="0" xfId="57" applyFont="1" applyFill="1" applyBorder="1" applyAlignment="1" applyProtection="1">
      <alignment vertical="center"/>
      <protection locked="0"/>
    </xf>
    <xf numFmtId="0" fontId="0" fillId="0" borderId="10" xfId="0" applyBorder="1"/>
    <xf numFmtId="0" fontId="0" fillId="0" borderId="0" xfId="0" applyAlignment="1">
      <alignment horizontal="center"/>
    </xf>
    <xf numFmtId="22" fontId="0" fillId="0" borderId="0" xfId="0" applyNumberFormat="1"/>
    <xf numFmtId="2" fontId="0" fillId="0" borderId="0" xfId="0" applyNumberFormat="1"/>
    <xf numFmtId="2" fontId="86" fillId="0" borderId="0" xfId="55" applyNumberFormat="1" applyFill="1" applyBorder="1" applyAlignment="1" applyProtection="1">
      <alignment horizontal="center"/>
      <protection locked="0"/>
    </xf>
    <xf numFmtId="0" fontId="15" fillId="0" borderId="0" xfId="0" applyFont="1" applyAlignment="1">
      <alignment horizontal="center"/>
    </xf>
    <xf numFmtId="0" fontId="23" fillId="0" borderId="0" xfId="0" applyFont="1"/>
    <xf numFmtId="0" fontId="15" fillId="0" borderId="0" xfId="0" applyFont="1" applyAlignment="1">
      <alignment horizontal="left" indent="1"/>
    </xf>
    <xf numFmtId="0" fontId="18" fillId="0" borderId="0" xfId="0" applyFont="1" applyAlignment="1">
      <alignment horizontal="left" indent="1"/>
    </xf>
    <xf numFmtId="43" fontId="45" fillId="0" borderId="0" xfId="48" applyFont="1"/>
    <xf numFmtId="43" fontId="45" fillId="0" borderId="0" xfId="50" applyFont="1"/>
    <xf numFmtId="0" fontId="45" fillId="0" borderId="10" xfId="0" applyFont="1" applyBorder="1" applyAlignment="1">
      <alignment horizontal="center"/>
    </xf>
    <xf numFmtId="0" fontId="45" fillId="0" borderId="10" xfId="0" applyFont="1" applyBorder="1"/>
    <xf numFmtId="43" fontId="45" fillId="0" borderId="10" xfId="50" applyFont="1" applyBorder="1"/>
    <xf numFmtId="0" fontId="46" fillId="0" borderId="10" xfId="0" applyFont="1" applyBorder="1" applyAlignment="1">
      <alignment horizontal="left" indent="1"/>
    </xf>
    <xf numFmtId="0" fontId="47"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60" applyNumberFormat="1" applyFont="1" applyFill="1" applyBorder="1"/>
    <xf numFmtId="9" fontId="15" fillId="20" borderId="11" xfId="59" applyFont="1" applyFill="1" applyBorder="1"/>
    <xf numFmtId="0" fontId="15" fillId="20" borderId="11" xfId="0" applyFont="1" applyFill="1" applyBorder="1"/>
    <xf numFmtId="9" fontId="15" fillId="20" borderId="11" xfId="59" applyFont="1" applyFill="1" applyBorder="1" applyAlignment="1">
      <alignment horizontal="center"/>
    </xf>
    <xf numFmtId="0" fontId="14" fillId="0" borderId="0" xfId="0" applyFont="1"/>
    <xf numFmtId="15" fontId="0" fillId="0" borderId="0" xfId="0" applyNumberFormat="1" applyAlignment="1">
      <alignment horizontal="center"/>
    </xf>
    <xf numFmtId="1" fontId="21" fillId="0" borderId="0" xfId="0" applyNumberFormat="1" applyFont="1" applyAlignment="1">
      <alignment horizontal="center"/>
    </xf>
    <xf numFmtId="1" fontId="52" fillId="20" borderId="0" xfId="0" applyNumberFormat="1" applyFont="1" applyFill="1" applyAlignment="1">
      <alignment horizontal="center"/>
    </xf>
    <xf numFmtId="0" fontId="52" fillId="0" borderId="0" xfId="0" applyFont="1" applyAlignment="1">
      <alignment horizontal="left"/>
    </xf>
    <xf numFmtId="0" fontId="53" fillId="0" borderId="0" xfId="0" applyFont="1"/>
    <xf numFmtId="43" fontId="38" fillId="0" borderId="0" xfId="57" applyFont="1" applyFill="1" applyBorder="1" applyAlignment="1" applyProtection="1">
      <alignment horizontal="center" vertical="center"/>
      <protection locked="0"/>
    </xf>
    <xf numFmtId="43" fontId="31" fillId="0" borderId="12" xfId="57" applyFont="1" applyBorder="1" applyAlignment="1" applyProtection="1"/>
    <xf numFmtId="43" fontId="86" fillId="0" borderId="12" xfId="57" applyFill="1" applyBorder="1" applyAlignment="1" applyProtection="1">
      <alignment vertical="center"/>
    </xf>
    <xf numFmtId="43" fontId="31" fillId="0" borderId="0" xfId="57" applyFont="1" applyBorder="1" applyAlignment="1" applyProtection="1"/>
    <xf numFmtId="43" fontId="86" fillId="0" borderId="0" xfId="57" applyFill="1" applyBorder="1" applyAlignment="1" applyProtection="1">
      <alignment vertical="center"/>
    </xf>
    <xf numFmtId="0" fontId="32" fillId="0" borderId="13" xfId="0" applyFont="1" applyBorder="1" applyAlignment="1">
      <alignment horizontal="center"/>
    </xf>
    <xf numFmtId="15" fontId="32" fillId="0" borderId="14" xfId="0" applyNumberFormat="1" applyFont="1" applyBorder="1" applyAlignment="1">
      <alignment horizontal="center"/>
    </xf>
    <xf numFmtId="0" fontId="32" fillId="0" borderId="15" xfId="0" applyFont="1" applyBorder="1" applyAlignment="1">
      <alignment horizontal="center"/>
    </xf>
    <xf numFmtId="168" fontId="15" fillId="0" borderId="0" xfId="0" applyNumberFormat="1" applyFont="1"/>
    <xf numFmtId="0" fontId="6" fillId="0" borderId="0" xfId="0" applyFont="1" applyAlignment="1">
      <alignment horizontal="centerContinuous"/>
    </xf>
    <xf numFmtId="10" fontId="6" fillId="0" borderId="0" xfId="59" applyNumberFormat="1" applyFont="1" applyFill="1" applyBorder="1" applyAlignment="1" applyProtection="1">
      <alignment horizontal="center"/>
    </xf>
    <xf numFmtId="0" fontId="6" fillId="0" borderId="0" xfId="0" applyFont="1"/>
    <xf numFmtId="0" fontId="26" fillId="0" borderId="0" xfId="0" applyFont="1" applyAlignment="1">
      <alignment horizontal="centerContinuous" wrapText="1"/>
    </xf>
    <xf numFmtId="43" fontId="37" fillId="0" borderId="16" xfId="57" applyFont="1" applyBorder="1" applyAlignment="1" applyProtection="1"/>
    <xf numFmtId="43" fontId="38" fillId="0" borderId="16" xfId="57" applyFont="1" applyFill="1" applyBorder="1" applyAlignment="1" applyProtection="1">
      <alignment vertical="center"/>
    </xf>
    <xf numFmtId="43" fontId="38" fillId="0" borderId="0" xfId="57" applyFont="1" applyFill="1" applyBorder="1" applyAlignment="1" applyProtection="1">
      <alignment vertical="center"/>
    </xf>
    <xf numFmtId="43" fontId="37" fillId="0" borderId="0" xfId="57" applyFont="1" applyBorder="1" applyAlignment="1" applyProtection="1"/>
    <xf numFmtId="43" fontId="39" fillId="0" borderId="0" xfId="57" applyFont="1" applyFill="1" applyBorder="1" applyAlignment="1" applyProtection="1">
      <alignment vertical="center"/>
    </xf>
    <xf numFmtId="0" fontId="14" fillId="0" borderId="0" xfId="0" applyFont="1" applyAlignment="1">
      <alignment horizontal="center"/>
    </xf>
    <xf numFmtId="0" fontId="14" fillId="0" borderId="17" xfId="0" applyFont="1" applyBorder="1" applyAlignment="1">
      <alignment horizontal="center"/>
    </xf>
    <xf numFmtId="0" fontId="14" fillId="0" borderId="17" xfId="0" applyFont="1" applyBorder="1" applyAlignment="1">
      <alignment horizontal="center" wrapText="1"/>
    </xf>
    <xf numFmtId="1" fontId="21" fillId="20" borderId="18" xfId="0" applyNumberFormat="1" applyFont="1" applyFill="1" applyBorder="1" applyAlignment="1">
      <alignment horizontal="center"/>
    </xf>
    <xf numFmtId="1" fontId="21" fillId="20" borderId="20" xfId="0" applyNumberFormat="1" applyFont="1" applyFill="1" applyBorder="1" applyAlignment="1">
      <alignment horizontal="center"/>
    </xf>
    <xf numFmtId="0" fontId="0" fillId="0" borderId="22" xfId="0" applyBorder="1" applyAlignment="1">
      <alignment horizontal="center"/>
    </xf>
    <xf numFmtId="0" fontId="0" fillId="0" borderId="0" xfId="0" applyAlignment="1">
      <alignment horizontal="center" wrapText="1"/>
    </xf>
    <xf numFmtId="43" fontId="0" fillId="0" borderId="0" xfId="0" applyNumberFormat="1"/>
    <xf numFmtId="43" fontId="44" fillId="0" borderId="23" xfId="57" applyFont="1" applyFill="1" applyBorder="1" applyAlignment="1" applyProtection="1"/>
    <xf numFmtId="43" fontId="38" fillId="0" borderId="23" xfId="57" applyFont="1" applyFill="1" applyBorder="1" applyAlignment="1" applyProtection="1">
      <alignment vertical="center"/>
    </xf>
    <xf numFmtId="168" fontId="28" fillId="0" borderId="0" xfId="60" applyNumberFormat="1" applyFont="1" applyAlignment="1" applyProtection="1">
      <alignment horizontal="left"/>
    </xf>
    <xf numFmtId="15" fontId="28" fillId="0" borderId="0" xfId="0" applyNumberFormat="1" applyFont="1" applyAlignment="1">
      <alignment horizontal="left"/>
    </xf>
    <xf numFmtId="43" fontId="28" fillId="0" borderId="0" xfId="0" applyNumberFormat="1" applyFont="1" applyAlignment="1">
      <alignment horizontal="right"/>
    </xf>
    <xf numFmtId="168" fontId="28" fillId="0" borderId="0" xfId="60" applyNumberFormat="1" applyFont="1" applyBorder="1" applyAlignment="1" applyProtection="1">
      <alignment horizontal="left"/>
    </xf>
    <xf numFmtId="0" fontId="19" fillId="0" borderId="0" xfId="0" applyFont="1" applyAlignment="1">
      <alignment horizontal="center"/>
    </xf>
    <xf numFmtId="0" fontId="34" fillId="0" borderId="0" xfId="0" applyFont="1"/>
    <xf numFmtId="15" fontId="26" fillId="0" borderId="0" xfId="0" applyNumberFormat="1" applyFont="1"/>
    <xf numFmtId="15" fontId="26" fillId="0" borderId="0" xfId="0" applyNumberFormat="1" applyFont="1" applyAlignment="1">
      <alignment horizontal="center" wrapText="1"/>
    </xf>
    <xf numFmtId="0" fontId="26" fillId="0" borderId="0" xfId="0" applyFont="1"/>
    <xf numFmtId="0" fontId="45" fillId="0" borderId="0" xfId="0" applyFont="1"/>
    <xf numFmtId="43" fontId="15" fillId="0" borderId="0" xfId="0" applyNumberFormat="1" applyFont="1"/>
    <xf numFmtId="0" fontId="28" fillId="0" borderId="0" xfId="0" applyFont="1" applyAlignment="1">
      <alignment horizontal="center"/>
    </xf>
    <xf numFmtId="15" fontId="28" fillId="0" borderId="0" xfId="0" applyNumberFormat="1" applyFont="1" applyAlignment="1">
      <alignment horizontal="center"/>
    </xf>
    <xf numFmtId="43" fontId="0" fillId="0" borderId="0" xfId="0" applyNumberFormat="1" applyAlignment="1">
      <alignment horizontal="right"/>
    </xf>
    <xf numFmtId="3" fontId="0" fillId="0" borderId="0" xfId="0" applyNumberFormat="1"/>
    <xf numFmtId="43" fontId="36" fillId="0" borderId="0" xfId="0" applyNumberFormat="1" applyFont="1"/>
    <xf numFmtId="168" fontId="6" fillId="0" borderId="0" xfId="60" applyNumberFormat="1" applyFont="1" applyFill="1" applyBorder="1" applyAlignment="1" applyProtection="1">
      <protection locked="0"/>
    </xf>
    <xf numFmtId="168" fontId="6" fillId="0" borderId="0" xfId="60" applyNumberFormat="1" applyFont="1" applyFill="1" applyBorder="1" applyProtection="1">
      <protection locked="0"/>
    </xf>
    <xf numFmtId="0" fontId="15" fillId="20" borderId="0" xfId="0" applyFont="1" applyFill="1"/>
    <xf numFmtId="167" fontId="15" fillId="20" borderId="0" xfId="0" applyNumberFormat="1" applyFont="1" applyFill="1"/>
    <xf numFmtId="168" fontId="15" fillId="20" borderId="0" xfId="0" applyNumberFormat="1" applyFont="1" applyFill="1"/>
    <xf numFmtId="3" fontId="15" fillId="20" borderId="0" xfId="0" applyNumberFormat="1" applyFont="1" applyFill="1"/>
    <xf numFmtId="0" fontId="34" fillId="0" borderId="0" xfId="0" applyFont="1" applyAlignment="1" applyProtection="1">
      <alignment horizontal="left"/>
      <protection locked="0"/>
    </xf>
    <xf numFmtId="43" fontId="17" fillId="0" borderId="0" xfId="46" applyFont="1" applyAlignment="1">
      <alignment horizontal="center" vertical="center"/>
    </xf>
    <xf numFmtId="43" fontId="16" fillId="0" borderId="0" xfId="46" applyFont="1" applyAlignment="1">
      <alignment vertical="center"/>
    </xf>
    <xf numFmtId="0" fontId="54" fillId="0" borderId="0" xfId="0" applyFont="1"/>
    <xf numFmtId="43" fontId="20" fillId="0" borderId="27" xfId="55" applyFont="1" applyBorder="1" applyAlignment="1" applyProtection="1">
      <alignment horizontal="right"/>
    </xf>
    <xf numFmtId="0" fontId="12" fillId="0" borderId="0" xfId="0" applyFont="1"/>
    <xf numFmtId="0" fontId="0" fillId="20" borderId="0" xfId="0" applyFill="1"/>
    <xf numFmtId="0" fontId="0" fillId="20" borderId="28" xfId="0" applyFill="1" applyBorder="1"/>
    <xf numFmtId="43" fontId="60" fillId="0" borderId="0" xfId="0" applyNumberFormat="1" applyFont="1"/>
    <xf numFmtId="0" fontId="60" fillId="0" borderId="0" xfId="0" applyFont="1"/>
    <xf numFmtId="43" fontId="0" fillId="0" borderId="0" xfId="0" quotePrefix="1" applyNumberFormat="1"/>
    <xf numFmtId="43" fontId="86" fillId="0" borderId="0" xfId="51" applyAlignment="1">
      <alignment horizontal="center"/>
    </xf>
    <xf numFmtId="0" fontId="34" fillId="0" borderId="0" xfId="0" quotePrefix="1" applyFont="1"/>
    <xf numFmtId="43" fontId="61" fillId="0" borderId="23" xfId="57" applyFont="1" applyFill="1" applyBorder="1" applyAlignment="1" applyProtection="1"/>
    <xf numFmtId="43" fontId="9" fillId="0" borderId="23" xfId="57" applyFont="1" applyFill="1" applyBorder="1" applyAlignment="1" applyProtection="1">
      <alignment vertical="center"/>
    </xf>
    <xf numFmtId="0" fontId="2" fillId="0" borderId="32" xfId="0" applyFont="1" applyBorder="1" applyAlignment="1">
      <alignment horizontal="center"/>
    </xf>
    <xf numFmtId="43" fontId="63" fillId="0" borderId="23" xfId="57" applyFont="1" applyFill="1" applyBorder="1" applyAlignment="1" applyProtection="1">
      <alignment vertical="center"/>
    </xf>
    <xf numFmtId="0" fontId="62" fillId="0" borderId="0" xfId="0" applyFont="1"/>
    <xf numFmtId="15" fontId="6" fillId="0" borderId="0" xfId="0" applyNumberFormat="1" applyFont="1" applyAlignment="1">
      <alignment horizontal="centerContinuous"/>
    </xf>
    <xf numFmtId="15" fontId="6" fillId="0" borderId="0" xfId="0" applyNumberFormat="1" applyFont="1" applyAlignment="1">
      <alignment horizontal="center"/>
    </xf>
    <xf numFmtId="1" fontId="21" fillId="24" borderId="10" xfId="0" applyNumberFormat="1" applyFont="1" applyFill="1" applyBorder="1" applyAlignment="1" applyProtection="1">
      <alignment horizontal="center"/>
      <protection locked="0"/>
    </xf>
    <xf numFmtId="1" fontId="21" fillId="24" borderId="33"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8" fontId="0" fillId="0" borderId="0" xfId="0" applyNumberFormat="1"/>
    <xf numFmtId="0" fontId="65" fillId="0" borderId="0" xfId="0" applyFont="1" applyAlignment="1">
      <alignment horizontal="right"/>
    </xf>
    <xf numFmtId="43" fontId="66" fillId="0" borderId="12" xfId="57" applyFont="1" applyFill="1" applyBorder="1" applyAlignment="1" applyProtection="1">
      <alignment horizontal="left" vertical="center"/>
    </xf>
    <xf numFmtId="0" fontId="65" fillId="0" borderId="0" xfId="0" applyFont="1"/>
    <xf numFmtId="0" fontId="68" fillId="0" borderId="0" xfId="0" applyFont="1" applyAlignment="1">
      <alignment horizontal="center" wrapText="1"/>
    </xf>
    <xf numFmtId="0" fontId="65" fillId="0" borderId="0" xfId="0" applyFont="1" applyAlignment="1">
      <alignment horizontal="center"/>
    </xf>
    <xf numFmtId="3" fontId="2" fillId="21" borderId="10" xfId="0" applyNumberFormat="1" applyFont="1" applyFill="1" applyBorder="1" applyAlignment="1" applyProtection="1">
      <alignment vertical="center"/>
      <protection locked="0"/>
    </xf>
    <xf numFmtId="3" fontId="2" fillId="22" borderId="10" xfId="0" applyNumberFormat="1" applyFont="1" applyFill="1" applyBorder="1" applyAlignment="1" applyProtection="1">
      <alignment vertical="center"/>
      <protection locked="0"/>
    </xf>
    <xf numFmtId="15" fontId="32" fillId="0" borderId="34" xfId="0" applyNumberFormat="1" applyFont="1" applyBorder="1" applyAlignment="1">
      <alignment horizontal="center"/>
    </xf>
    <xf numFmtId="15" fontId="29" fillId="0" borderId="0" xfId="0" applyNumberFormat="1" applyFont="1" applyAlignment="1">
      <alignment horizontal="center" vertical="center" wrapText="1"/>
    </xf>
    <xf numFmtId="43" fontId="72" fillId="0" borderId="0" xfId="38" applyFont="1" applyAlignment="1">
      <alignment vertical="center"/>
    </xf>
    <xf numFmtId="0" fontId="0" fillId="0" borderId="0" xfId="0" applyProtection="1">
      <protection locked="0"/>
    </xf>
    <xf numFmtId="0" fontId="6" fillId="0" borderId="0" xfId="0" applyFont="1" applyProtection="1">
      <protection locked="0"/>
    </xf>
    <xf numFmtId="0" fontId="69" fillId="0" borderId="0" xfId="0" applyFont="1" applyAlignment="1" applyProtection="1">
      <alignment horizontal="left"/>
      <protection locked="0"/>
    </xf>
    <xf numFmtId="0" fontId="67" fillId="0" borderId="0" xfId="0" applyFont="1" applyAlignment="1">
      <alignment horizontal="center" vertical="center"/>
    </xf>
    <xf numFmtId="0" fontId="26" fillId="0" borderId="36" xfId="0" applyFont="1" applyBorder="1"/>
    <xf numFmtId="0" fontId="32" fillId="25" borderId="37" xfId="0" applyFont="1" applyFill="1" applyBorder="1" applyAlignment="1">
      <alignment horizontal="centerContinuous"/>
    </xf>
    <xf numFmtId="15" fontId="70" fillId="0" borderId="26" xfId="0" applyNumberFormat="1" applyFont="1" applyBorder="1" applyAlignment="1">
      <alignment horizontal="center" wrapText="1"/>
    </xf>
    <xf numFmtId="15" fontId="70" fillId="0" borderId="38" xfId="0" applyNumberFormat="1" applyFont="1" applyBorder="1" applyAlignment="1">
      <alignment horizontal="center" wrapText="1"/>
    </xf>
    <xf numFmtId="0" fontId="36" fillId="0" borderId="36" xfId="0" applyFont="1" applyBorder="1" applyAlignment="1">
      <alignment horizontal="center"/>
    </xf>
    <xf numFmtId="0" fontId="36" fillId="0" borderId="39" xfId="0" applyFont="1" applyBorder="1" applyAlignment="1">
      <alignment horizontal="center"/>
    </xf>
    <xf numFmtId="0" fontId="32" fillId="25" borderId="40" xfId="0" applyFont="1" applyFill="1" applyBorder="1" applyAlignment="1">
      <alignment horizontal="centerContinuous"/>
    </xf>
    <xf numFmtId="0" fontId="0" fillId="0" borderId="0" xfId="0" applyAlignment="1" applyProtection="1">
      <alignment horizontal="left" vertical="top"/>
      <protection locked="0"/>
    </xf>
    <xf numFmtId="15" fontId="0" fillId="0" borderId="0" xfId="0" applyNumberFormat="1" applyAlignment="1" applyProtection="1">
      <alignment horizontal="center"/>
      <protection locked="0"/>
    </xf>
    <xf numFmtId="14" fontId="0" fillId="0" borderId="10" xfId="0" applyNumberFormat="1" applyBorder="1" applyAlignment="1" applyProtection="1">
      <alignment horizontal="center"/>
      <protection locked="0"/>
    </xf>
    <xf numFmtId="3" fontId="2" fillId="22" borderId="10" xfId="0" applyNumberFormat="1" applyFont="1" applyFill="1" applyBorder="1" applyAlignment="1" applyProtection="1">
      <alignment horizontal="right" vertical="center"/>
      <protection locked="0"/>
    </xf>
    <xf numFmtId="0" fontId="51" fillId="0" borderId="43" xfId="0" applyFont="1" applyBorder="1" applyAlignment="1">
      <alignment horizontal="center" vertical="center"/>
    </xf>
    <xf numFmtId="0" fontId="24" fillId="0" borderId="0" xfId="0" applyFont="1"/>
    <xf numFmtId="43" fontId="70" fillId="0" borderId="0" xfId="0" applyNumberFormat="1" applyFont="1" applyAlignment="1">
      <alignment vertical="center" wrapText="1"/>
    </xf>
    <xf numFmtId="0" fontId="70" fillId="0" borderId="0" xfId="0" applyFont="1" applyAlignment="1">
      <alignment wrapText="1"/>
    </xf>
    <xf numFmtId="43" fontId="20" fillId="0" borderId="27" xfId="55" applyFont="1" applyFill="1" applyBorder="1" applyAlignment="1" applyProtection="1">
      <alignment horizontal="right"/>
    </xf>
    <xf numFmtId="0" fontId="28" fillId="0" borderId="0" xfId="0" applyFont="1" applyAlignment="1">
      <alignment wrapText="1"/>
    </xf>
    <xf numFmtId="0" fontId="0" fillId="0" borderId="23" xfId="0" applyBorder="1"/>
    <xf numFmtId="9" fontId="15" fillId="0" borderId="0" xfId="59" applyFont="1" applyProtection="1"/>
    <xf numFmtId="43" fontId="24" fillId="24" borderId="27" xfId="55" applyFont="1" applyFill="1" applyBorder="1" applyAlignment="1" applyProtection="1">
      <alignment horizontal="center" vertical="center"/>
    </xf>
    <xf numFmtId="15" fontId="24" fillId="24" borderId="27" xfId="55" applyNumberFormat="1" applyFont="1" applyFill="1" applyBorder="1" applyAlignment="1" applyProtection="1">
      <alignment horizontal="center" vertical="center"/>
    </xf>
    <xf numFmtId="0" fontId="30" fillId="21" borderId="0" xfId="0" applyFont="1" applyFill="1" applyAlignment="1" applyProtection="1">
      <alignment horizontal="left"/>
      <protection locked="0"/>
    </xf>
    <xf numFmtId="0" fontId="34" fillId="21" borderId="0" xfId="0" applyFont="1" applyFill="1" applyAlignment="1" applyProtection="1">
      <alignment horizontal="left"/>
      <protection locked="0"/>
    </xf>
    <xf numFmtId="49" fontId="0" fillId="0" borderId="0" xfId="0" applyNumberFormat="1"/>
    <xf numFmtId="3" fontId="0" fillId="24"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171" fontId="21" fillId="20" borderId="0" xfId="0" applyNumberFormat="1" applyFont="1" applyFill="1"/>
    <xf numFmtId="4" fontId="0" fillId="0" borderId="0" xfId="0" applyNumberFormat="1" applyProtection="1">
      <protection locked="0"/>
    </xf>
    <xf numFmtId="4" fontId="0" fillId="0" borderId="0" xfId="0" applyNumberFormat="1"/>
    <xf numFmtId="167" fontId="32" fillId="19" borderId="47" xfId="0" applyNumberFormat="1" applyFont="1" applyFill="1" applyBorder="1" applyAlignment="1" applyProtection="1">
      <alignment horizontal="center"/>
      <protection locked="0"/>
    </xf>
    <xf numFmtId="167" fontId="32" fillId="19" borderId="48" xfId="0" applyNumberFormat="1" applyFont="1" applyFill="1" applyBorder="1" applyAlignment="1" applyProtection="1">
      <alignment horizontal="center"/>
      <protection locked="0"/>
    </xf>
    <xf numFmtId="167" fontId="32" fillId="19" borderId="49" xfId="0" applyNumberFormat="1" applyFont="1" applyFill="1" applyBorder="1" applyAlignment="1" applyProtection="1">
      <alignment horizontal="center"/>
      <protection locked="0"/>
    </xf>
    <xf numFmtId="167" fontId="32" fillId="19" borderId="50" xfId="0" applyNumberFormat="1" applyFont="1" applyFill="1" applyBorder="1" applyAlignment="1" applyProtection="1">
      <alignment horizontal="center"/>
      <protection locked="0"/>
    </xf>
    <xf numFmtId="0" fontId="0" fillId="0" borderId="0" xfId="0" applyAlignment="1">
      <alignment horizontal="left" wrapText="1"/>
    </xf>
    <xf numFmtId="43" fontId="35" fillId="0" borderId="0" xfId="0" applyNumberFormat="1" applyFont="1"/>
    <xf numFmtId="0" fontId="0" fillId="0" borderId="0" xfId="0" applyAlignment="1">
      <alignment horizontal="left"/>
    </xf>
    <xf numFmtId="3" fontId="28" fillId="25" borderId="47" xfId="0" applyNumberFormat="1" applyFont="1" applyFill="1" applyBorder="1" applyProtection="1">
      <protection locked="0"/>
    </xf>
    <xf numFmtId="3" fontId="28" fillId="25" borderId="52" xfId="0" applyNumberFormat="1" applyFont="1" applyFill="1" applyBorder="1" applyProtection="1">
      <protection locked="0"/>
    </xf>
    <xf numFmtId="3" fontId="28" fillId="0" borderId="10" xfId="0" applyNumberFormat="1" applyFont="1" applyBorder="1"/>
    <xf numFmtId="3" fontId="28" fillId="0" borderId="46" xfId="0" applyNumberFormat="1" applyFont="1" applyBorder="1"/>
    <xf numFmtId="167" fontId="14" fillId="19" borderId="53" xfId="0" applyNumberFormat="1" applyFont="1" applyFill="1" applyBorder="1" applyAlignment="1" applyProtection="1">
      <alignment horizontal="center"/>
      <protection locked="0"/>
    </xf>
    <xf numFmtId="0" fontId="0" fillId="25" borderId="10" xfId="0" applyFill="1" applyBorder="1"/>
    <xf numFmtId="0" fontId="0" fillId="24" borderId="10" xfId="0" applyFill="1" applyBorder="1"/>
    <xf numFmtId="49" fontId="26" fillId="0" borderId="55" xfId="0" applyNumberFormat="1" applyFont="1" applyBorder="1" applyProtection="1">
      <protection locked="0"/>
    </xf>
    <xf numFmtId="0" fontId="0" fillId="0" borderId="57" xfId="0" applyBorder="1"/>
    <xf numFmtId="0" fontId="0" fillId="0" borderId="60" xfId="0" applyBorder="1"/>
    <xf numFmtId="49" fontId="54" fillId="0" borderId="10" xfId="0" applyNumberFormat="1" applyFont="1" applyBorder="1" applyAlignment="1" applyProtection="1">
      <alignment horizontal="center"/>
      <protection locked="0"/>
    </xf>
    <xf numFmtId="0" fontId="0" fillId="0" borderId="17" xfId="0" applyBorder="1" applyAlignment="1">
      <alignment horizontal="center"/>
    </xf>
    <xf numFmtId="0" fontId="14" fillId="0" borderId="17" xfId="0" applyFont="1" applyBorder="1" applyAlignment="1">
      <alignment horizontal="center" vertical="center" wrapText="1"/>
    </xf>
    <xf numFmtId="0" fontId="14" fillId="0" borderId="22" xfId="0" applyFont="1" applyBorder="1" applyAlignment="1">
      <alignment horizontal="center" vertical="center"/>
    </xf>
    <xf numFmtId="0" fontId="51" fillId="0" borderId="62" xfId="0" applyFont="1" applyBorder="1" applyAlignment="1">
      <alignment horizontal="center" vertical="center" wrapText="1"/>
    </xf>
    <xf numFmtId="3" fontId="24" fillId="24" borderId="27" xfId="55" applyNumberFormat="1" applyFont="1" applyFill="1" applyBorder="1" applyAlignment="1" applyProtection="1">
      <alignment horizontal="center" wrapText="1"/>
    </xf>
    <xf numFmtId="14" fontId="24" fillId="24" borderId="27" xfId="55" applyNumberFormat="1" applyFont="1" applyFill="1" applyBorder="1" applyAlignment="1" applyProtection="1">
      <alignment horizontal="center" vertical="center" wrapText="1"/>
    </xf>
    <xf numFmtId="172" fontId="24" fillId="24" borderId="27" xfId="55" applyNumberFormat="1" applyFont="1" applyFill="1" applyBorder="1" applyAlignment="1" applyProtection="1">
      <alignment horizontal="center" wrapText="1"/>
    </xf>
    <xf numFmtId="43" fontId="1" fillId="0" borderId="27" xfId="55" applyFont="1" applyBorder="1" applyAlignment="1" applyProtection="1">
      <alignment horizontal="right" vertical="center"/>
    </xf>
    <xf numFmtId="43" fontId="1" fillId="0" borderId="27" xfId="55" applyFont="1" applyBorder="1" applyAlignment="1" applyProtection="1">
      <alignment horizontal="right" vertical="center" wrapText="1"/>
    </xf>
    <xf numFmtId="43" fontId="28" fillId="0" borderId="0" xfId="0" applyNumberFormat="1" applyFont="1" applyAlignment="1">
      <alignment horizontal="right" wrapText="1"/>
    </xf>
    <xf numFmtId="49" fontId="25" fillId="0" borderId="63" xfId="0" applyNumberFormat="1" applyFont="1" applyBorder="1" applyAlignment="1">
      <alignment vertical="center" wrapText="1"/>
    </xf>
    <xf numFmtId="0" fontId="0" fillId="0" borderId="0" xfId="0" applyAlignment="1">
      <alignment vertical="center" wrapText="1"/>
    </xf>
    <xf numFmtId="43" fontId="28" fillId="0" borderId="0" xfId="0" applyNumberFormat="1" applyFont="1" applyAlignment="1">
      <alignment horizontal="right" vertical="center" wrapText="1"/>
    </xf>
    <xf numFmtId="0" fontId="30" fillId="0" borderId="0" xfId="0" applyFont="1" applyAlignment="1" applyProtection="1">
      <alignment horizontal="left" wrapText="1"/>
      <protection locked="0"/>
    </xf>
    <xf numFmtId="43" fontId="1" fillId="0" borderId="27" xfId="55" applyFont="1" applyBorder="1" applyAlignment="1" applyProtection="1">
      <alignment horizontal="right" wrapText="1"/>
    </xf>
    <xf numFmtId="43" fontId="28" fillId="0" borderId="27" xfId="55" applyFont="1" applyBorder="1" applyAlignment="1" applyProtection="1">
      <alignment horizontal="center"/>
    </xf>
    <xf numFmtId="43" fontId="34" fillId="0" borderId="0" xfId="0" applyNumberFormat="1" applyFont="1" applyAlignment="1">
      <alignment horizontal="center" wrapText="1"/>
    </xf>
    <xf numFmtId="43" fontId="34" fillId="0" borderId="0" xfId="0" applyNumberFormat="1" applyFont="1" applyAlignment="1">
      <alignment horizontal="left" vertical="center" wrapText="1"/>
    </xf>
    <xf numFmtId="43" fontId="34" fillId="0" borderId="0" xfId="0" applyNumberFormat="1" applyFont="1" applyAlignment="1">
      <alignment horizontal="left" wrapText="1"/>
    </xf>
    <xf numFmtId="0" fontId="0" fillId="0" borderId="66" xfId="0" applyBorder="1"/>
    <xf numFmtId="0" fontId="0" fillId="0" borderId="19" xfId="0" applyBorder="1" applyAlignment="1">
      <alignment horizontal="center"/>
    </xf>
    <xf numFmtId="3" fontId="2" fillId="27"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vertical="center"/>
      <protection locked="0"/>
    </xf>
    <xf numFmtId="3" fontId="2" fillId="27" borderId="10" xfId="0" applyNumberFormat="1" applyFont="1" applyFill="1" applyBorder="1" applyAlignment="1" applyProtection="1">
      <alignment horizontal="right" vertical="center"/>
      <protection locked="0"/>
    </xf>
    <xf numFmtId="0" fontId="35" fillId="0" borderId="10" xfId="0" applyFont="1" applyBorder="1" applyAlignment="1">
      <alignment horizontal="center" vertical="center" wrapText="1"/>
    </xf>
    <xf numFmtId="3" fontId="87" fillId="0" borderId="29" xfId="0" applyNumberFormat="1" applyFont="1" applyBorder="1" applyAlignment="1" applyProtection="1">
      <alignment horizontal="center" vertical="center" wrapText="1"/>
      <protection locked="0"/>
    </xf>
    <xf numFmtId="9" fontId="90" fillId="26" borderId="10" xfId="59" applyFont="1" applyFill="1" applyBorder="1" applyAlignment="1" applyProtection="1">
      <alignment horizontal="center" vertical="center" wrapText="1"/>
    </xf>
    <xf numFmtId="14" fontId="0" fillId="0" borderId="10" xfId="55" applyNumberFormat="1" applyFont="1" applyFill="1" applyBorder="1" applyAlignment="1" applyProtection="1">
      <alignment horizontal="center"/>
      <protection locked="0"/>
    </xf>
    <xf numFmtId="15" fontId="26" fillId="0" borderId="67" xfId="0" applyNumberFormat="1" applyFont="1" applyBorder="1" applyAlignment="1">
      <alignment horizontal="center"/>
    </xf>
    <xf numFmtId="3" fontId="0" fillId="0" borderId="0" xfId="0" quotePrefix="1" applyNumberFormat="1"/>
    <xf numFmtId="0" fontId="25" fillId="0" borderId="96" xfId="0" applyFont="1" applyBorder="1" applyAlignment="1">
      <alignment vertical="distributed"/>
    </xf>
    <xf numFmtId="15" fontId="27" fillId="0" borderId="103" xfId="0" applyNumberFormat="1" applyFont="1" applyBorder="1" applyAlignment="1">
      <alignment horizontal="center" vertical="center" wrapText="1"/>
    </xf>
    <xf numFmtId="15" fontId="27" fillId="0" borderId="104" xfId="0" applyNumberFormat="1" applyFont="1" applyBorder="1" applyAlignment="1">
      <alignment horizontal="center" vertical="center" wrapText="1"/>
    </xf>
    <xf numFmtId="0" fontId="6" fillId="0" borderId="36" xfId="0" applyFont="1" applyBorder="1"/>
    <xf numFmtId="0" fontId="6" fillId="0" borderId="39" xfId="0" applyFont="1" applyBorder="1"/>
    <xf numFmtId="3" fontId="6" fillId="0" borderId="37" xfId="60" applyNumberFormat="1" applyFont="1" applyFill="1" applyBorder="1" applyAlignment="1" applyProtection="1"/>
    <xf numFmtId="3" fontId="6" fillId="0" borderId="40" xfId="60" applyNumberFormat="1" applyFont="1" applyFill="1" applyBorder="1" applyAlignment="1" applyProtection="1"/>
    <xf numFmtId="0" fontId="0" fillId="0" borderId="26" xfId="0" applyBorder="1"/>
    <xf numFmtId="0" fontId="0" fillId="0" borderId="51" xfId="0" applyBorder="1" applyAlignment="1">
      <alignment horizontal="center"/>
    </xf>
    <xf numFmtId="0" fontId="0" fillId="0" borderId="41" xfId="0" applyBorder="1" applyAlignment="1">
      <alignment horizontal="center"/>
    </xf>
    <xf numFmtId="3" fontId="2" fillId="22" borderId="10" xfId="0" applyNumberFormat="1" applyFont="1" applyFill="1" applyBorder="1" applyAlignment="1" applyProtection="1">
      <alignment vertical="center" wrapText="1"/>
      <protection locked="0"/>
    </xf>
    <xf numFmtId="4" fontId="28" fillId="25" borderId="47" xfId="0" applyNumberFormat="1" applyFont="1" applyFill="1" applyBorder="1" applyProtection="1">
      <protection locked="0"/>
    </xf>
    <xf numFmtId="4" fontId="1" fillId="36" borderId="54" xfId="60" applyNumberFormat="1" applyFont="1" applyFill="1" applyBorder="1" applyProtection="1">
      <protection locked="0"/>
    </xf>
    <xf numFmtId="15" fontId="26" fillId="0" borderId="41" xfId="0" applyNumberFormat="1" applyFont="1" applyBorder="1"/>
    <xf numFmtId="15" fontId="26" fillId="0" borderId="99" xfId="0" applyNumberFormat="1" applyFont="1" applyBorder="1" applyAlignment="1">
      <alignment horizontal="center"/>
    </xf>
    <xf numFmtId="0" fontId="26" fillId="0" borderId="39" xfId="0" applyFont="1" applyBorder="1"/>
    <xf numFmtId="0" fontId="0" fillId="0" borderId="45" xfId="0" applyBorder="1"/>
    <xf numFmtId="15" fontId="27" fillId="0" borderId="82" xfId="0" applyNumberFormat="1" applyFont="1" applyBorder="1" applyAlignment="1">
      <alignment horizontal="center" vertical="center" wrapText="1"/>
    </xf>
    <xf numFmtId="3" fontId="0" fillId="25" borderId="56" xfId="60" applyNumberFormat="1" applyFont="1" applyFill="1" applyBorder="1" applyProtection="1">
      <protection locked="0"/>
    </xf>
    <xf numFmtId="49" fontId="95" fillId="37" borderId="29" xfId="0" applyNumberFormat="1" applyFont="1" applyFill="1" applyBorder="1" applyAlignment="1">
      <alignment horizontal="center" vertical="center" wrapText="1"/>
    </xf>
    <xf numFmtId="3" fontId="96" fillId="0" borderId="10" xfId="0" applyNumberFormat="1" applyFont="1" applyBorder="1"/>
    <xf numFmtId="3" fontId="96" fillId="0" borderId="46" xfId="0" applyNumberFormat="1" applyFont="1" applyBorder="1"/>
    <xf numFmtId="3" fontId="96" fillId="25" borderId="47" xfId="0" applyNumberFormat="1" applyFont="1" applyFill="1" applyBorder="1" applyProtection="1">
      <protection locked="0"/>
    </xf>
    <xf numFmtId="4" fontId="96" fillId="25" borderId="47" xfId="0" applyNumberFormat="1" applyFont="1" applyFill="1" applyBorder="1" applyProtection="1">
      <protection locked="0"/>
    </xf>
    <xf numFmtId="43" fontId="28" fillId="25" borderId="47" xfId="60" applyFont="1" applyFill="1" applyBorder="1" applyAlignment="1" applyProtection="1">
      <protection locked="0"/>
    </xf>
    <xf numFmtId="43" fontId="28" fillId="0" borderId="10" xfId="60" applyFont="1" applyFill="1" applyBorder="1" applyAlignment="1" applyProtection="1"/>
    <xf numFmtId="43" fontId="28" fillId="0" borderId="46" xfId="60" applyFont="1" applyFill="1" applyBorder="1" applyAlignment="1" applyProtection="1"/>
    <xf numFmtId="3" fontId="21" fillId="25" borderId="10" xfId="60" applyNumberFormat="1" applyFont="1" applyFill="1" applyBorder="1" applyAlignment="1" applyProtection="1">
      <protection locked="0"/>
    </xf>
    <xf numFmtId="1" fontId="0" fillId="25" borderId="10" xfId="0" applyNumberFormat="1" applyFill="1" applyBorder="1" applyAlignment="1" applyProtection="1">
      <alignment horizontal="center"/>
      <protection locked="0"/>
    </xf>
    <xf numFmtId="1" fontId="0" fillId="25" borderId="46" xfId="0" applyNumberFormat="1" applyFill="1" applyBorder="1" applyAlignment="1" applyProtection="1">
      <alignment horizontal="center"/>
      <protection locked="0"/>
    </xf>
    <xf numFmtId="43" fontId="97" fillId="0" borderId="23" xfId="57" applyFont="1" applyFill="1" applyBorder="1" applyAlignment="1" applyProtection="1">
      <alignment vertical="center"/>
    </xf>
    <xf numFmtId="43" fontId="98" fillId="0" borderId="23" xfId="57" applyFont="1" applyFill="1" applyBorder="1" applyAlignment="1" applyProtection="1">
      <alignment vertical="center"/>
    </xf>
    <xf numFmtId="0" fontId="98" fillId="0" borderId="23" xfId="0" applyFont="1" applyBorder="1"/>
    <xf numFmtId="0" fontId="98" fillId="21" borderId="71" xfId="0" applyFont="1" applyFill="1" applyBorder="1"/>
    <xf numFmtId="0" fontId="99" fillId="0" borderId="10" xfId="0" applyFont="1" applyBorder="1" applyAlignment="1">
      <alignment horizontal="center"/>
    </xf>
    <xf numFmtId="3" fontId="99" fillId="21" borderId="10" xfId="0" applyNumberFormat="1" applyFont="1" applyFill="1" applyBorder="1" applyAlignment="1" applyProtection="1">
      <alignment vertical="center"/>
      <protection locked="0"/>
    </xf>
    <xf numFmtId="3" fontId="99" fillId="21" borderId="10" xfId="0" applyNumberFormat="1" applyFont="1" applyFill="1" applyBorder="1" applyAlignment="1" applyProtection="1">
      <alignment horizontal="right" vertical="center"/>
      <protection locked="0"/>
    </xf>
    <xf numFmtId="3" fontId="99" fillId="21" borderId="10" xfId="0" applyNumberFormat="1" applyFont="1" applyFill="1" applyBorder="1" applyAlignment="1" applyProtection="1">
      <alignment horizontal="right" vertical="center" wrapText="1"/>
      <protection locked="0"/>
    </xf>
    <xf numFmtId="3" fontId="99" fillId="21" borderId="24" xfId="0" applyNumberFormat="1" applyFont="1" applyFill="1" applyBorder="1" applyAlignment="1" applyProtection="1">
      <alignment vertical="center"/>
      <protection locked="0"/>
    </xf>
    <xf numFmtId="0" fontId="99" fillId="23" borderId="10" xfId="0" applyFont="1" applyFill="1" applyBorder="1" applyAlignment="1">
      <alignment horizontal="center"/>
    </xf>
    <xf numFmtId="3" fontId="99" fillId="27" borderId="10" xfId="0" applyNumberFormat="1" applyFont="1" applyFill="1" applyBorder="1" applyAlignment="1" applyProtection="1">
      <alignment vertical="center"/>
      <protection locked="0"/>
    </xf>
    <xf numFmtId="3" fontId="99" fillId="22" borderId="10" xfId="0" applyNumberFormat="1" applyFont="1" applyFill="1" applyBorder="1" applyAlignment="1" applyProtection="1">
      <alignment vertical="center"/>
      <protection locked="0"/>
    </xf>
    <xf numFmtId="3" fontId="99" fillId="22" borderId="10" xfId="0" applyNumberFormat="1" applyFont="1" applyFill="1" applyBorder="1" applyAlignment="1" applyProtection="1">
      <alignment horizontal="right" vertical="center"/>
      <protection locked="0"/>
    </xf>
    <xf numFmtId="3" fontId="99" fillId="22" borderId="10" xfId="0" applyNumberFormat="1" applyFont="1" applyFill="1" applyBorder="1" applyAlignment="1" applyProtection="1">
      <alignment horizontal="right" vertical="center" wrapText="1"/>
      <protection locked="0"/>
    </xf>
    <xf numFmtId="3" fontId="99" fillId="22" borderId="24" xfId="0" applyNumberFormat="1" applyFont="1" applyFill="1" applyBorder="1" applyAlignment="1" applyProtection="1">
      <alignment vertical="center"/>
      <protection locked="0"/>
    </xf>
    <xf numFmtId="3" fontId="99" fillId="27" borderId="10" xfId="0" applyNumberFormat="1" applyFont="1" applyFill="1" applyBorder="1" applyAlignment="1" applyProtection="1">
      <alignment horizontal="right" vertical="center"/>
      <protection locked="0"/>
    </xf>
    <xf numFmtId="9" fontId="99" fillId="27" borderId="10" xfId="0" applyNumberFormat="1" applyFont="1" applyFill="1" applyBorder="1" applyAlignment="1" applyProtection="1">
      <alignment horizontal="right" vertical="center"/>
      <protection locked="0"/>
    </xf>
    <xf numFmtId="3" fontId="99" fillId="27" borderId="10" xfId="0" applyNumberFormat="1" applyFont="1" applyFill="1" applyBorder="1" applyAlignment="1" applyProtection="1">
      <alignment horizontal="right" vertical="center" wrapText="1"/>
      <protection locked="0"/>
    </xf>
    <xf numFmtId="3" fontId="99" fillId="27" borderId="24" xfId="0" applyNumberFormat="1" applyFont="1" applyFill="1" applyBorder="1" applyAlignment="1" applyProtection="1">
      <alignment vertical="center"/>
      <protection locked="0"/>
    </xf>
    <xf numFmtId="3" fontId="99" fillId="28" borderId="10" xfId="0" applyNumberFormat="1" applyFont="1" applyFill="1" applyBorder="1" applyAlignment="1" applyProtection="1">
      <alignment vertical="center"/>
      <protection locked="0"/>
    </xf>
    <xf numFmtId="3" fontId="99" fillId="28" borderId="10" xfId="0" applyNumberFormat="1" applyFont="1" applyFill="1" applyBorder="1" applyAlignment="1" applyProtection="1">
      <alignment horizontal="right" vertical="center"/>
      <protection locked="0"/>
    </xf>
    <xf numFmtId="3" fontId="99" fillId="28" borderId="10" xfId="0" applyNumberFormat="1" applyFont="1" applyFill="1" applyBorder="1" applyAlignment="1" applyProtection="1">
      <alignment horizontal="right" vertical="center" wrapText="1"/>
      <protection locked="0"/>
    </xf>
    <xf numFmtId="3" fontId="99" fillId="28" borderId="24" xfId="0" applyNumberFormat="1" applyFont="1" applyFill="1" applyBorder="1" applyAlignment="1" applyProtection="1">
      <alignment vertical="center"/>
      <protection locked="0"/>
    </xf>
    <xf numFmtId="3" fontId="99" fillId="27" borderId="24" xfId="0" applyNumberFormat="1" applyFont="1" applyFill="1" applyBorder="1" applyAlignment="1" applyProtection="1">
      <alignment horizontal="right" vertical="center"/>
      <protection locked="0"/>
    </xf>
    <xf numFmtId="9" fontId="99" fillId="28" borderId="10" xfId="0" applyNumberFormat="1" applyFont="1" applyFill="1" applyBorder="1" applyAlignment="1" applyProtection="1">
      <alignment horizontal="right" vertical="center"/>
      <protection locked="0"/>
    </xf>
    <xf numFmtId="3" fontId="99" fillId="0" borderId="10" xfId="0" applyNumberFormat="1" applyFont="1" applyBorder="1" applyAlignment="1">
      <alignment vertical="center"/>
    </xf>
    <xf numFmtId="3" fontId="99" fillId="0" borderId="10" xfId="0" applyNumberFormat="1" applyFont="1" applyBorder="1" applyAlignment="1">
      <alignment horizontal="right" vertical="center"/>
    </xf>
    <xf numFmtId="3" fontId="99" fillId="23" borderId="10" xfId="0" applyNumberFormat="1" applyFont="1" applyFill="1" applyBorder="1" applyAlignment="1">
      <alignment vertical="center"/>
    </xf>
    <xf numFmtId="3" fontId="99" fillId="23" borderId="10" xfId="0" applyNumberFormat="1" applyFont="1" applyFill="1" applyBorder="1" applyAlignment="1">
      <alignment horizontal="right" vertical="center"/>
    </xf>
    <xf numFmtId="0" fontId="99" fillId="0" borderId="66" xfId="0" applyFont="1" applyBorder="1" applyAlignment="1">
      <alignment horizontal="center"/>
    </xf>
    <xf numFmtId="0" fontId="0" fillId="0" borderId="21" xfId="0" applyBorder="1" applyAlignment="1">
      <alignment horizontal="center" vertical="center"/>
    </xf>
    <xf numFmtId="0" fontId="0" fillId="24" borderId="10" xfId="0" applyFill="1" applyBorder="1" applyAlignment="1" applyProtection="1">
      <alignment horizontal="center"/>
      <protection locked="0"/>
    </xf>
    <xf numFmtId="0" fontId="0" fillId="24" borderId="45" xfId="0" applyFill="1" applyBorder="1" applyAlignment="1" applyProtection="1">
      <alignment horizontal="center"/>
      <protection locked="0"/>
    </xf>
    <xf numFmtId="15" fontId="91" fillId="0" borderId="0" xfId="0" applyNumberFormat="1" applyFont="1" applyAlignment="1">
      <alignment horizontal="center"/>
    </xf>
    <xf numFmtId="9" fontId="101" fillId="26" borderId="10" xfId="59" applyFont="1" applyFill="1" applyBorder="1" applyAlignment="1" applyProtection="1">
      <alignment horizontal="center" vertical="center" wrapText="1"/>
    </xf>
    <xf numFmtId="9" fontId="15" fillId="20" borderId="0" xfId="59" applyFont="1" applyFill="1" applyBorder="1"/>
    <xf numFmtId="4" fontId="0" fillId="0" borderId="58" xfId="0" applyNumberFormat="1" applyBorder="1"/>
    <xf numFmtId="3" fontId="0" fillId="24" borderId="10" xfId="0" applyNumberFormat="1" applyFill="1" applyBorder="1" applyAlignment="1" applyProtection="1">
      <alignment horizontal="center" vertical="center" wrapText="1"/>
      <protection locked="0"/>
    </xf>
    <xf numFmtId="3" fontId="0" fillId="0" borderId="10" xfId="0" applyNumberFormat="1" applyBorder="1" applyAlignment="1">
      <alignment horizontal="center" vertical="center" wrapText="1"/>
    </xf>
    <xf numFmtId="9" fontId="2" fillId="27" borderId="10" xfId="0" applyNumberFormat="1" applyFont="1" applyFill="1" applyBorder="1" applyAlignment="1" applyProtection="1">
      <alignment horizontal="right" vertical="center"/>
      <protection locked="0"/>
    </xf>
    <xf numFmtId="43" fontId="102" fillId="0" borderId="23" xfId="57" applyFont="1" applyFill="1" applyBorder="1" applyAlignment="1" applyProtection="1"/>
    <xf numFmtId="0" fontId="32" fillId="0" borderId="25" xfId="0" applyFont="1" applyBorder="1" applyAlignment="1">
      <alignment horizontal="center" vertical="center"/>
    </xf>
    <xf numFmtId="0" fontId="32" fillId="0" borderId="38" xfId="0" applyFont="1" applyBorder="1" applyAlignment="1">
      <alignment horizontal="center" vertical="center" wrapText="1"/>
    </xf>
    <xf numFmtId="0" fontId="14" fillId="0" borderId="36" xfId="0" applyFont="1" applyBorder="1" applyAlignment="1">
      <alignment horizontal="center"/>
    </xf>
    <xf numFmtId="1" fontId="0" fillId="0" borderId="37" xfId="0" applyNumberFormat="1" applyBorder="1" applyAlignment="1">
      <alignment horizontal="center"/>
    </xf>
    <xf numFmtId="0" fontId="14" fillId="0" borderId="39" xfId="0" applyFont="1" applyBorder="1" applyAlignment="1">
      <alignment horizontal="center"/>
    </xf>
    <xf numFmtId="1" fontId="21" fillId="0" borderId="45" xfId="0" applyNumberFormat="1" applyFont="1" applyBorder="1" applyAlignment="1" applyProtection="1">
      <alignment horizontal="center"/>
      <protection locked="0"/>
    </xf>
    <xf numFmtId="1" fontId="0" fillId="0" borderId="45" xfId="0" applyNumberFormat="1" applyBorder="1" applyAlignment="1" applyProtection="1">
      <alignment horizontal="center"/>
      <protection locked="0"/>
    </xf>
    <xf numFmtId="1" fontId="0" fillId="0" borderId="40" xfId="0" applyNumberFormat="1" applyBorder="1" applyAlignment="1">
      <alignment horizontal="center"/>
    </xf>
    <xf numFmtId="167" fontId="32" fillId="19" borderId="117" xfId="0" applyNumberFormat="1" applyFont="1" applyFill="1" applyBorder="1" applyAlignment="1" applyProtection="1">
      <alignment horizontal="center"/>
      <protection locked="0"/>
    </xf>
    <xf numFmtId="3" fontId="0" fillId="24" borderId="37" xfId="0" applyNumberFormat="1" applyFill="1" applyBorder="1" applyAlignment="1" applyProtection="1">
      <alignment horizontal="right" wrapText="1"/>
      <protection locked="0"/>
    </xf>
    <xf numFmtId="3" fontId="0" fillId="0" borderId="37" xfId="0" applyNumberFormat="1" applyBorder="1" applyAlignment="1">
      <alignment horizontal="right" wrapText="1"/>
    </xf>
    <xf numFmtId="0" fontId="0" fillId="0" borderId="39" xfId="0" applyBorder="1" applyAlignment="1">
      <alignment horizontal="center" wrapText="1"/>
    </xf>
    <xf numFmtId="3" fontId="1" fillId="0" borderId="45" xfId="60" applyNumberFormat="1" applyFont="1" applyFill="1" applyBorder="1" applyAlignment="1" applyProtection="1">
      <alignment horizontal="center" vertical="center"/>
    </xf>
    <xf numFmtId="3" fontId="0" fillId="0" borderId="45" xfId="0" applyNumberFormat="1" applyBorder="1" applyAlignment="1">
      <alignment horizontal="right" wrapText="1"/>
    </xf>
    <xf numFmtId="3" fontId="0" fillId="0" borderId="40" xfId="0" applyNumberFormat="1" applyBorder="1" applyAlignment="1">
      <alignment horizontal="right" wrapText="1"/>
    </xf>
    <xf numFmtId="0" fontId="0" fillId="0" borderId="25" xfId="0" applyBorder="1" applyAlignment="1">
      <alignment horizontal="center"/>
    </xf>
    <xf numFmtId="0" fontId="0" fillId="0" borderId="25" xfId="0" applyBorder="1" applyAlignment="1">
      <alignment horizontal="center" wrapText="1"/>
    </xf>
    <xf numFmtId="0" fontId="0" fillId="0" borderId="38" xfId="0" applyBorder="1" applyAlignment="1">
      <alignment horizontal="center" wrapText="1"/>
    </xf>
    <xf numFmtId="0" fontId="0" fillId="0" borderId="36" xfId="0" applyBorder="1" applyAlignment="1">
      <alignment horizontal="center"/>
    </xf>
    <xf numFmtId="0" fontId="0" fillId="0" borderId="39" xfId="0" applyBorder="1" applyAlignment="1">
      <alignment horizontal="center"/>
    </xf>
    <xf numFmtId="0" fontId="0" fillId="24" borderId="40" xfId="0" applyFill="1" applyBorder="1" applyAlignment="1" applyProtection="1">
      <alignment horizontal="center"/>
      <protection locked="0"/>
    </xf>
    <xf numFmtId="0" fontId="103" fillId="40" borderId="26" xfId="0" applyFont="1" applyFill="1" applyBorder="1" applyAlignment="1">
      <alignment horizontal="center"/>
    </xf>
    <xf numFmtId="0" fontId="103" fillId="0" borderId="25" xfId="0" applyFont="1" applyBorder="1" applyAlignment="1">
      <alignment horizontal="center" wrapText="1"/>
    </xf>
    <xf numFmtId="0" fontId="91" fillId="0" borderId="25" xfId="0" applyFont="1" applyBorder="1" applyAlignment="1">
      <alignment horizontal="center" wrapText="1"/>
    </xf>
    <xf numFmtId="0" fontId="103" fillId="34" borderId="25" xfId="0" applyFont="1" applyFill="1" applyBorder="1" applyAlignment="1">
      <alignment horizontal="center" wrapText="1"/>
    </xf>
    <xf numFmtId="0" fontId="30" fillId="21" borderId="80" xfId="0" applyFont="1" applyFill="1" applyBorder="1" applyAlignment="1" applyProtection="1">
      <alignment horizontal="left" vertical="top" wrapText="1"/>
      <protection locked="0"/>
    </xf>
    <xf numFmtId="0" fontId="30" fillId="21" borderId="80" xfId="0" applyFont="1" applyFill="1" applyBorder="1" applyAlignment="1" applyProtection="1">
      <alignment horizontal="left" vertical="top"/>
      <protection locked="0"/>
    </xf>
    <xf numFmtId="0" fontId="34" fillId="0" borderId="0" xfId="0" applyFont="1" applyAlignment="1" applyProtection="1">
      <alignment horizontal="left" vertical="top" wrapText="1"/>
      <protection locked="0"/>
    </xf>
    <xf numFmtId="0" fontId="0" fillId="0" borderId="0" xfId="0" applyAlignment="1">
      <alignment horizontal="left" vertical="top"/>
    </xf>
    <xf numFmtId="49" fontId="139" fillId="0" borderId="121" xfId="0" applyNumberFormat="1" applyFont="1" applyBorder="1" applyAlignment="1" applyProtection="1">
      <alignment horizontal="left" vertical="center" wrapText="1"/>
      <protection locked="0"/>
    </xf>
    <xf numFmtId="43" fontId="1" fillId="0" borderId="12" xfId="57" applyFont="1" applyFill="1" applyBorder="1" applyAlignment="1" applyProtection="1">
      <alignment vertical="center"/>
    </xf>
    <xf numFmtId="43" fontId="52" fillId="0" borderId="12" xfId="57" applyFont="1" applyFill="1" applyBorder="1" applyAlignment="1" applyProtection="1">
      <alignment horizontal="left" vertical="center"/>
    </xf>
    <xf numFmtId="43" fontId="21" fillId="0" borderId="12" xfId="57" applyFont="1" applyFill="1" applyBorder="1" applyAlignment="1" applyProtection="1">
      <alignment vertical="center"/>
    </xf>
    <xf numFmtId="43" fontId="21" fillId="25" borderId="68" xfId="57" applyFont="1" applyFill="1" applyBorder="1" applyAlignment="1" applyProtection="1">
      <alignment vertical="center"/>
    </xf>
    <xf numFmtId="43" fontId="1" fillId="0" borderId="0" xfId="57" applyFont="1" applyFill="1" applyBorder="1" applyAlignment="1" applyProtection="1">
      <alignment vertical="center"/>
    </xf>
    <xf numFmtId="0" fontId="25" fillId="0" borderId="64" xfId="0" applyFont="1" applyBorder="1" applyAlignment="1">
      <alignment horizontal="center" vertical="center" wrapText="1"/>
    </xf>
    <xf numFmtId="0" fontId="25" fillId="0" borderId="65" xfId="0" applyFont="1" applyBorder="1" applyAlignment="1">
      <alignment horizontal="center" vertical="center" wrapText="1"/>
    </xf>
    <xf numFmtId="0" fontId="6" fillId="0" borderId="0" xfId="0" applyFont="1" applyAlignment="1">
      <alignment horizontal="center" vertical="center"/>
    </xf>
    <xf numFmtId="43" fontId="52" fillId="0" borderId="16" xfId="57" applyFont="1" applyFill="1" applyBorder="1" applyAlignment="1" applyProtection="1">
      <alignment vertical="center"/>
    </xf>
    <xf numFmtId="43" fontId="21" fillId="0" borderId="16" xfId="57" applyFont="1" applyFill="1" applyBorder="1" applyAlignment="1" applyProtection="1">
      <alignment vertical="center"/>
    </xf>
    <xf numFmtId="43" fontId="21" fillId="0" borderId="16" xfId="57" applyFont="1" applyFill="1" applyBorder="1" applyAlignment="1" applyProtection="1">
      <alignment horizontal="center" vertical="center"/>
    </xf>
    <xf numFmtId="43" fontId="21" fillId="24" borderId="70" xfId="57" applyFont="1" applyFill="1" applyBorder="1" applyAlignment="1" applyProtection="1">
      <alignment horizontal="center" vertical="center"/>
    </xf>
    <xf numFmtId="0" fontId="1" fillId="0" borderId="0" xfId="0" applyFont="1" applyAlignment="1">
      <alignment horizontal="center"/>
    </xf>
    <xf numFmtId="0" fontId="38" fillId="0" borderId="0" xfId="0" applyFont="1" applyAlignment="1">
      <alignment horizontal="center" vertical="center"/>
    </xf>
    <xf numFmtId="15" fontId="1" fillId="0" borderId="0" xfId="0" applyNumberFormat="1" applyFont="1" applyAlignment="1">
      <alignment horizontal="left"/>
    </xf>
    <xf numFmtId="9" fontId="1" fillId="0" borderId="0" xfId="59" applyFont="1" applyBorder="1" applyProtection="1"/>
    <xf numFmtId="43" fontId="1" fillId="0" borderId="0" xfId="60" applyFont="1" applyFill="1" applyBorder="1" applyProtection="1"/>
    <xf numFmtId="43" fontId="52" fillId="0" borderId="23" xfId="57" applyFont="1" applyFill="1" applyBorder="1" applyAlignment="1" applyProtection="1">
      <alignment vertical="center"/>
    </xf>
    <xf numFmtId="43" fontId="21" fillId="0" borderId="23" xfId="57" applyFont="1" applyFill="1" applyBorder="1" applyAlignment="1" applyProtection="1">
      <alignment vertical="center"/>
    </xf>
    <xf numFmtId="0" fontId="21" fillId="0" borderId="23" xfId="0" applyFont="1" applyBorder="1"/>
    <xf numFmtId="0" fontId="21" fillId="21" borderId="71" xfId="0" applyFont="1" applyFill="1" applyBorder="1"/>
    <xf numFmtId="0" fontId="2" fillId="0" borderId="10" xfId="0" applyFont="1" applyBorder="1" applyAlignment="1">
      <alignment horizontal="center"/>
    </xf>
    <xf numFmtId="0" fontId="2" fillId="23" borderId="10" xfId="0" applyFont="1" applyFill="1" applyBorder="1" applyAlignment="1">
      <alignment horizontal="center"/>
    </xf>
    <xf numFmtId="3" fontId="2" fillId="0" borderId="10" xfId="0" applyNumberFormat="1" applyFont="1" applyBorder="1" applyAlignment="1">
      <alignment vertical="center"/>
    </xf>
    <xf numFmtId="0" fontId="2" fillId="0" borderId="69" xfId="0" applyFont="1" applyBorder="1" applyAlignment="1">
      <alignment horizontal="center"/>
    </xf>
    <xf numFmtId="3" fontId="2" fillId="23" borderId="10" xfId="0" applyNumberFormat="1" applyFont="1" applyFill="1" applyBorder="1" applyAlignment="1">
      <alignment vertical="center"/>
    </xf>
    <xf numFmtId="0" fontId="2" fillId="0" borderId="66" xfId="0" applyFont="1" applyBorder="1" applyAlignment="1">
      <alignment horizontal="center"/>
    </xf>
    <xf numFmtId="9" fontId="2" fillId="0" borderId="10" xfId="0" applyNumberFormat="1" applyFont="1" applyBorder="1" applyAlignment="1">
      <alignment vertical="center"/>
    </xf>
    <xf numFmtId="0" fontId="2" fillId="0" borderId="42" xfId="0" applyFont="1" applyBorder="1" applyAlignment="1">
      <alignment horizontal="center"/>
    </xf>
    <xf numFmtId="3" fontId="2" fillId="0" borderId="42" xfId="0" applyNumberFormat="1" applyFont="1" applyBorder="1" applyAlignment="1">
      <alignment vertical="center"/>
    </xf>
    <xf numFmtId="9" fontId="2" fillId="0" borderId="42" xfId="0" applyNumberFormat="1" applyFont="1" applyBorder="1" applyAlignment="1">
      <alignment vertical="center"/>
    </xf>
    <xf numFmtId="43" fontId="34" fillId="0" borderId="0" xfId="50" applyFont="1"/>
    <xf numFmtId="0" fontId="71" fillId="0" borderId="0" xfId="0" applyFont="1"/>
    <xf numFmtId="0" fontId="1" fillId="0" borderId="10" xfId="0" applyFont="1" applyBorder="1"/>
    <xf numFmtId="0" fontId="21" fillId="24" borderId="45" xfId="0" applyFont="1" applyFill="1" applyBorder="1" applyAlignment="1" applyProtection="1">
      <alignment horizontal="center"/>
      <protection locked="0"/>
    </xf>
    <xf numFmtId="1" fontId="28" fillId="51" borderId="10" xfId="0" applyNumberFormat="1" applyFont="1" applyFill="1" applyBorder="1"/>
    <xf numFmtId="1" fontId="28" fillId="51" borderId="37" xfId="0" applyNumberFormat="1" applyFont="1" applyFill="1" applyBorder="1"/>
    <xf numFmtId="0" fontId="28" fillId="51" borderId="10" xfId="0" applyFont="1" applyFill="1" applyBorder="1"/>
    <xf numFmtId="1" fontId="28" fillId="51" borderId="69" xfId="0" applyNumberFormat="1" applyFont="1" applyFill="1" applyBorder="1"/>
    <xf numFmtId="1" fontId="28" fillId="51" borderId="98" xfId="0" applyNumberFormat="1" applyFont="1" applyFill="1" applyBorder="1"/>
    <xf numFmtId="1" fontId="141" fillId="51" borderId="10" xfId="0" applyNumberFormat="1" applyFont="1" applyFill="1" applyBorder="1"/>
    <xf numFmtId="0" fontId="28" fillId="51" borderId="69" xfId="0" applyFont="1" applyFill="1" applyBorder="1" applyAlignment="1">
      <alignment wrapText="1"/>
    </xf>
    <xf numFmtId="0" fontId="91" fillId="0" borderId="26" xfId="0" applyFont="1" applyBorder="1" applyAlignment="1">
      <alignment horizontal="center" vertical="top" wrapText="1"/>
    </xf>
    <xf numFmtId="0" fontId="91" fillId="0" borderId="25" xfId="0" applyFont="1" applyBorder="1" applyAlignment="1">
      <alignment vertical="top" wrapText="1"/>
    </xf>
    <xf numFmtId="0" fontId="91" fillId="0" borderId="25" xfId="0" applyFont="1" applyBorder="1" applyAlignment="1">
      <alignment horizontal="center" vertical="top" wrapText="1"/>
    </xf>
    <xf numFmtId="0" fontId="91" fillId="0" borderId="38" xfId="0" applyFont="1" applyBorder="1" applyAlignment="1">
      <alignment horizontal="center" vertical="top" wrapText="1"/>
    </xf>
    <xf numFmtId="0" fontId="21" fillId="24" borderId="33" xfId="0" applyFont="1" applyFill="1" applyBorder="1" applyAlignment="1" applyProtection="1">
      <alignment horizontal="center"/>
      <protection locked="0"/>
    </xf>
    <xf numFmtId="0" fontId="51" fillId="0" borderId="90" xfId="0" applyFont="1" applyBorder="1" applyAlignment="1">
      <alignment horizontal="center" vertical="center"/>
    </xf>
    <xf numFmtId="49" fontId="2" fillId="38" borderId="106" xfId="0" applyNumberFormat="1" applyFont="1" applyFill="1" applyBorder="1" applyAlignment="1" applyProtection="1">
      <alignment horizontal="left" vertical="center" wrapText="1"/>
      <protection locked="0"/>
    </xf>
    <xf numFmtId="49" fontId="2" fillId="37" borderId="105" xfId="0" applyNumberFormat="1" applyFont="1" applyFill="1" applyBorder="1" applyAlignment="1" applyProtection="1">
      <alignment horizontal="left" vertical="center" wrapText="1"/>
      <protection locked="0"/>
    </xf>
    <xf numFmtId="49" fontId="2" fillId="37" borderId="106" xfId="0" applyNumberFormat="1" applyFont="1" applyFill="1" applyBorder="1" applyAlignment="1" applyProtection="1">
      <alignment horizontal="left" vertical="center" wrapText="1"/>
      <protection locked="0"/>
    </xf>
    <xf numFmtId="0" fontId="103" fillId="40" borderId="123" xfId="0" applyFont="1" applyFill="1" applyBorder="1" applyAlignment="1">
      <alignment horizontal="center"/>
    </xf>
    <xf numFmtId="0" fontId="103" fillId="0" borderId="66" xfId="0" applyFont="1" applyBorder="1" applyAlignment="1">
      <alignment horizontal="center" wrapText="1"/>
    </xf>
    <xf numFmtId="0" fontId="91" fillId="0" borderId="66" xfId="0" applyFont="1" applyBorder="1" applyAlignment="1">
      <alignment horizontal="center" wrapText="1"/>
    </xf>
    <xf numFmtId="0" fontId="103" fillId="34" borderId="66" xfId="0" applyFont="1" applyFill="1" applyBorder="1" applyAlignment="1">
      <alignment horizontal="center" wrapText="1"/>
    </xf>
    <xf numFmtId="0" fontId="91" fillId="0" borderId="66" xfId="0" applyFont="1" applyBorder="1" applyAlignment="1">
      <alignment horizontal="center" vertical="center" wrapText="1"/>
    </xf>
    <xf numFmtId="1" fontId="69" fillId="51" borderId="10" xfId="0" applyNumberFormat="1" applyFont="1" applyFill="1" applyBorder="1"/>
    <xf numFmtId="1" fontId="69" fillId="51" borderId="37" xfId="0" applyNumberFormat="1" applyFont="1" applyFill="1" applyBorder="1"/>
    <xf numFmtId="4" fontId="0" fillId="0" borderId="59" xfId="0" applyNumberFormat="1" applyBorder="1"/>
    <xf numFmtId="1" fontId="0" fillId="0" borderId="10" xfId="0" applyNumberFormat="1" applyBorder="1" applyAlignment="1" applyProtection="1">
      <alignment horizontal="center"/>
      <protection locked="0"/>
    </xf>
    <xf numFmtId="168" fontId="1" fillId="0" borderId="110" xfId="60" applyNumberFormat="1" applyFont="1" applyFill="1" applyBorder="1" applyAlignment="1" applyProtection="1">
      <alignment horizontal="center"/>
      <protection locked="0"/>
    </xf>
    <xf numFmtId="49" fontId="0" fillId="0" borderId="29" xfId="0" applyNumberFormat="1" applyBorder="1" applyAlignment="1" applyProtection="1">
      <alignment horizontal="center"/>
      <protection locked="0"/>
    </xf>
    <xf numFmtId="49" fontId="0" fillId="0" borderId="30"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15" fontId="0" fillId="0" borderId="10" xfId="55" applyNumberFormat="1" applyFont="1" applyFill="1" applyBorder="1" applyAlignment="1" applyProtection="1">
      <alignment horizontal="center"/>
      <protection locked="0"/>
    </xf>
    <xf numFmtId="0" fontId="65" fillId="0" borderId="35" xfId="0" applyFont="1" applyBorder="1" applyAlignment="1">
      <alignment horizontal="right"/>
    </xf>
    <xf numFmtId="49" fontId="0" fillId="0" borderId="10" xfId="0" applyNumberFormat="1" applyBorder="1" applyAlignment="1" applyProtection="1">
      <alignment horizontal="center"/>
      <protection locked="0"/>
    </xf>
    <xf numFmtId="43" fontId="24" fillId="24" borderId="27" xfId="55" applyFont="1" applyFill="1" applyBorder="1" applyAlignment="1" applyProtection="1">
      <alignment horizontal="center"/>
    </xf>
    <xf numFmtId="43" fontId="1" fillId="0" borderId="27" xfId="55" applyFont="1" applyBorder="1" applyAlignment="1" applyProtection="1">
      <alignment horizontal="right"/>
    </xf>
    <xf numFmtId="43" fontId="20" fillId="0" borderId="0" xfId="49" applyFont="1" applyAlignment="1">
      <alignment horizontal="right" vertical="center"/>
    </xf>
    <xf numFmtId="15" fontId="24" fillId="24" borderId="27" xfId="55" applyNumberFormat="1" applyFont="1" applyFill="1" applyBorder="1" applyAlignment="1" applyProtection="1">
      <alignment horizontal="center"/>
    </xf>
    <xf numFmtId="15" fontId="28" fillId="0" borderId="0" xfId="0" applyNumberFormat="1" applyFont="1" applyAlignment="1">
      <alignment horizontal="right"/>
    </xf>
    <xf numFmtId="43" fontId="14" fillId="0" borderId="0" xfId="0" applyNumberFormat="1" applyFont="1" applyAlignment="1">
      <alignment horizontal="center"/>
    </xf>
    <xf numFmtId="43" fontId="35" fillId="0" borderId="0" xfId="0" applyNumberFormat="1" applyFont="1" applyAlignment="1">
      <alignment horizontal="left" vertical="center" wrapText="1"/>
    </xf>
    <xf numFmtId="0" fontId="30" fillId="21" borderId="0" xfId="0" applyFont="1" applyFill="1" applyAlignment="1" applyProtection="1">
      <alignment horizontal="left" vertical="top" wrapText="1"/>
      <protection locked="0"/>
    </xf>
    <xf numFmtId="0" fontId="55" fillId="0" borderId="0" xfId="0" applyFont="1" applyAlignment="1">
      <alignment horizontal="left" wrapText="1"/>
    </xf>
    <xf numFmtId="43" fontId="71" fillId="0" borderId="0" xfId="0" applyNumberFormat="1" applyFont="1" applyAlignment="1">
      <alignment horizontal="center"/>
    </xf>
    <xf numFmtId="0" fontId="34" fillId="0" borderId="10" xfId="0" applyFont="1" applyBorder="1" applyAlignment="1">
      <alignment horizontal="center" vertical="center" wrapText="1"/>
    </xf>
    <xf numFmtId="3" fontId="99" fillId="22" borderId="24" xfId="0" applyNumberFormat="1" applyFont="1" applyFill="1" applyBorder="1" applyAlignment="1" applyProtection="1">
      <alignment vertical="center" wrapText="1"/>
      <protection locked="0"/>
    </xf>
    <xf numFmtId="49" fontId="0" fillId="0" borderId="66" xfId="0" applyNumberFormat="1" applyBorder="1" applyProtection="1">
      <protection locked="0"/>
    </xf>
    <xf numFmtId="49" fontId="0" fillId="0" borderId="10" xfId="0" applyNumberFormat="1" applyBorder="1" applyProtection="1">
      <protection locked="0"/>
    </xf>
    <xf numFmtId="49" fontId="93" fillId="0" borderId="10" xfId="0" applyNumberFormat="1" applyFont="1" applyBorder="1" applyProtection="1">
      <protection locked="0"/>
    </xf>
    <xf numFmtId="49" fontId="0" fillId="0" borderId="10" xfId="0" applyNumberFormat="1" applyBorder="1" applyAlignment="1" applyProtection="1">
      <alignment horizontal="left"/>
      <protection locked="0"/>
    </xf>
    <xf numFmtId="49" fontId="0" fillId="0" borderId="69" xfId="0" applyNumberFormat="1" applyBorder="1" applyAlignment="1" applyProtection="1">
      <alignment horizontal="left"/>
      <protection locked="0"/>
    </xf>
    <xf numFmtId="49" fontId="0" fillId="0" borderId="45" xfId="0" applyNumberFormat="1" applyBorder="1" applyAlignment="1" applyProtection="1">
      <alignment horizontal="left"/>
      <protection locked="0"/>
    </xf>
    <xf numFmtId="9" fontId="87" fillId="0" borderId="29" xfId="59" applyFont="1" applyFill="1" applyBorder="1" applyAlignment="1" applyProtection="1">
      <alignment horizontal="center" vertical="center" wrapText="1"/>
      <protection locked="0"/>
    </xf>
    <xf numFmtId="0" fontId="51" fillId="0" borderId="129" xfId="0" applyFont="1" applyBorder="1" applyAlignment="1">
      <alignment horizontal="center" vertical="center"/>
    </xf>
    <xf numFmtId="10" fontId="99" fillId="21" borderId="10" xfId="59" applyNumberFormat="1" applyFont="1" applyFill="1" applyBorder="1" applyAlignment="1" applyProtection="1">
      <alignment vertical="top" wrapText="1"/>
      <protection locked="0"/>
    </xf>
    <xf numFmtId="167" fontId="14" fillId="53" borderId="53" xfId="0" applyNumberFormat="1" applyFont="1" applyFill="1" applyBorder="1" applyAlignment="1" applyProtection="1">
      <alignment horizontal="center"/>
      <protection locked="0"/>
    </xf>
    <xf numFmtId="9" fontId="99" fillId="37" borderId="10" xfId="0" applyNumberFormat="1" applyFont="1" applyFill="1" applyBorder="1" applyAlignment="1" applyProtection="1">
      <alignment horizontal="center" vertical="center"/>
      <protection locked="0"/>
    </xf>
    <xf numFmtId="3" fontId="99" fillId="0" borderId="10" xfId="0" applyNumberFormat="1" applyFont="1" applyBorder="1" applyAlignment="1" applyProtection="1">
      <alignment vertical="center"/>
      <protection locked="0"/>
    </xf>
    <xf numFmtId="3" fontId="99" fillId="0" borderId="24" xfId="0" applyNumberFormat="1" applyFont="1" applyBorder="1" applyAlignment="1" applyProtection="1">
      <alignment vertical="center" wrapText="1"/>
      <protection locked="0"/>
    </xf>
    <xf numFmtId="3" fontId="99" fillId="0" borderId="10" xfId="0" applyNumberFormat="1" applyFont="1" applyBorder="1" applyAlignment="1" applyProtection="1">
      <alignment horizontal="right" vertical="center"/>
      <protection locked="0"/>
    </xf>
    <xf numFmtId="2" fontId="99" fillId="0" borderId="10" xfId="59" applyNumberFormat="1" applyFont="1" applyFill="1" applyBorder="1" applyAlignment="1" applyProtection="1">
      <alignment vertical="top" wrapText="1"/>
      <protection locked="0"/>
    </xf>
    <xf numFmtId="9" fontId="145" fillId="0" borderId="29" xfId="59" applyFont="1" applyBorder="1" applyAlignment="1" applyProtection="1">
      <alignment horizontal="center" vertical="center" wrapText="1"/>
      <protection locked="0"/>
    </xf>
    <xf numFmtId="3" fontId="145" fillId="0" borderId="29" xfId="0" applyNumberFormat="1" applyFont="1" applyBorder="1" applyAlignment="1" applyProtection="1">
      <alignment horizontal="center" vertical="center" wrapText="1"/>
      <protection locked="0"/>
    </xf>
    <xf numFmtId="0" fontId="103" fillId="0" borderId="133" xfId="0" applyFont="1" applyBorder="1" applyAlignment="1">
      <alignment horizontal="center" wrapText="1"/>
    </xf>
    <xf numFmtId="1" fontId="21" fillId="35" borderId="133" xfId="0" applyNumberFormat="1" applyFont="1" applyFill="1" applyBorder="1" applyAlignment="1">
      <alignment horizontal="center" vertical="center"/>
    </xf>
    <xf numFmtId="1" fontId="98" fillId="35" borderId="133" xfId="0" applyNumberFormat="1" applyFont="1" applyFill="1" applyBorder="1" applyAlignment="1">
      <alignment horizontal="center" vertical="center"/>
    </xf>
    <xf numFmtId="0" fontId="91" fillId="0" borderId="127" xfId="0" applyFont="1" applyBorder="1" applyAlignment="1">
      <alignment horizontal="center" wrapText="1"/>
    </xf>
    <xf numFmtId="0" fontId="91" fillId="0" borderId="67" xfId="0" applyFont="1" applyBorder="1" applyAlignment="1">
      <alignment horizontal="center" wrapText="1"/>
    </xf>
    <xf numFmtId="0" fontId="69" fillId="21" borderId="137" xfId="0" applyFont="1" applyFill="1" applyBorder="1" applyAlignment="1" applyProtection="1">
      <alignment horizontal="right" vertical="top"/>
      <protection locked="0"/>
    </xf>
    <xf numFmtId="0" fontId="69" fillId="21" borderId="138" xfId="0" applyFont="1" applyFill="1" applyBorder="1" applyAlignment="1" applyProtection="1">
      <alignment horizontal="right" vertical="top"/>
      <protection locked="0"/>
    </xf>
    <xf numFmtId="9" fontId="148" fillId="0" borderId="10" xfId="0" applyNumberFormat="1" applyFont="1" applyBorder="1" applyAlignment="1">
      <alignment horizontal="center" vertical="center" wrapText="1"/>
    </xf>
    <xf numFmtId="0" fontId="148" fillId="0" borderId="10" xfId="0" applyFont="1" applyBorder="1" applyAlignment="1">
      <alignment horizontal="center" vertical="center" wrapText="1"/>
    </xf>
    <xf numFmtId="9" fontId="21" fillId="34" borderId="29" xfId="59" applyFont="1" applyFill="1" applyBorder="1" applyAlignment="1" applyProtection="1">
      <alignment horizontal="left" vertical="top" wrapText="1"/>
      <protection locked="0"/>
    </xf>
    <xf numFmtId="0" fontId="58" fillId="0" borderId="30" xfId="0" applyFont="1" applyBorder="1" applyAlignment="1">
      <alignment vertical="top" wrapText="1"/>
    </xf>
    <xf numFmtId="0" fontId="0" fillId="0" borderId="0" xfId="0" applyAlignment="1">
      <alignment vertical="top"/>
    </xf>
    <xf numFmtId="0" fontId="43" fillId="0" borderId="29" xfId="0" applyFont="1" applyBorder="1" applyAlignment="1" applyProtection="1">
      <alignment horizontal="left" vertical="top" wrapText="1"/>
      <protection locked="0"/>
    </xf>
    <xf numFmtId="0" fontId="43" fillId="0" borderId="30" xfId="0" applyFont="1" applyBorder="1" applyAlignment="1" applyProtection="1">
      <alignment horizontal="left" vertical="top" wrapText="1"/>
      <protection locked="0"/>
    </xf>
    <xf numFmtId="0" fontId="43" fillId="0" borderId="31" xfId="0" applyFont="1" applyBorder="1" applyAlignment="1" applyProtection="1">
      <alignment horizontal="left" vertical="top" wrapText="1"/>
      <protection locked="0"/>
    </xf>
    <xf numFmtId="0" fontId="58" fillId="0" borderId="29" xfId="0" applyFont="1" applyBorder="1" applyAlignment="1">
      <alignment vertical="top" wrapText="1"/>
    </xf>
    <xf numFmtId="0" fontId="43" fillId="0" borderId="30" xfId="0" applyFont="1" applyBorder="1" applyAlignment="1">
      <alignment horizontal="justify" vertical="top" wrapText="1"/>
    </xf>
    <xf numFmtId="0" fontId="59" fillId="0" borderId="30" xfId="0" applyFont="1" applyBorder="1" applyAlignment="1">
      <alignment horizontal="justify" vertical="top" wrapText="1"/>
    </xf>
    <xf numFmtId="0" fontId="43" fillId="0" borderId="31" xfId="0" applyFont="1" applyBorder="1" applyAlignment="1">
      <alignment horizontal="justify" vertical="top" wrapText="1"/>
    </xf>
    <xf numFmtId="0" fontId="43" fillId="0" borderId="29" xfId="0" applyFont="1" applyBorder="1" applyAlignment="1">
      <alignment horizontal="justify" vertical="top" wrapText="1"/>
    </xf>
    <xf numFmtId="9" fontId="2" fillId="27" borderId="10" xfId="0" applyNumberFormat="1" applyFont="1" applyFill="1" applyBorder="1" applyAlignment="1" applyProtection="1">
      <alignment horizontal="center" vertical="center"/>
      <protection locked="0"/>
    </xf>
    <xf numFmtId="3" fontId="2" fillId="27" borderId="10" xfId="0" applyNumberFormat="1" applyFont="1" applyFill="1" applyBorder="1" applyAlignment="1" applyProtection="1">
      <alignment horizontal="center" vertical="center"/>
      <protection locked="0"/>
    </xf>
    <xf numFmtId="9" fontId="2" fillId="28" borderId="10" xfId="0" applyNumberFormat="1" applyFont="1" applyFill="1" applyBorder="1" applyAlignment="1" applyProtection="1">
      <alignment horizontal="center" vertical="center"/>
      <protection locked="0"/>
    </xf>
    <xf numFmtId="9" fontId="2" fillId="0" borderId="10" xfId="0" applyNumberFormat="1" applyFont="1" applyBorder="1" applyAlignment="1" applyProtection="1">
      <alignment horizontal="center" vertical="center"/>
      <protection locked="0"/>
    </xf>
    <xf numFmtId="3" fontId="2" fillId="23" borderId="10" xfId="0" applyNumberFormat="1" applyFont="1" applyFill="1" applyBorder="1" applyAlignment="1">
      <alignment horizontal="center" vertical="center"/>
    </xf>
    <xf numFmtId="3" fontId="2" fillId="0" borderId="10" xfId="0" applyNumberFormat="1" applyFont="1" applyBorder="1" applyAlignment="1">
      <alignment horizontal="center" vertical="center"/>
    </xf>
    <xf numFmtId="3" fontId="2" fillId="0" borderId="42" xfId="0" applyNumberFormat="1" applyFont="1" applyBorder="1" applyAlignment="1">
      <alignment horizontal="center" vertical="center"/>
    </xf>
    <xf numFmtId="15" fontId="28" fillId="0" borderId="0" xfId="0" applyNumberFormat="1" applyFont="1" applyAlignment="1">
      <alignment horizontal="left" vertical="top"/>
    </xf>
    <xf numFmtId="0" fontId="69" fillId="21" borderId="100" xfId="0" applyFont="1" applyFill="1" applyBorder="1" applyAlignment="1" applyProtection="1">
      <alignment horizontal="left" vertical="top"/>
      <protection locked="0"/>
    </xf>
    <xf numFmtId="0" fontId="69" fillId="21" borderId="101" xfId="0" applyFont="1" applyFill="1" applyBorder="1" applyAlignment="1" applyProtection="1">
      <alignment horizontal="left" vertical="top"/>
      <protection locked="0"/>
    </xf>
    <xf numFmtId="9" fontId="0" fillId="0" borderId="0" xfId="0" applyNumberFormat="1"/>
    <xf numFmtId="9" fontId="14" fillId="19" borderId="53" xfId="0" applyNumberFormat="1" applyFont="1" applyFill="1" applyBorder="1" applyAlignment="1" applyProtection="1">
      <alignment horizontal="center"/>
      <protection locked="0"/>
    </xf>
    <xf numFmtId="9" fontId="99" fillId="0" borderId="10" xfId="0" applyNumberFormat="1" applyFont="1" applyBorder="1" applyAlignment="1">
      <alignment horizontal="center" vertical="center"/>
    </xf>
    <xf numFmtId="9" fontId="99" fillId="23" borderId="10" xfId="0" applyNumberFormat="1" applyFont="1" applyFill="1" applyBorder="1" applyAlignment="1">
      <alignment horizontal="center" vertical="center"/>
    </xf>
    <xf numFmtId="3" fontId="149" fillId="54" borderId="145" xfId="0" applyNumberFormat="1" applyFont="1" applyFill="1" applyBorder="1"/>
    <xf numFmtId="3" fontId="21" fillId="54" borderId="10" xfId="0" applyNumberFormat="1" applyFont="1" applyFill="1" applyBorder="1"/>
    <xf numFmtId="3" fontId="21" fillId="54" borderId="66" xfId="0" applyNumberFormat="1" applyFont="1" applyFill="1" applyBorder="1"/>
    <xf numFmtId="3" fontId="150" fillId="55" borderId="10" xfId="0" applyNumberFormat="1" applyFont="1" applyFill="1" applyBorder="1" applyAlignment="1">
      <alignment horizontal="center" vertical="center" wrapText="1"/>
    </xf>
    <xf numFmtId="3" fontId="150" fillId="55" borderId="66" xfId="0" applyNumberFormat="1" applyFont="1" applyFill="1" applyBorder="1" applyAlignment="1">
      <alignment horizontal="center" vertical="center" wrapText="1"/>
    </xf>
    <xf numFmtId="0" fontId="151" fillId="0" borderId="150" xfId="0" applyFont="1" applyBorder="1" applyAlignment="1">
      <alignment wrapText="1"/>
    </xf>
    <xf numFmtId="0" fontId="151" fillId="0" borderId="151" xfId="0" applyFont="1" applyBorder="1" applyAlignment="1">
      <alignment wrapText="1"/>
    </xf>
    <xf numFmtId="0" fontId="151" fillId="0" borderId="151" xfId="0" applyFont="1" applyBorder="1"/>
    <xf numFmtId="43" fontId="150" fillId="54" borderId="146" xfId="0" applyNumberFormat="1" applyFont="1" applyFill="1" applyBorder="1"/>
    <xf numFmtId="43" fontId="150" fillId="54" borderId="147" xfId="0" applyNumberFormat="1" applyFont="1" applyFill="1" applyBorder="1"/>
    <xf numFmtId="43" fontId="150" fillId="54" borderId="148" xfId="0" applyNumberFormat="1" applyFont="1" applyFill="1" applyBorder="1"/>
    <xf numFmtId="43" fontId="150" fillId="54" borderId="149" xfId="0" applyNumberFormat="1" applyFont="1" applyFill="1" applyBorder="1"/>
    <xf numFmtId="9" fontId="99" fillId="28" borderId="10" xfId="0" applyNumberFormat="1" applyFont="1" applyFill="1" applyBorder="1" applyAlignment="1" applyProtection="1">
      <alignment horizontal="center" vertical="center"/>
      <protection locked="0"/>
    </xf>
    <xf numFmtId="3" fontId="152" fillId="57" borderId="10" xfId="0" applyNumberFormat="1" applyFont="1" applyFill="1" applyBorder="1" applyAlignment="1">
      <alignment horizontal="right" vertical="center"/>
    </xf>
    <xf numFmtId="174" fontId="99" fillId="37" borderId="10" xfId="0" applyNumberFormat="1" applyFont="1" applyFill="1" applyBorder="1" applyAlignment="1" applyProtection="1">
      <alignment horizontal="center" vertical="center"/>
      <protection locked="0"/>
    </xf>
    <xf numFmtId="10" fontId="99" fillId="37" borderId="10" xfId="0" applyNumberFormat="1" applyFont="1" applyFill="1" applyBorder="1" applyAlignment="1" applyProtection="1">
      <alignment horizontal="center" vertical="center"/>
      <protection locked="0"/>
    </xf>
    <xf numFmtId="10" fontId="148" fillId="0" borderId="31" xfId="0" applyNumberFormat="1" applyFont="1" applyBorder="1" applyAlignment="1">
      <alignment horizontal="center" vertical="center" wrapText="1"/>
    </xf>
    <xf numFmtId="174" fontId="99" fillId="0" borderId="10" xfId="0" applyNumberFormat="1" applyFont="1" applyBorder="1" applyAlignment="1">
      <alignment horizontal="center" vertical="center"/>
    </xf>
    <xf numFmtId="10" fontId="99" fillId="0" borderId="10" xfId="0" applyNumberFormat="1" applyFont="1" applyBorder="1" applyAlignment="1">
      <alignment vertical="center"/>
    </xf>
    <xf numFmtId="10" fontId="99" fillId="23" borderId="10" xfId="0" applyNumberFormat="1" applyFont="1" applyFill="1" applyBorder="1" applyAlignment="1">
      <alignment vertical="center"/>
    </xf>
    <xf numFmtId="1" fontId="28" fillId="58" borderId="125" xfId="0" applyNumberFormat="1" applyFont="1" applyFill="1" applyBorder="1"/>
    <xf numFmtId="1" fontId="21" fillId="58" borderId="10" xfId="0" applyNumberFormat="1" applyFont="1" applyFill="1" applyBorder="1" applyAlignment="1">
      <alignment horizontal="right" vertical="center"/>
    </xf>
    <xf numFmtId="0" fontId="0" fillId="58" borderId="10" xfId="0" applyFill="1" applyBorder="1" applyAlignment="1" applyProtection="1">
      <alignment horizontal="right" vertical="center"/>
      <protection locked="0"/>
    </xf>
    <xf numFmtId="1" fontId="0" fillId="58" borderId="37" xfId="0" applyNumberFormat="1" applyFill="1" applyBorder="1" applyAlignment="1">
      <alignment horizontal="right" vertical="center"/>
    </xf>
    <xf numFmtId="1" fontId="28" fillId="58" borderId="10" xfId="0" applyNumberFormat="1" applyFont="1" applyFill="1" applyBorder="1"/>
    <xf numFmtId="1" fontId="21" fillId="58" borderId="69" xfId="0" applyNumberFormat="1" applyFont="1" applyFill="1" applyBorder="1" applyAlignment="1">
      <alignment horizontal="right" vertical="center"/>
    </xf>
    <xf numFmtId="0" fontId="0" fillId="58" borderId="69" xfId="0" applyFill="1" applyBorder="1" applyAlignment="1" applyProtection="1">
      <alignment horizontal="right" vertical="center"/>
      <protection locked="0"/>
    </xf>
    <xf numFmtId="1" fontId="21" fillId="58" borderId="45" xfId="0" applyNumberFormat="1" applyFont="1" applyFill="1" applyBorder="1" applyAlignment="1">
      <alignment horizontal="right" vertical="center"/>
    </xf>
    <xf numFmtId="0" fontId="0" fillId="58" borderId="45" xfId="0" applyFill="1" applyBorder="1" applyAlignment="1" applyProtection="1">
      <alignment horizontal="right" vertical="center"/>
      <protection locked="0"/>
    </xf>
    <xf numFmtId="0" fontId="28" fillId="58" borderId="126" xfId="0" applyFont="1" applyFill="1" applyBorder="1"/>
    <xf numFmtId="1" fontId="28" fillId="58" borderId="126" xfId="0" applyNumberFormat="1" applyFont="1" applyFill="1" applyBorder="1" applyAlignment="1">
      <alignment horizontal="right" vertical="center"/>
    </xf>
    <xf numFmtId="0" fontId="21" fillId="58" borderId="66" xfId="0" applyFont="1" applyFill="1" applyBorder="1" applyAlignment="1" applyProtection="1">
      <alignment horizontal="center" vertical="center"/>
      <protection locked="0"/>
    </xf>
    <xf numFmtId="0" fontId="21" fillId="58" borderId="66" xfId="0" applyFont="1" applyFill="1" applyBorder="1" applyAlignment="1">
      <alignment horizontal="center" vertical="center"/>
    </xf>
    <xf numFmtId="3" fontId="0" fillId="58" borderId="10" xfId="0" applyNumberFormat="1" applyFill="1" applyBorder="1" applyAlignment="1" applyProtection="1">
      <alignment horizontal="center" vertical="center"/>
      <protection locked="0"/>
    </xf>
    <xf numFmtId="3" fontId="0" fillId="58" borderId="29" xfId="0" applyNumberFormat="1" applyFill="1" applyBorder="1" applyAlignment="1">
      <alignment horizontal="center" vertical="center"/>
    </xf>
    <xf numFmtId="3" fontId="0" fillId="58" borderId="133" xfId="0" applyNumberFormat="1" applyFill="1" applyBorder="1" applyAlignment="1" applyProtection="1">
      <alignment horizontal="center" vertical="center"/>
      <protection locked="0"/>
    </xf>
    <xf numFmtId="0" fontId="0" fillId="58" borderId="133" xfId="0" applyFill="1" applyBorder="1"/>
    <xf numFmtId="1" fontId="21" fillId="58" borderId="133" xfId="0" applyNumberFormat="1" applyFont="1" applyFill="1" applyBorder="1" applyAlignment="1">
      <alignment horizontal="center" vertical="center"/>
    </xf>
    <xf numFmtId="0" fontId="0" fillId="58" borderId="31" xfId="0" applyFill="1" applyBorder="1" applyAlignment="1" applyProtection="1">
      <alignment horizontal="center" vertical="center"/>
      <protection locked="0"/>
    </xf>
    <xf numFmtId="1" fontId="0" fillId="58" borderId="99" xfId="0" applyNumberFormat="1" applyFill="1" applyBorder="1" applyAlignment="1">
      <alignment horizontal="center" vertical="center"/>
    </xf>
    <xf numFmtId="0" fontId="21" fillId="58" borderId="10" xfId="0" applyFont="1" applyFill="1" applyBorder="1" applyAlignment="1" applyProtection="1">
      <alignment horizontal="center" vertical="center"/>
      <protection locked="0"/>
    </xf>
    <xf numFmtId="0" fontId="21" fillId="58" borderId="10" xfId="0" applyFont="1" applyFill="1" applyBorder="1" applyAlignment="1">
      <alignment horizontal="center" vertical="center"/>
    </xf>
    <xf numFmtId="1" fontId="0" fillId="58" borderId="37" xfId="0" applyNumberFormat="1" applyFill="1" applyBorder="1" applyAlignment="1">
      <alignment horizontal="center" vertical="center"/>
    </xf>
    <xf numFmtId="0" fontId="21" fillId="58" borderId="69" xfId="0" applyFont="1" applyFill="1" applyBorder="1" applyAlignment="1" applyProtection="1">
      <alignment horizontal="center" vertical="center"/>
      <protection locked="0"/>
    </xf>
    <xf numFmtId="3" fontId="0" fillId="58" borderId="10" xfId="0" applyNumberFormat="1" applyFill="1" applyBorder="1" applyAlignment="1" applyProtection="1">
      <alignment horizontal="center" vertical="top"/>
      <protection locked="0"/>
    </xf>
    <xf numFmtId="3" fontId="0" fillId="58" borderId="133" xfId="0" applyNumberFormat="1" applyFill="1" applyBorder="1" applyAlignment="1" applyProtection="1">
      <alignment horizontal="center"/>
      <protection locked="0"/>
    </xf>
    <xf numFmtId="0" fontId="21" fillId="58" borderId="69" xfId="0" applyFont="1" applyFill="1" applyBorder="1" applyAlignment="1">
      <alignment horizontal="center" vertical="center"/>
    </xf>
    <xf numFmtId="3" fontId="0" fillId="58" borderId="69" xfId="0" applyNumberFormat="1" applyFill="1" applyBorder="1" applyAlignment="1" applyProtection="1">
      <alignment horizontal="center" vertical="top"/>
      <protection locked="0"/>
    </xf>
    <xf numFmtId="1" fontId="0" fillId="58" borderId="72" xfId="0" applyNumberFormat="1" applyFill="1" applyBorder="1" applyAlignment="1">
      <alignment horizontal="center"/>
    </xf>
    <xf numFmtId="0" fontId="0" fillId="58" borderId="73" xfId="0" applyFill="1" applyBorder="1" applyAlignment="1" applyProtection="1">
      <alignment horizontal="center" vertical="center"/>
      <protection locked="0"/>
    </xf>
    <xf numFmtId="1" fontId="0" fillId="58" borderId="98" xfId="0" applyNumberFormat="1" applyFill="1" applyBorder="1" applyAlignment="1">
      <alignment horizontal="center" vertical="center"/>
    </xf>
    <xf numFmtId="0" fontId="21" fillId="58" borderId="45" xfId="0" applyFont="1" applyFill="1" applyBorder="1" applyAlignment="1" applyProtection="1">
      <alignment horizontal="center" vertical="center"/>
      <protection locked="0"/>
    </xf>
    <xf numFmtId="0" fontId="21" fillId="58" borderId="45" xfId="0" applyFont="1" applyFill="1" applyBorder="1" applyAlignment="1">
      <alignment horizontal="center" vertical="center"/>
    </xf>
    <xf numFmtId="3" fontId="0" fillId="58" borderId="45" xfId="0" applyNumberFormat="1" applyFill="1" applyBorder="1" applyAlignment="1" applyProtection="1">
      <alignment horizontal="center" vertical="top"/>
      <protection locked="0"/>
    </xf>
    <xf numFmtId="1" fontId="0" fillId="58" borderId="139" xfId="0" applyNumberFormat="1" applyFill="1" applyBorder="1" applyAlignment="1">
      <alignment horizontal="center"/>
    </xf>
    <xf numFmtId="0" fontId="0" fillId="58" borderId="140" xfId="0" applyFill="1" applyBorder="1" applyAlignment="1" applyProtection="1">
      <alignment horizontal="center" vertical="center"/>
      <protection locked="0"/>
    </xf>
    <xf numFmtId="1" fontId="0" fillId="58" borderId="40" xfId="0" applyNumberFormat="1" applyFill="1" applyBorder="1" applyAlignment="1">
      <alignment horizontal="center" vertical="center"/>
    </xf>
    <xf numFmtId="49" fontId="98" fillId="35" borderId="10" xfId="0" applyNumberFormat="1" applyFont="1" applyFill="1" applyBorder="1" applyProtection="1">
      <protection locked="0"/>
    </xf>
    <xf numFmtId="0" fontId="154" fillId="35" borderId="66" xfId="0" applyFont="1" applyFill="1" applyBorder="1" applyAlignment="1">
      <alignment horizontal="center" wrapText="1"/>
    </xf>
    <xf numFmtId="0" fontId="98" fillId="35" borderId="10" xfId="0" applyFont="1" applyFill="1" applyBorder="1" applyAlignment="1">
      <alignment horizontal="center" vertical="center"/>
    </xf>
    <xf numFmtId="0" fontId="98" fillId="35" borderId="66" xfId="0" applyFont="1" applyFill="1" applyBorder="1" applyAlignment="1">
      <alignment horizontal="center" wrapText="1"/>
    </xf>
    <xf numFmtId="3" fontId="98" fillId="35" borderId="10" xfId="0" applyNumberFormat="1" applyFont="1" applyFill="1" applyBorder="1" applyAlignment="1">
      <alignment horizontal="center" vertical="center"/>
    </xf>
    <xf numFmtId="0" fontId="98" fillId="56" borderId="133" xfId="0" applyFont="1" applyFill="1" applyBorder="1"/>
    <xf numFmtId="1" fontId="98" fillId="35" borderId="10" xfId="0" applyNumberFormat="1" applyFont="1" applyFill="1" applyBorder="1" applyAlignment="1">
      <alignment horizontal="center" vertical="center"/>
    </xf>
    <xf numFmtId="0" fontId="98" fillId="35" borderId="29" xfId="0" applyFont="1" applyFill="1" applyBorder="1" applyAlignment="1" applyProtection="1">
      <alignment horizontal="center" vertical="center"/>
      <protection locked="0"/>
    </xf>
    <xf numFmtId="3" fontId="98" fillId="35" borderId="10" xfId="0" applyNumberFormat="1" applyFont="1" applyFill="1" applyBorder="1" applyAlignment="1">
      <alignment horizontal="right" vertical="center"/>
    </xf>
    <xf numFmtId="0" fontId="98" fillId="35" borderId="10" xfId="0" applyFont="1" applyFill="1" applyBorder="1" applyAlignment="1" applyProtection="1">
      <alignment horizontal="center" vertical="center"/>
      <protection locked="0"/>
    </xf>
    <xf numFmtId="49" fontId="98" fillId="35" borderId="10" xfId="0" applyNumberFormat="1" applyFont="1" applyFill="1" applyBorder="1" applyAlignment="1" applyProtection="1">
      <alignment horizontal="left"/>
      <protection locked="0"/>
    </xf>
    <xf numFmtId="3" fontId="98" fillId="35" borderId="69" xfId="0" applyNumberFormat="1" applyFont="1" applyFill="1" applyBorder="1" applyAlignment="1">
      <alignment horizontal="center" vertical="center"/>
    </xf>
    <xf numFmtId="1" fontId="98" fillId="35" borderId="69" xfId="0" applyNumberFormat="1" applyFont="1" applyFill="1" applyBorder="1" applyAlignment="1">
      <alignment horizontal="center" vertical="center"/>
    </xf>
    <xf numFmtId="10" fontId="148" fillId="0" borderId="10" xfId="0" applyNumberFormat="1" applyFont="1" applyBorder="1" applyAlignment="1">
      <alignment horizontal="center" vertical="center" wrapText="1"/>
    </xf>
    <xf numFmtId="0" fontId="0" fillId="0" borderId="0" xfId="0" applyAlignment="1">
      <alignment wrapText="1"/>
    </xf>
    <xf numFmtId="43" fontId="33" fillId="0" borderId="0" xfId="0" applyNumberFormat="1" applyFont="1" applyAlignment="1">
      <alignment horizontal="center"/>
    </xf>
    <xf numFmtId="0" fontId="80" fillId="0" borderId="0" xfId="0" applyFont="1" applyAlignment="1">
      <alignment horizontal="center"/>
    </xf>
    <xf numFmtId="0" fontId="81" fillId="0" borderId="0" xfId="0" applyFont="1" applyAlignment="1">
      <alignment horizontal="center"/>
    </xf>
    <xf numFmtId="43" fontId="85" fillId="29" borderId="0" xfId="47" applyFont="1" applyFill="1" applyAlignment="1">
      <alignment horizontal="center" vertical="center"/>
    </xf>
    <xf numFmtId="49" fontId="2" fillId="39" borderId="107" xfId="0" applyNumberFormat="1" applyFont="1" applyFill="1" applyBorder="1" applyAlignment="1" applyProtection="1">
      <alignment horizontal="center" vertical="center" wrapText="1"/>
      <protection locked="0"/>
    </xf>
    <xf numFmtId="49" fontId="2" fillId="39" borderId="108" xfId="0" applyNumberFormat="1" applyFont="1" applyFill="1" applyBorder="1" applyAlignment="1" applyProtection="1">
      <alignment horizontal="center" vertical="center" wrapText="1"/>
      <protection locked="0"/>
    </xf>
    <xf numFmtId="49" fontId="2" fillId="0" borderId="69" xfId="0" applyNumberFormat="1" applyFont="1" applyBorder="1" applyAlignment="1">
      <alignment horizontal="center" vertical="center" wrapText="1"/>
    </xf>
    <xf numFmtId="49" fontId="2" fillId="0" borderId="66" xfId="0" applyNumberFormat="1" applyFont="1" applyBorder="1" applyAlignment="1">
      <alignment horizontal="center" vertical="center" wrapText="1"/>
    </xf>
    <xf numFmtId="49" fontId="2" fillId="23" borderId="69" xfId="0" applyNumberFormat="1" applyFont="1" applyFill="1" applyBorder="1" applyAlignment="1">
      <alignment horizontal="center" vertical="center" wrapText="1"/>
    </xf>
    <xf numFmtId="49" fontId="2" fillId="23" borderId="66" xfId="0" applyNumberFormat="1" applyFont="1" applyFill="1" applyBorder="1" applyAlignment="1">
      <alignment horizontal="center" vertical="center" wrapText="1"/>
    </xf>
    <xf numFmtId="0" fontId="99" fillId="0" borderId="107" xfId="0" applyFont="1" applyBorder="1" applyAlignment="1">
      <alignment horizontal="center" vertical="center" wrapText="1"/>
    </xf>
    <xf numFmtId="0" fontId="99" fillId="0" borderId="141" xfId="0" applyFont="1" applyBorder="1" applyAlignment="1">
      <alignment horizontal="center" vertical="center" wrapText="1"/>
    </xf>
    <xf numFmtId="0" fontId="99" fillId="23" borderId="142" xfId="0" applyFont="1" applyFill="1" applyBorder="1" applyAlignment="1">
      <alignment horizontal="center" vertical="center" wrapText="1"/>
    </xf>
    <xf numFmtId="0" fontId="99" fillId="23" borderId="141" xfId="0" applyFont="1" applyFill="1" applyBorder="1" applyAlignment="1">
      <alignment horizontal="center" vertical="center" wrapText="1"/>
    </xf>
    <xf numFmtId="0" fontId="99" fillId="0" borderId="142" xfId="0" applyFont="1" applyBorder="1" applyAlignment="1">
      <alignment horizontal="center" vertical="center" wrapText="1"/>
    </xf>
    <xf numFmtId="49" fontId="2" fillId="38" borderId="107" xfId="0" applyNumberFormat="1" applyFont="1" applyFill="1" applyBorder="1" applyAlignment="1" applyProtection="1">
      <alignment horizontal="center" vertical="center" wrapText="1"/>
      <protection locked="0"/>
    </xf>
    <xf numFmtId="49" fontId="2" fillId="38" borderId="108" xfId="0" applyNumberFormat="1" applyFont="1" applyFill="1" applyBorder="1" applyAlignment="1" applyProtection="1">
      <alignment horizontal="center" vertical="center" wrapText="1"/>
      <protection locked="0"/>
    </xf>
    <xf numFmtId="49" fontId="99" fillId="37" borderId="107" xfId="0" applyNumberFormat="1" applyFont="1" applyFill="1" applyBorder="1" applyAlignment="1" applyProtection="1">
      <alignment horizontal="center" vertical="center" wrapText="1"/>
      <protection locked="0"/>
    </xf>
    <xf numFmtId="49" fontId="99" fillId="37" borderId="108" xfId="0" applyNumberFormat="1" applyFont="1" applyFill="1" applyBorder="1" applyAlignment="1" applyProtection="1">
      <alignment horizontal="center" vertical="center" wrapText="1"/>
      <protection locked="0"/>
    </xf>
    <xf numFmtId="49" fontId="0" fillId="0" borderId="29" xfId="0" applyNumberFormat="1" applyBorder="1" applyAlignment="1" applyProtection="1">
      <alignment horizontal="center"/>
      <protection locked="0"/>
    </xf>
    <xf numFmtId="49" fontId="0" fillId="0" borderId="30" xfId="0" applyNumberFormat="1" applyBorder="1" applyAlignment="1" applyProtection="1">
      <alignment horizontal="center"/>
      <protection locked="0"/>
    </xf>
    <xf numFmtId="49" fontId="0" fillId="0" borderId="31" xfId="0" applyNumberFormat="1" applyBorder="1" applyAlignment="1" applyProtection="1">
      <alignment horizontal="center"/>
      <protection locked="0"/>
    </xf>
    <xf numFmtId="0" fontId="99" fillId="21" borderId="79" xfId="0" applyFont="1" applyFill="1" applyBorder="1" applyAlignment="1" applyProtection="1">
      <alignment horizontal="center" vertical="center" wrapText="1"/>
      <protection locked="0"/>
    </xf>
    <xf numFmtId="49" fontId="2" fillId="21" borderId="109" xfId="0" applyNumberFormat="1" applyFont="1" applyFill="1" applyBorder="1" applyAlignment="1" applyProtection="1">
      <alignment horizontal="center" vertical="center" wrapText="1"/>
      <protection locked="0"/>
    </xf>
    <xf numFmtId="49" fontId="2" fillId="21" borderId="91" xfId="0" applyNumberFormat="1" applyFont="1" applyFill="1" applyBorder="1" applyAlignment="1" applyProtection="1">
      <alignment horizontal="center" vertical="center" wrapText="1"/>
      <protection locked="0"/>
    </xf>
    <xf numFmtId="0" fontId="99" fillId="27" borderId="79" xfId="0" applyFont="1" applyFill="1" applyBorder="1" applyAlignment="1" applyProtection="1">
      <alignment horizontal="center" vertical="center" wrapText="1"/>
      <protection locked="0"/>
    </xf>
    <xf numFmtId="0" fontId="65" fillId="0" borderId="0" xfId="0" applyFont="1" applyAlignment="1">
      <alignment horizontal="right"/>
    </xf>
    <xf numFmtId="0" fontId="65" fillId="0" borderId="92" xfId="0" applyFont="1" applyBorder="1" applyAlignment="1">
      <alignment horizontal="right"/>
    </xf>
    <xf numFmtId="49" fontId="2" fillId="27" borderId="109" xfId="0" applyNumberFormat="1" applyFont="1" applyFill="1" applyBorder="1" applyAlignment="1" applyProtection="1">
      <alignment horizontal="center" vertical="center" wrapText="1"/>
      <protection locked="0"/>
    </xf>
    <xf numFmtId="49" fontId="2" fillId="27" borderId="91" xfId="0" applyNumberFormat="1" applyFont="1" applyFill="1" applyBorder="1" applyAlignment="1" applyProtection="1">
      <alignment horizontal="center" vertical="center" wrapText="1"/>
      <protection locked="0"/>
    </xf>
    <xf numFmtId="0" fontId="54" fillId="0" borderId="86" xfId="0" applyFont="1" applyBorder="1" applyAlignment="1">
      <alignment horizontal="right"/>
    </xf>
    <xf numFmtId="0" fontId="0" fillId="0" borderId="114" xfId="0" applyBorder="1" applyAlignment="1">
      <alignment horizontal="center"/>
    </xf>
    <xf numFmtId="0" fontId="0" fillId="0" borderId="115" xfId="0" applyBorder="1" applyAlignment="1">
      <alignment horizontal="center"/>
    </xf>
    <xf numFmtId="0" fontId="26" fillId="0" borderId="80" xfId="0" applyFont="1" applyBorder="1" applyAlignment="1">
      <alignment horizontal="center" wrapText="1"/>
    </xf>
    <xf numFmtId="0" fontId="26" fillId="0" borderId="81" xfId="0" applyFont="1" applyBorder="1" applyAlignment="1">
      <alignment horizontal="center" wrapText="1"/>
    </xf>
    <xf numFmtId="0" fontId="26" fillId="0" borderId="82" xfId="0" applyFont="1" applyBorder="1" applyAlignment="1">
      <alignment horizontal="center" wrapText="1"/>
    </xf>
    <xf numFmtId="49" fontId="14" fillId="0" borderId="113" xfId="0" applyNumberFormat="1" applyFont="1" applyBorder="1" applyAlignment="1">
      <alignment horizontal="center"/>
    </xf>
    <xf numFmtId="49" fontId="14" fillId="0" borderId="31" xfId="0" applyNumberFormat="1" applyFont="1" applyBorder="1" applyAlignment="1">
      <alignment horizontal="center"/>
    </xf>
    <xf numFmtId="43" fontId="14" fillId="0" borderId="87" xfId="0" applyNumberFormat="1" applyFont="1" applyBorder="1" applyAlignment="1">
      <alignment horizontal="center"/>
    </xf>
    <xf numFmtId="0" fontId="14" fillId="0" borderId="88" xfId="0" applyFont="1" applyBorder="1" applyAlignment="1">
      <alignment horizontal="center"/>
    </xf>
    <xf numFmtId="0" fontId="14" fillId="0" borderId="89" xfId="0" applyFont="1" applyBorder="1" applyAlignment="1">
      <alignment horizontal="center"/>
    </xf>
    <xf numFmtId="49" fontId="14" fillId="0" borderId="111" xfId="0" applyNumberFormat="1" applyFont="1" applyBorder="1" applyAlignment="1">
      <alignment horizontal="center"/>
    </xf>
    <xf numFmtId="49" fontId="14" fillId="0" borderId="112" xfId="0" applyNumberFormat="1" applyFont="1" applyBorder="1" applyAlignment="1">
      <alignment horizontal="center"/>
    </xf>
    <xf numFmtId="0" fontId="65" fillId="0" borderId="35" xfId="0" applyFont="1" applyBorder="1" applyAlignment="1">
      <alignment horizontal="right"/>
    </xf>
    <xf numFmtId="0" fontId="0" fillId="21" borderId="29" xfId="0" applyFill="1" applyBorder="1" applyAlignment="1">
      <alignment horizontal="center"/>
    </xf>
    <xf numFmtId="0" fontId="0" fillId="21" borderId="31" xfId="0" applyFill="1" applyBorder="1" applyAlignment="1">
      <alignment horizontal="center"/>
    </xf>
    <xf numFmtId="49" fontId="0" fillId="0" borderId="10" xfId="0" applyNumberFormat="1" applyBorder="1" applyAlignment="1" applyProtection="1">
      <alignment horizontal="center"/>
      <protection locked="0"/>
    </xf>
    <xf numFmtId="43" fontId="42" fillId="29" borderId="0" xfId="38" applyFont="1" applyFill="1" applyAlignment="1">
      <alignment horizontal="center" vertical="center"/>
    </xf>
    <xf numFmtId="3" fontId="0" fillId="0" borderId="29" xfId="0" applyNumberFormat="1" applyBorder="1" applyAlignment="1" applyProtection="1">
      <alignment horizontal="center" vertical="top" wrapText="1"/>
      <protection locked="0"/>
    </xf>
    <xf numFmtId="3" fontId="0" fillId="0" borderId="31" xfId="0" applyNumberFormat="1" applyBorder="1" applyAlignment="1" applyProtection="1">
      <alignment horizontal="center" vertical="top" wrapText="1"/>
      <protection locked="0"/>
    </xf>
    <xf numFmtId="15" fontId="0" fillId="0" borderId="10" xfId="55" applyNumberFormat="1" applyFont="1" applyFill="1" applyBorder="1" applyAlignment="1" applyProtection="1">
      <alignment horizontal="center"/>
      <protection locked="0"/>
    </xf>
    <xf numFmtId="15" fontId="86" fillId="0" borderId="10" xfId="55" applyNumberFormat="1" applyFill="1" applyBorder="1" applyAlignment="1" applyProtection="1">
      <alignment horizontal="center"/>
      <protection locked="0"/>
    </xf>
    <xf numFmtId="49" fontId="94" fillId="0" borderId="10" xfId="0" applyNumberFormat="1" applyFont="1" applyBorder="1" applyAlignment="1" applyProtection="1">
      <alignment horizontal="center"/>
      <protection locked="0"/>
    </xf>
    <xf numFmtId="43" fontId="15" fillId="31" borderId="10" xfId="55" applyFont="1" applyFill="1" applyBorder="1" applyAlignment="1" applyProtection="1">
      <alignment horizontal="center"/>
      <protection locked="0"/>
    </xf>
    <xf numFmtId="0" fontId="2" fillId="0" borderId="130" xfId="0" applyFont="1" applyBorder="1" applyAlignment="1">
      <alignment horizontal="center" vertical="center" wrapText="1"/>
    </xf>
    <xf numFmtId="0" fontId="2" fillId="0" borderId="132"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116" xfId="0" applyFont="1" applyBorder="1" applyAlignment="1">
      <alignment horizontal="center" vertical="center" wrapText="1"/>
    </xf>
    <xf numFmtId="0" fontId="2" fillId="23" borderId="109" xfId="0" applyFont="1" applyFill="1" applyBorder="1" applyAlignment="1">
      <alignment horizontal="center" vertical="center" wrapText="1"/>
    </xf>
    <xf numFmtId="0" fontId="2" fillId="23" borderId="91" xfId="0" applyFont="1" applyFill="1" applyBorder="1" applyAlignment="1">
      <alignment horizontal="center" vertical="center" wrapText="1"/>
    </xf>
    <xf numFmtId="0" fontId="2" fillId="0" borderId="131" xfId="0" applyFont="1" applyBorder="1" applyAlignment="1">
      <alignment horizontal="center" vertical="center" wrapText="1"/>
    </xf>
    <xf numFmtId="0" fontId="2" fillId="0" borderId="91" xfId="0" applyFont="1" applyBorder="1" applyAlignment="1">
      <alignment horizontal="center" vertical="center" wrapText="1"/>
    </xf>
    <xf numFmtId="0" fontId="99" fillId="27" borderId="107" xfId="0" applyFont="1" applyFill="1" applyBorder="1" applyAlignment="1" applyProtection="1">
      <alignment horizontal="center" vertical="center" wrapText="1"/>
      <protection locked="0"/>
    </xf>
    <xf numFmtId="0" fontId="99" fillId="27" borderId="108" xfId="0" applyFont="1" applyFill="1" applyBorder="1" applyAlignment="1" applyProtection="1">
      <alignment horizontal="center" vertical="center" wrapText="1"/>
      <protection locked="0"/>
    </xf>
    <xf numFmtId="0" fontId="2" fillId="23" borderId="130" xfId="0" applyFont="1" applyFill="1" applyBorder="1" applyAlignment="1">
      <alignment horizontal="center" vertical="center" wrapText="1"/>
    </xf>
    <xf numFmtId="0" fontId="2" fillId="23" borderId="131" xfId="0" applyFont="1" applyFill="1" applyBorder="1" applyAlignment="1">
      <alignment horizontal="center" vertical="center" wrapText="1"/>
    </xf>
    <xf numFmtId="0" fontId="0" fillId="30" borderId="80" xfId="0" applyFill="1" applyBorder="1" applyAlignment="1">
      <alignment horizontal="center"/>
    </xf>
    <xf numFmtId="0" fontId="0" fillId="30" borderId="81" xfId="0" applyFill="1" applyBorder="1" applyAlignment="1">
      <alignment horizontal="center"/>
    </xf>
    <xf numFmtId="0" fontId="0" fillId="30" borderId="82" xfId="0" applyFill="1" applyBorder="1" applyAlignment="1">
      <alignment horizontal="center"/>
    </xf>
    <xf numFmtId="49" fontId="99" fillId="21" borderId="31" xfId="0" applyNumberFormat="1" applyFont="1" applyFill="1" applyBorder="1" applyAlignment="1" applyProtection="1">
      <alignment horizontal="center" vertical="center" wrapText="1"/>
      <protection locked="0"/>
    </xf>
    <xf numFmtId="49" fontId="99" fillId="27" borderId="31" xfId="0" applyNumberFormat="1" applyFont="1" applyFill="1" applyBorder="1" applyAlignment="1" applyProtection="1">
      <alignment horizontal="center" vertical="center" wrapText="1"/>
      <protection locked="0"/>
    </xf>
    <xf numFmtId="0" fontId="99" fillId="0" borderId="79" xfId="0" applyFont="1" applyBorder="1" applyAlignment="1">
      <alignment horizontal="center" vertical="center" wrapText="1"/>
    </xf>
    <xf numFmtId="0" fontId="99" fillId="23" borderId="79" xfId="0" applyFont="1" applyFill="1" applyBorder="1" applyAlignment="1">
      <alignment horizontal="center" vertical="center" wrapText="1"/>
    </xf>
    <xf numFmtId="0" fontId="99" fillId="23" borderId="31" xfId="0" applyFont="1" applyFill="1" applyBorder="1" applyAlignment="1">
      <alignment horizontal="center" vertical="center" wrapText="1"/>
    </xf>
    <xf numFmtId="0" fontId="99" fillId="0" borderId="84" xfId="0" applyFont="1" applyBorder="1" applyAlignment="1">
      <alignment horizontal="center" vertical="center" wrapText="1"/>
    </xf>
    <xf numFmtId="0" fontId="99" fillId="0" borderId="31" xfId="0" applyFont="1" applyBorder="1" applyAlignment="1">
      <alignment horizontal="center" vertical="center" wrapText="1"/>
    </xf>
    <xf numFmtId="0" fontId="99" fillId="0" borderId="85" xfId="0" applyFont="1" applyBorder="1" applyAlignment="1">
      <alignment horizontal="center" vertical="center" wrapText="1"/>
    </xf>
    <xf numFmtId="9" fontId="33" fillId="0" borderId="76" xfId="59" applyFont="1" applyFill="1" applyBorder="1" applyAlignment="1" applyProtection="1">
      <alignment horizontal="center" vertical="center"/>
    </xf>
    <xf numFmtId="9" fontId="33" fillId="0" borderId="77" xfId="59" applyFont="1" applyFill="1" applyBorder="1" applyAlignment="1" applyProtection="1">
      <alignment horizontal="center" vertical="center"/>
    </xf>
    <xf numFmtId="9" fontId="33" fillId="0" borderId="78" xfId="59" applyFont="1" applyFill="1" applyBorder="1" applyAlignment="1" applyProtection="1">
      <alignment horizontal="center" vertical="center"/>
    </xf>
    <xf numFmtId="0" fontId="91" fillId="0" borderId="127" xfId="0" applyFont="1" applyBorder="1" applyAlignment="1">
      <alignment horizontal="center" vertical="center" wrapText="1"/>
    </xf>
    <xf numFmtId="0" fontId="91" fillId="0" borderId="128" xfId="0" applyFont="1" applyBorder="1" applyAlignment="1">
      <alignment horizontal="center" vertical="center" wrapText="1"/>
    </xf>
    <xf numFmtId="0" fontId="103" fillId="40" borderId="123" xfId="0" applyFont="1" applyFill="1" applyBorder="1" applyAlignment="1" applyProtection="1">
      <alignment horizontal="center" vertical="center"/>
      <protection locked="0"/>
    </xf>
    <xf numFmtId="0" fontId="103" fillId="40" borderId="41" xfId="0" applyFont="1" applyFill="1" applyBorder="1" applyAlignment="1" applyProtection="1">
      <alignment horizontal="center" vertical="center"/>
      <protection locked="0"/>
    </xf>
    <xf numFmtId="0" fontId="103" fillId="40" borderId="73" xfId="0" applyFont="1" applyFill="1" applyBorder="1" applyAlignment="1">
      <alignment horizontal="center" vertical="center"/>
    </xf>
    <xf numFmtId="0" fontId="103" fillId="40" borderId="92" xfId="0" applyFont="1" applyFill="1" applyBorder="1" applyAlignment="1">
      <alignment horizontal="center" vertical="center"/>
    </xf>
    <xf numFmtId="49" fontId="99" fillId="37" borderId="107" xfId="0" applyNumberFormat="1" applyFont="1" applyFill="1" applyBorder="1" applyAlignment="1" applyProtection="1">
      <alignment horizontal="left" vertical="center" wrapText="1"/>
      <protection locked="0"/>
    </xf>
    <xf numFmtId="49" fontId="99" fillId="37" borderId="108" xfId="0" applyNumberFormat="1" applyFont="1" applyFill="1" applyBorder="1" applyAlignment="1" applyProtection="1">
      <alignment horizontal="left" vertical="center" wrapText="1"/>
      <protection locked="0"/>
    </xf>
    <xf numFmtId="0" fontId="99" fillId="21" borderId="83" xfId="0" applyFont="1" applyFill="1" applyBorder="1" applyAlignment="1" applyProtection="1">
      <alignment horizontal="center" vertical="center" wrapText="1"/>
      <protection locked="0"/>
    </xf>
    <xf numFmtId="0" fontId="43" fillId="0" borderId="29" xfId="0" applyFont="1" applyBorder="1" applyAlignment="1" applyProtection="1">
      <alignment horizontal="justify" vertical="top" wrapText="1"/>
      <protection locked="0"/>
    </xf>
    <xf numFmtId="0" fontId="0" fillId="0" borderId="30" xfId="0" applyBorder="1" applyAlignment="1">
      <alignment horizontal="justify" vertical="top" wrapText="1"/>
    </xf>
    <xf numFmtId="0" fontId="0" fillId="0" borderId="31" xfId="0" applyBorder="1" applyAlignment="1">
      <alignment horizontal="justify" vertical="top" wrapText="1"/>
    </xf>
    <xf numFmtId="0" fontId="43" fillId="0" borderId="29" xfId="0" applyFont="1" applyBorder="1" applyAlignment="1" applyProtection="1">
      <alignment horizontal="left" vertical="top" wrapText="1"/>
      <protection locked="0"/>
    </xf>
    <xf numFmtId="0" fontId="0" fillId="0" borderId="30" xfId="0" applyBorder="1" applyAlignment="1">
      <alignment horizontal="left" vertical="top" wrapText="1"/>
    </xf>
    <xf numFmtId="0" fontId="0" fillId="0" borderId="31" xfId="0" applyBorder="1" applyAlignment="1">
      <alignment horizontal="left" vertical="top" wrapText="1"/>
    </xf>
    <xf numFmtId="0" fontId="84" fillId="34" borderId="10" xfId="0" applyFont="1" applyFill="1" applyBorder="1" applyAlignment="1">
      <alignment vertical="top" wrapText="1"/>
    </xf>
    <xf numFmtId="0" fontId="146" fillId="0" borderId="29" xfId="0" applyFont="1" applyBorder="1" applyAlignment="1" applyProtection="1">
      <alignment horizontal="justify" vertical="top" wrapText="1"/>
      <protection locked="0"/>
    </xf>
    <xf numFmtId="0" fontId="147" fillId="0" borderId="30" xfId="0" applyFont="1" applyBorder="1" applyAlignment="1" applyProtection="1">
      <alignment horizontal="justify" vertical="top" wrapText="1"/>
      <protection locked="0"/>
    </xf>
    <xf numFmtId="0" fontId="147" fillId="0" borderId="31" xfId="0" applyFont="1" applyBorder="1" applyAlignment="1" applyProtection="1">
      <alignment horizontal="justify" vertical="top" wrapText="1"/>
      <protection locked="0"/>
    </xf>
    <xf numFmtId="0" fontId="43" fillId="0" borderId="30" xfId="0" applyFont="1" applyBorder="1" applyAlignment="1" applyProtection="1">
      <alignment horizontal="left" vertical="top" wrapText="1"/>
      <protection locked="0"/>
    </xf>
    <xf numFmtId="0" fontId="43" fillId="0" borderId="31" xfId="0" applyFont="1" applyBorder="1" applyAlignment="1" applyProtection="1">
      <alignment horizontal="left" vertical="top" wrapText="1"/>
      <protection locked="0"/>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24" fillId="21" borderId="29" xfId="0" applyFont="1" applyFill="1" applyBorder="1" applyAlignment="1">
      <alignment horizontal="center" vertical="top"/>
    </xf>
    <xf numFmtId="0" fontId="24" fillId="21" borderId="30" xfId="0" applyFont="1" applyFill="1" applyBorder="1" applyAlignment="1">
      <alignment horizontal="center" vertical="top"/>
    </xf>
    <xf numFmtId="0" fontId="24" fillId="21" borderId="31" xfId="0" applyFont="1" applyFill="1" applyBorder="1" applyAlignment="1">
      <alignment horizontal="center" vertical="top"/>
    </xf>
    <xf numFmtId="0" fontId="24" fillId="21" borderId="29" xfId="0" applyFont="1" applyFill="1" applyBorder="1" applyAlignment="1">
      <alignment horizontal="center" vertical="top" wrapText="1"/>
    </xf>
    <xf numFmtId="0" fontId="24" fillId="21" borderId="30" xfId="0" applyFont="1" applyFill="1" applyBorder="1" applyAlignment="1">
      <alignment horizontal="center" vertical="top" wrapText="1"/>
    </xf>
    <xf numFmtId="0" fontId="24" fillId="21" borderId="31" xfId="0" applyFont="1" applyFill="1" applyBorder="1" applyAlignment="1">
      <alignment horizontal="center" vertical="top" wrapText="1"/>
    </xf>
    <xf numFmtId="0" fontId="64" fillId="0" borderId="29" xfId="0" applyFont="1" applyBorder="1" applyAlignment="1" applyProtection="1">
      <alignment vertical="top" wrapText="1"/>
      <protection locked="0"/>
    </xf>
    <xf numFmtId="0" fontId="0" fillId="0" borderId="30" xfId="0" applyBorder="1" applyAlignment="1">
      <alignment vertical="top" wrapText="1"/>
    </xf>
    <xf numFmtId="0" fontId="0" fillId="0" borderId="31" xfId="0" applyBorder="1" applyAlignment="1">
      <alignment vertical="top" wrapText="1"/>
    </xf>
    <xf numFmtId="0" fontId="24" fillId="0" borderId="29" xfId="0" applyFont="1" applyBorder="1" applyAlignment="1">
      <alignment horizontal="center" vertical="top" wrapText="1"/>
    </xf>
    <xf numFmtId="0" fontId="24" fillId="0" borderId="30" xfId="0" applyFont="1" applyBorder="1" applyAlignment="1">
      <alignment horizontal="center" vertical="top" wrapText="1"/>
    </xf>
    <xf numFmtId="0" fontId="24" fillId="0" borderId="31" xfId="0" applyFont="1" applyBorder="1" applyAlignment="1">
      <alignment horizontal="center" vertical="top" wrapText="1"/>
    </xf>
    <xf numFmtId="0" fontId="64" fillId="0" borderId="30" xfId="0" applyFont="1" applyBorder="1" applyAlignment="1" applyProtection="1">
      <alignment vertical="top" wrapText="1"/>
      <protection locked="0"/>
    </xf>
    <xf numFmtId="0" fontId="64" fillId="0" borderId="31" xfId="0" applyFont="1" applyBorder="1" applyAlignment="1" applyProtection="1">
      <alignment vertical="top" wrapText="1"/>
      <protection locked="0"/>
    </xf>
    <xf numFmtId="0" fontId="59" fillId="0" borderId="30" xfId="0" applyFont="1" applyBorder="1" applyAlignment="1" applyProtection="1">
      <alignment horizontal="justify" vertical="top" wrapText="1"/>
      <protection locked="0"/>
    </xf>
    <xf numFmtId="0" fontId="59" fillId="0" borderId="31" xfId="0" applyFont="1" applyBorder="1" applyAlignment="1" applyProtection="1">
      <alignment horizontal="justify" vertical="top" wrapText="1"/>
      <protection locked="0"/>
    </xf>
    <xf numFmtId="0" fontId="145" fillId="34" borderId="29" xfId="0" applyFont="1" applyFill="1" applyBorder="1" applyAlignment="1">
      <alignment vertical="top" wrapText="1"/>
    </xf>
    <xf numFmtId="0" fontId="145" fillId="34" borderId="30" xfId="0" applyFont="1" applyFill="1" applyBorder="1" applyAlignment="1">
      <alignment vertical="top" wrapText="1"/>
    </xf>
    <xf numFmtId="0" fontId="145" fillId="34" borderId="31" xfId="0" applyFont="1" applyFill="1" applyBorder="1" applyAlignment="1">
      <alignment vertical="top" wrapText="1"/>
    </xf>
    <xf numFmtId="0" fontId="43" fillId="0" borderId="30" xfId="0" applyFont="1" applyBorder="1" applyAlignment="1" applyProtection="1">
      <alignment horizontal="justify" vertical="top" wrapText="1"/>
      <protection locked="0"/>
    </xf>
    <xf numFmtId="0" fontId="43" fillId="0" borderId="31" xfId="0" applyFont="1" applyBorder="1" applyAlignment="1" applyProtection="1">
      <alignment horizontal="justify" vertical="top" wrapText="1"/>
      <protection locked="0"/>
    </xf>
    <xf numFmtId="0" fontId="84" fillId="34" borderId="29" xfId="0" applyFont="1" applyFill="1" applyBorder="1" applyAlignment="1">
      <alignment horizontal="left" vertical="top" wrapText="1"/>
    </xf>
    <xf numFmtId="0" fontId="84" fillId="34" borderId="30" xfId="0" applyFont="1" applyFill="1" applyBorder="1" applyAlignment="1">
      <alignment horizontal="left" vertical="top" wrapText="1"/>
    </xf>
    <xf numFmtId="0" fontId="84" fillId="34" borderId="31" xfId="0" applyFont="1" applyFill="1" applyBorder="1" applyAlignment="1">
      <alignment horizontal="left" vertical="top" wrapText="1"/>
    </xf>
    <xf numFmtId="0" fontId="145" fillId="34" borderId="29" xfId="0" applyFont="1" applyFill="1" applyBorder="1" applyAlignment="1">
      <alignment horizontal="left" vertical="top" wrapText="1"/>
    </xf>
    <xf numFmtId="0" fontId="145" fillId="34" borderId="30" xfId="0" applyFont="1" applyFill="1" applyBorder="1" applyAlignment="1">
      <alignment horizontal="left" vertical="top" wrapText="1"/>
    </xf>
    <xf numFmtId="0" fontId="145" fillId="34" borderId="31" xfId="0" applyFont="1" applyFill="1" applyBorder="1" applyAlignment="1">
      <alignment horizontal="left" vertical="top" wrapText="1"/>
    </xf>
    <xf numFmtId="0" fontId="144" fillId="34" borderId="29" xfId="0" applyFont="1" applyFill="1" applyBorder="1" applyAlignment="1" applyProtection="1">
      <alignment horizontal="left" vertical="top" wrapText="1"/>
      <protection locked="0"/>
    </xf>
    <xf numFmtId="0" fontId="144" fillId="34" borderId="30" xfId="0" applyFont="1" applyFill="1" applyBorder="1" applyAlignment="1" applyProtection="1">
      <alignment horizontal="left" vertical="top" wrapText="1"/>
      <protection locked="0"/>
    </xf>
    <xf numFmtId="0" fontId="144" fillId="34" borderId="31" xfId="0" applyFont="1" applyFill="1" applyBorder="1" applyAlignment="1" applyProtection="1">
      <alignment horizontal="left" vertical="top" wrapText="1"/>
      <protection locked="0"/>
    </xf>
    <xf numFmtId="0" fontId="59" fillId="0" borderId="29" xfId="0" applyFont="1" applyBorder="1" applyAlignment="1" applyProtection="1">
      <alignment horizontal="left" vertical="top" wrapText="1"/>
      <protection locked="0"/>
    </xf>
    <xf numFmtId="0" fontId="59" fillId="0" borderId="30" xfId="0" applyFont="1" applyBorder="1" applyAlignment="1" applyProtection="1">
      <alignment horizontal="left" vertical="top" wrapText="1"/>
      <protection locked="0"/>
    </xf>
    <xf numFmtId="0" fontId="59" fillId="0" borderId="31" xfId="0" applyFont="1" applyBorder="1" applyAlignment="1" applyProtection="1">
      <alignment horizontal="left" vertical="top" wrapText="1"/>
      <protection locked="0"/>
    </xf>
    <xf numFmtId="0" fontId="144" fillId="0" borderId="29" xfId="0" applyFont="1" applyBorder="1" applyAlignment="1" applyProtection="1">
      <alignment horizontal="left" vertical="top" wrapText="1"/>
      <protection locked="0"/>
    </xf>
    <xf numFmtId="0" fontId="144" fillId="0" borderId="30" xfId="0" applyFont="1" applyBorder="1" applyAlignment="1" applyProtection="1">
      <alignment horizontal="left" vertical="top" wrapText="1"/>
      <protection locked="0"/>
    </xf>
    <xf numFmtId="0" fontId="144" fillId="0" borderId="31" xfId="0" applyFont="1" applyBorder="1" applyAlignment="1" applyProtection="1">
      <alignment horizontal="left" vertical="top" wrapText="1"/>
      <protection locked="0"/>
    </xf>
    <xf numFmtId="0" fontId="43" fillId="0" borderId="29" xfId="0" applyFont="1" applyBorder="1" applyAlignment="1">
      <alignment horizontal="left" vertical="top" wrapText="1"/>
    </xf>
    <xf numFmtId="0" fontId="43" fillId="0" borderId="30" xfId="0" applyFont="1" applyBorder="1" applyAlignment="1">
      <alignment horizontal="left" vertical="top" wrapText="1"/>
    </xf>
    <xf numFmtId="0" fontId="43" fillId="0" borderId="31" xfId="0" applyFont="1" applyBorder="1" applyAlignment="1">
      <alignment horizontal="left" vertical="top" wrapText="1"/>
    </xf>
    <xf numFmtId="43" fontId="58" fillId="0" borderId="29" xfId="0" applyNumberFormat="1" applyFont="1" applyBorder="1" applyAlignment="1">
      <alignment vertical="top" wrapText="1"/>
    </xf>
    <xf numFmtId="0" fontId="58" fillId="0" borderId="30" xfId="0" applyFont="1" applyBorder="1" applyAlignment="1">
      <alignment vertical="top" wrapText="1"/>
    </xf>
    <xf numFmtId="0" fontId="58" fillId="0" borderId="31" xfId="0" applyFont="1" applyBorder="1" applyAlignment="1">
      <alignment vertical="top" wrapText="1"/>
    </xf>
    <xf numFmtId="0" fontId="59" fillId="0" borderId="29" xfId="0" applyFont="1" applyBorder="1" applyAlignment="1">
      <alignment horizontal="left" vertical="top" wrapText="1"/>
    </xf>
    <xf numFmtId="0" fontId="59" fillId="0" borderId="30" xfId="0" applyFont="1" applyBorder="1" applyAlignment="1">
      <alignment horizontal="left" vertical="top" wrapText="1"/>
    </xf>
    <xf numFmtId="0" fontId="59" fillId="0" borderId="31" xfId="0" applyFont="1" applyBorder="1" applyAlignment="1">
      <alignment horizontal="left" vertical="top" wrapText="1"/>
    </xf>
    <xf numFmtId="0" fontId="77" fillId="0" borderId="29" xfId="0" applyFont="1" applyBorder="1" applyAlignment="1">
      <alignment horizontal="left" vertical="top" wrapText="1"/>
    </xf>
    <xf numFmtId="0" fontId="77" fillId="0" borderId="30" xfId="0" applyFont="1" applyBorder="1" applyAlignment="1">
      <alignment horizontal="left" vertical="top" wrapText="1"/>
    </xf>
    <xf numFmtId="0" fontId="77" fillId="0" borderId="31" xfId="0" applyFont="1" applyBorder="1" applyAlignment="1">
      <alignment horizontal="left" vertical="top" wrapText="1"/>
    </xf>
    <xf numFmtId="0" fontId="59" fillId="0" borderId="67" xfId="0" applyFont="1" applyBorder="1" applyAlignment="1">
      <alignment horizontal="justify" vertical="top" wrapText="1"/>
    </xf>
    <xf numFmtId="0" fontId="59" fillId="0" borderId="74" xfId="0" applyFont="1" applyBorder="1" applyAlignment="1">
      <alignment horizontal="justify" vertical="top" wrapText="1"/>
    </xf>
    <xf numFmtId="0" fontId="59" fillId="0" borderId="75" xfId="0" applyFont="1" applyBorder="1" applyAlignment="1">
      <alignment horizontal="justify" vertical="top" wrapText="1"/>
    </xf>
    <xf numFmtId="43" fontId="58" fillId="0" borderId="29" xfId="0" applyNumberFormat="1" applyFont="1" applyBorder="1" applyAlignment="1">
      <alignment horizontal="left" vertical="top" wrapText="1"/>
    </xf>
    <xf numFmtId="0" fontId="58" fillId="0" borderId="30" xfId="0" applyFont="1" applyBorder="1" applyAlignment="1">
      <alignment horizontal="left" vertical="top" wrapText="1"/>
    </xf>
    <xf numFmtId="0" fontId="58" fillId="0" borderId="31" xfId="0" applyFont="1" applyBorder="1" applyAlignment="1">
      <alignment horizontal="left" vertical="top" wrapText="1"/>
    </xf>
    <xf numFmtId="43" fontId="58" fillId="0" borderId="72" xfId="0" applyNumberFormat="1" applyFont="1" applyBorder="1" applyAlignment="1">
      <alignment vertical="top" wrapText="1"/>
    </xf>
    <xf numFmtId="0" fontId="58" fillId="0" borderId="118" xfId="0" applyFont="1" applyBorder="1" applyAlignment="1">
      <alignment vertical="top" wrapText="1"/>
    </xf>
    <xf numFmtId="0" fontId="58" fillId="0" borderId="73" xfId="0" applyFont="1" applyBorder="1" applyAlignment="1">
      <alignment vertical="top" wrapText="1"/>
    </xf>
    <xf numFmtId="0" fontId="58" fillId="0" borderId="67" xfId="0" applyFont="1" applyBorder="1" applyAlignment="1">
      <alignment vertical="top" wrapText="1"/>
    </xf>
    <xf numFmtId="0" fontId="58" fillId="0" borderId="74" xfId="0" applyFont="1" applyBorder="1" applyAlignment="1">
      <alignment vertical="top" wrapText="1"/>
    </xf>
    <xf numFmtId="0" fontId="58" fillId="0" borderId="75" xfId="0" applyFont="1" applyBorder="1" applyAlignment="1">
      <alignment vertical="top" wrapText="1"/>
    </xf>
    <xf numFmtId="0" fontId="59" fillId="0" borderId="29" xfId="0" applyFont="1" applyBorder="1" applyAlignment="1" applyProtection="1">
      <alignment vertical="top" wrapText="1"/>
      <protection locked="0"/>
    </xf>
    <xf numFmtId="0" fontId="59" fillId="0" borderId="30" xfId="0" applyFont="1" applyBorder="1" applyAlignment="1" applyProtection="1">
      <alignment vertical="top" wrapText="1"/>
      <protection locked="0"/>
    </xf>
    <xf numFmtId="0" fontId="59" fillId="0" borderId="31" xfId="0" applyFont="1" applyBorder="1" applyAlignment="1" applyProtection="1">
      <alignment vertical="top" wrapText="1"/>
      <protection locked="0"/>
    </xf>
    <xf numFmtId="0" fontId="43" fillId="0" borderId="72" xfId="0" applyFont="1" applyBorder="1" applyAlignment="1">
      <alignment horizontal="justify" vertical="top" wrapText="1"/>
    </xf>
    <xf numFmtId="0" fontId="43" fillId="0" borderId="118" xfId="0" applyFont="1" applyBorder="1" applyAlignment="1">
      <alignment horizontal="justify" vertical="top" wrapText="1"/>
    </xf>
    <xf numFmtId="0" fontId="43" fillId="0" borderId="73" xfId="0" applyFont="1" applyBorder="1" applyAlignment="1">
      <alignment horizontal="justify" vertical="top" wrapText="1"/>
    </xf>
    <xf numFmtId="0" fontId="56" fillId="0" borderId="0" xfId="0" applyFont="1" applyAlignment="1">
      <alignment horizontal="center"/>
    </xf>
    <xf numFmtId="0" fontId="14" fillId="21" borderId="29" xfId="0" applyFont="1" applyFill="1" applyBorder="1" applyAlignment="1">
      <alignment horizontal="center" vertical="center" wrapText="1"/>
    </xf>
    <xf numFmtId="0" fontId="14" fillId="21" borderId="30" xfId="0" applyFont="1" applyFill="1" applyBorder="1" applyAlignment="1">
      <alignment horizontal="center" vertical="center"/>
    </xf>
    <xf numFmtId="0" fontId="14" fillId="21" borderId="31" xfId="0" applyFont="1" applyFill="1" applyBorder="1" applyAlignment="1">
      <alignment horizontal="center" vertical="center"/>
    </xf>
    <xf numFmtId="0" fontId="24" fillId="21" borderId="29" xfId="0" applyFont="1" applyFill="1" applyBorder="1" applyAlignment="1">
      <alignment horizontal="center" vertical="center"/>
    </xf>
    <xf numFmtId="0" fontId="24" fillId="21" borderId="30" xfId="0" applyFont="1" applyFill="1" applyBorder="1" applyAlignment="1">
      <alignment horizontal="center" vertical="center"/>
    </xf>
    <xf numFmtId="0" fontId="24" fillId="21" borderId="31" xfId="0" applyFont="1" applyFill="1" applyBorder="1" applyAlignment="1">
      <alignment horizontal="center" vertical="center"/>
    </xf>
    <xf numFmtId="0" fontId="57" fillId="24" borderId="29" xfId="0" applyFont="1" applyFill="1" applyBorder="1" applyAlignment="1">
      <alignment horizontal="center" vertical="top"/>
    </xf>
    <xf numFmtId="0" fontId="57" fillId="24" borderId="30" xfId="0" applyFont="1" applyFill="1" applyBorder="1" applyAlignment="1">
      <alignment horizontal="center" vertical="top"/>
    </xf>
    <xf numFmtId="0" fontId="57" fillId="24" borderId="31" xfId="0" applyFont="1" applyFill="1" applyBorder="1" applyAlignment="1">
      <alignment horizontal="center" vertical="top"/>
    </xf>
    <xf numFmtId="0" fontId="56" fillId="0" borderId="0" xfId="0" applyFont="1" applyAlignment="1">
      <alignment horizontal="center" vertical="top"/>
    </xf>
    <xf numFmtId="0" fontId="43" fillId="0" borderId="29" xfId="0" applyFont="1" applyBorder="1" applyAlignment="1">
      <alignment vertical="top" wrapText="1"/>
    </xf>
    <xf numFmtId="0" fontId="43" fillId="0" borderId="30" xfId="0" applyFont="1" applyBorder="1" applyAlignment="1">
      <alignment vertical="top" wrapText="1"/>
    </xf>
    <xf numFmtId="0" fontId="43" fillId="0" borderId="31" xfId="0" applyFont="1" applyBorder="1" applyAlignment="1">
      <alignment vertical="top" wrapText="1"/>
    </xf>
    <xf numFmtId="0" fontId="0" fillId="0" borderId="118" xfId="0" applyBorder="1" applyAlignment="1">
      <alignment horizontal="center" vertical="top" wrapText="1"/>
    </xf>
    <xf numFmtId="0" fontId="0" fillId="0" borderId="0" xfId="0" applyAlignment="1">
      <alignment horizontal="center" vertical="top" wrapText="1"/>
    </xf>
    <xf numFmtId="43" fontId="17" fillId="29" borderId="0" xfId="46" applyFont="1" applyFill="1" applyAlignment="1">
      <alignment horizontal="center" vertical="center"/>
    </xf>
    <xf numFmtId="0" fontId="57" fillId="25" borderId="29" xfId="0" applyFont="1" applyFill="1" applyBorder="1" applyAlignment="1">
      <alignment horizontal="center"/>
    </xf>
    <xf numFmtId="0" fontId="57" fillId="25" borderId="30" xfId="0" applyFont="1" applyFill="1" applyBorder="1" applyAlignment="1">
      <alignment horizontal="center"/>
    </xf>
    <xf numFmtId="0" fontId="57" fillId="25" borderId="31" xfId="0" applyFont="1" applyFill="1" applyBorder="1" applyAlignment="1">
      <alignment horizontal="center"/>
    </xf>
    <xf numFmtId="9" fontId="59" fillId="0" borderId="29" xfId="59" applyFont="1" applyBorder="1" applyAlignment="1">
      <alignment horizontal="left" vertical="top" wrapText="1"/>
    </xf>
    <xf numFmtId="9" fontId="59" fillId="0" borderId="30" xfId="59" applyFont="1" applyBorder="1" applyAlignment="1">
      <alignment horizontal="left" vertical="top" wrapText="1"/>
    </xf>
    <xf numFmtId="9" fontId="59" fillId="0" borderId="31" xfId="59" applyFont="1" applyBorder="1" applyAlignment="1">
      <alignment horizontal="left" vertical="top" wrapText="1"/>
    </xf>
    <xf numFmtId="0" fontId="58" fillId="0" borderId="30" xfId="0" applyFont="1" applyBorder="1" applyAlignment="1">
      <alignment horizontal="left" vertical="top"/>
    </xf>
    <xf numFmtId="0" fontId="58" fillId="0" borderId="31" xfId="0" applyFont="1" applyBorder="1" applyAlignment="1">
      <alignment horizontal="left" vertical="top"/>
    </xf>
    <xf numFmtId="0" fontId="58" fillId="0" borderId="30" xfId="0" applyFont="1" applyBorder="1" applyAlignment="1">
      <alignment vertical="top"/>
    </xf>
    <xf numFmtId="0" fontId="58" fillId="0" borderId="31" xfId="0" applyFont="1" applyBorder="1" applyAlignment="1">
      <alignment vertical="top"/>
    </xf>
    <xf numFmtId="0" fontId="0" fillId="0" borderId="0" xfId="0" applyAlignment="1">
      <alignment horizontal="center" vertical="top"/>
    </xf>
    <xf numFmtId="0" fontId="0" fillId="0" borderId="118" xfId="0" applyBorder="1" applyAlignment="1">
      <alignment horizontal="center" vertical="top"/>
    </xf>
    <xf numFmtId="0" fontId="43" fillId="0" borderId="72" xfId="0" applyFont="1" applyBorder="1" applyAlignment="1">
      <alignment horizontal="left" vertical="top" wrapText="1"/>
    </xf>
    <xf numFmtId="0" fontId="43" fillId="0" borderId="118" xfId="0" applyFont="1" applyBorder="1" applyAlignment="1">
      <alignment horizontal="left" vertical="top" wrapText="1"/>
    </xf>
    <xf numFmtId="0" fontId="43" fillId="0" borderId="73" xfId="0" applyFont="1" applyBorder="1" applyAlignment="1">
      <alignment horizontal="left" vertical="top" wrapText="1"/>
    </xf>
    <xf numFmtId="0" fontId="43" fillId="0" borderId="67" xfId="0" applyFont="1" applyBorder="1" applyAlignment="1">
      <alignment horizontal="left" vertical="top" wrapText="1"/>
    </xf>
    <xf numFmtId="0" fontId="43" fillId="0" borderId="74" xfId="0" applyFont="1" applyBorder="1" applyAlignment="1">
      <alignment horizontal="left" vertical="top" wrapText="1"/>
    </xf>
    <xf numFmtId="0" fontId="43" fillId="0" borderId="75" xfId="0" applyFont="1" applyBorder="1" applyAlignment="1">
      <alignment horizontal="left" vertical="top" wrapText="1"/>
    </xf>
    <xf numFmtId="0" fontId="77" fillId="0" borderId="29" xfId="0" applyFont="1" applyBorder="1" applyAlignment="1">
      <alignment horizontal="justify" vertical="top" wrapText="1"/>
    </xf>
    <xf numFmtId="0" fontId="77" fillId="0" borderId="30" xfId="0" applyFont="1" applyBorder="1" applyAlignment="1">
      <alignment horizontal="justify" vertical="top" wrapText="1"/>
    </xf>
    <xf numFmtId="0" fontId="77" fillId="0" borderId="31" xfId="0" applyFont="1" applyBorder="1" applyAlignment="1">
      <alignment horizontal="justify" vertical="top" wrapText="1"/>
    </xf>
    <xf numFmtId="0" fontId="75" fillId="0" borderId="30" xfId="0" applyFont="1" applyBorder="1" applyAlignment="1">
      <alignment horizontal="left" vertical="top" wrapText="1"/>
    </xf>
    <xf numFmtId="0" fontId="75" fillId="0" borderId="31" xfId="0" applyFont="1" applyBorder="1" applyAlignment="1">
      <alignment horizontal="left" vertical="top" wrapText="1"/>
    </xf>
    <xf numFmtId="0" fontId="0" fillId="0" borderId="30" xfId="0" applyBorder="1" applyAlignment="1">
      <alignment horizontal="left" vertical="top"/>
    </xf>
    <xf numFmtId="0" fontId="0" fillId="0" borderId="31" xfId="0" applyBorder="1" applyAlignment="1">
      <alignment horizontal="left" vertical="top"/>
    </xf>
    <xf numFmtId="0" fontId="14" fillId="21" borderId="29" xfId="0" applyFont="1" applyFill="1" applyBorder="1" applyAlignment="1">
      <alignment horizontal="center" vertical="top" wrapText="1"/>
    </xf>
    <xf numFmtId="0" fontId="14" fillId="21" borderId="30" xfId="0" applyFont="1" applyFill="1" applyBorder="1" applyAlignment="1">
      <alignment horizontal="center" vertical="top"/>
    </xf>
    <xf numFmtId="0" fontId="14" fillId="21" borderId="31" xfId="0" applyFont="1" applyFill="1" applyBorder="1" applyAlignment="1">
      <alignment horizontal="center" vertical="top"/>
    </xf>
    <xf numFmtId="0" fontId="144" fillId="0" borderId="29" xfId="0" applyFont="1" applyBorder="1" applyAlignment="1" applyProtection="1">
      <alignment horizontal="center" vertical="top" wrapText="1"/>
      <protection locked="0"/>
    </xf>
    <xf numFmtId="0" fontId="144" fillId="0" borderId="30" xfId="0" applyFont="1" applyBorder="1" applyAlignment="1" applyProtection="1">
      <alignment horizontal="center" vertical="top" wrapText="1"/>
      <protection locked="0"/>
    </xf>
    <xf numFmtId="0" fontId="144" fillId="0" borderId="31" xfId="0" applyFont="1" applyBorder="1" applyAlignment="1" applyProtection="1">
      <alignment horizontal="center" vertical="top" wrapText="1"/>
      <protection locked="0"/>
    </xf>
    <xf numFmtId="0" fontId="43" fillId="0" borderId="134" xfId="0" applyFont="1" applyBorder="1" applyAlignment="1" applyProtection="1">
      <alignment horizontal="left" vertical="center" wrapText="1"/>
      <protection locked="0"/>
    </xf>
    <xf numFmtId="0" fontId="43" fillId="0" borderId="135" xfId="0" applyFont="1" applyBorder="1" applyAlignment="1" applyProtection="1">
      <alignment horizontal="left" vertical="center" wrapText="1"/>
      <protection locked="0"/>
    </xf>
    <xf numFmtId="0" fontId="43" fillId="0" borderId="136" xfId="0" applyFont="1" applyBorder="1" applyAlignment="1" applyProtection="1">
      <alignment horizontal="left" vertical="center" wrapText="1"/>
      <protection locked="0"/>
    </xf>
    <xf numFmtId="0" fontId="43" fillId="34" borderId="29" xfId="0" applyFont="1" applyFill="1" applyBorder="1" applyAlignment="1" applyProtection="1">
      <alignment horizontal="left" vertical="top" wrapText="1"/>
      <protection locked="0"/>
    </xf>
    <xf numFmtId="0" fontId="43" fillId="34" borderId="30" xfId="0" applyFont="1" applyFill="1" applyBorder="1" applyAlignment="1" applyProtection="1">
      <alignment horizontal="left" vertical="top" wrapText="1"/>
      <protection locked="0"/>
    </xf>
    <xf numFmtId="0" fontId="43" fillId="34" borderId="31" xfId="0" applyFont="1" applyFill="1" applyBorder="1" applyAlignment="1" applyProtection="1">
      <alignment horizontal="left" vertical="top" wrapText="1"/>
      <protection locked="0"/>
    </xf>
    <xf numFmtId="0" fontId="84" fillId="34" borderId="30" xfId="0" applyFont="1" applyFill="1" applyBorder="1" applyAlignment="1">
      <alignment vertical="top" wrapText="1"/>
    </xf>
    <xf numFmtId="0" fontId="84" fillId="34" borderId="31" xfId="0" applyFont="1" applyFill="1" applyBorder="1" applyAlignment="1">
      <alignment vertical="top" wrapText="1"/>
    </xf>
    <xf numFmtId="43" fontId="17" fillId="29" borderId="0" xfId="38" applyFont="1" applyFill="1" applyAlignment="1">
      <alignment horizontal="center" vertical="center"/>
    </xf>
    <xf numFmtId="43" fontId="24" fillId="24" borderId="27" xfId="55" applyFont="1" applyFill="1" applyBorder="1" applyAlignment="1" applyProtection="1">
      <alignment horizontal="center"/>
    </xf>
    <xf numFmtId="43" fontId="33" fillId="24" borderId="0" xfId="49" applyFont="1" applyFill="1" applyAlignment="1">
      <alignment horizontal="center" vertical="center" wrapText="1"/>
    </xf>
    <xf numFmtId="173" fontId="24" fillId="24" borderId="27" xfId="55" applyNumberFormat="1" applyFont="1" applyFill="1" applyBorder="1" applyAlignment="1" applyProtection="1">
      <alignment horizontal="center" vertical="center"/>
    </xf>
    <xf numFmtId="43" fontId="1" fillId="0" borderId="27" xfId="55" applyFont="1" applyBorder="1" applyAlignment="1" applyProtection="1">
      <alignment horizontal="right"/>
    </xf>
    <xf numFmtId="43" fontId="1" fillId="0" borderId="27" xfId="55" applyFont="1" applyFill="1" applyBorder="1" applyAlignment="1" applyProtection="1">
      <alignment horizontal="right" wrapText="1"/>
    </xf>
    <xf numFmtId="43" fontId="20" fillId="0" borderId="0" xfId="49" applyFont="1" applyAlignment="1">
      <alignment horizontal="right" vertical="center"/>
    </xf>
    <xf numFmtId="43" fontId="24" fillId="24" borderId="0" xfId="49" applyFont="1" applyFill="1" applyAlignment="1">
      <alignment horizontal="center" vertical="center" wrapText="1"/>
    </xf>
    <xf numFmtId="43" fontId="1" fillId="0" borderId="27" xfId="55" applyFont="1" applyFill="1" applyBorder="1" applyAlignment="1" applyProtection="1">
      <alignment horizontal="right" vertical="top" wrapText="1"/>
    </xf>
    <xf numFmtId="43" fontId="73" fillId="32" borderId="27" xfId="55" applyFont="1" applyFill="1" applyBorder="1" applyAlignment="1" applyProtection="1">
      <alignment horizontal="center" wrapText="1"/>
    </xf>
    <xf numFmtId="15" fontId="24" fillId="24" borderId="27" xfId="55" applyNumberFormat="1" applyFont="1" applyFill="1" applyBorder="1" applyAlignment="1" applyProtection="1">
      <alignment horizontal="center"/>
    </xf>
    <xf numFmtId="0" fontId="74" fillId="0" borderId="93" xfId="0" applyFont="1" applyBorder="1" applyAlignment="1">
      <alignment horizontal="left" wrapText="1"/>
    </xf>
    <xf numFmtId="0" fontId="74" fillId="0" borderId="61" xfId="0" applyFont="1" applyBorder="1" applyAlignment="1">
      <alignment horizontal="left" wrapText="1"/>
    </xf>
    <xf numFmtId="0" fontId="74" fillId="0" borderId="94" xfId="0" applyFont="1" applyBorder="1" applyAlignment="1">
      <alignment horizontal="left" wrapText="1"/>
    </xf>
    <xf numFmtId="0" fontId="74" fillId="0" borderId="95" xfId="0" applyFont="1" applyBorder="1" applyAlignment="1">
      <alignment horizontal="left" wrapText="1"/>
    </xf>
    <xf numFmtId="43" fontId="42" fillId="29" borderId="0" xfId="47" applyFont="1" applyFill="1" applyAlignment="1">
      <alignment horizontal="center" vertical="center"/>
    </xf>
    <xf numFmtId="43" fontId="14" fillId="0" borderId="0" xfId="0" applyNumberFormat="1" applyFont="1" applyAlignment="1">
      <alignment horizontal="center" wrapText="1"/>
    </xf>
    <xf numFmtId="43" fontId="28" fillId="0" borderId="0" xfId="0" applyNumberFormat="1" applyFont="1" applyAlignment="1">
      <alignment horizontal="right"/>
    </xf>
    <xf numFmtId="15" fontId="28" fillId="0" borderId="0" xfId="0" applyNumberFormat="1" applyFont="1" applyAlignment="1">
      <alignment horizontal="right"/>
    </xf>
    <xf numFmtId="43" fontId="14" fillId="0" borderId="0" xfId="0" applyNumberFormat="1" applyFont="1" applyAlignment="1">
      <alignment horizontal="center"/>
    </xf>
    <xf numFmtId="43" fontId="28" fillId="0" borderId="0" xfId="0" applyNumberFormat="1" applyFont="1" applyAlignment="1">
      <alignment horizontal="left"/>
    </xf>
    <xf numFmtId="43" fontId="15" fillId="32" borderId="0" xfId="55" applyFont="1" applyFill="1" applyBorder="1" applyAlignment="1" applyProtection="1">
      <alignment horizontal="center" wrapText="1"/>
    </xf>
    <xf numFmtId="0" fontId="71" fillId="0" borderId="0" xfId="0" applyFont="1" applyAlignment="1">
      <alignment horizontal="center"/>
    </xf>
    <xf numFmtId="43" fontId="70" fillId="0" borderId="80" xfId="0" applyNumberFormat="1" applyFont="1" applyBorder="1" applyAlignment="1">
      <alignment horizontal="center" vertical="center" wrapText="1"/>
    </xf>
    <xf numFmtId="43" fontId="70" fillId="0" borderId="81" xfId="0" applyNumberFormat="1" applyFont="1" applyBorder="1" applyAlignment="1">
      <alignment horizontal="center" vertical="center" wrapText="1"/>
    </xf>
    <xf numFmtId="43" fontId="70" fillId="0" borderId="82" xfId="0" applyNumberFormat="1" applyFont="1" applyBorder="1" applyAlignment="1">
      <alignment horizontal="center" vertical="center" wrapText="1"/>
    </xf>
    <xf numFmtId="0" fontId="0" fillId="0" borderId="96" xfId="0" applyBorder="1" applyAlignment="1">
      <alignment horizontal="center"/>
    </xf>
    <xf numFmtId="0" fontId="0" fillId="0" borderId="44" xfId="0" applyBorder="1" applyAlignment="1">
      <alignment horizontal="center"/>
    </xf>
    <xf numFmtId="0" fontId="30" fillId="21" borderId="29" xfId="0" applyFont="1" applyFill="1" applyBorder="1" applyAlignment="1" applyProtection="1">
      <alignment horizontal="left" wrapText="1"/>
      <protection locked="0"/>
    </xf>
    <xf numFmtId="0" fontId="0" fillId="0" borderId="30" xfId="0" applyBorder="1" applyAlignment="1" applyProtection="1">
      <alignment horizontal="left" wrapText="1"/>
      <protection locked="0"/>
    </xf>
    <xf numFmtId="0" fontId="0" fillId="0" borderId="31" xfId="0" applyBorder="1" applyAlignment="1" applyProtection="1">
      <alignment horizontal="left" wrapText="1"/>
      <protection locked="0"/>
    </xf>
    <xf numFmtId="0" fontId="34" fillId="21" borderId="29" xfId="0" applyFont="1" applyFill="1" applyBorder="1" applyAlignment="1" applyProtection="1">
      <alignment horizontal="left" wrapText="1"/>
      <protection locked="0"/>
    </xf>
    <xf numFmtId="0" fontId="34" fillId="21" borderId="30" xfId="0" applyFont="1" applyFill="1" applyBorder="1" applyAlignment="1" applyProtection="1">
      <alignment horizontal="left" wrapText="1"/>
      <protection locked="0"/>
    </xf>
    <xf numFmtId="0" fontId="34" fillId="21" borderId="31" xfId="0" applyFont="1" applyFill="1" applyBorder="1" applyAlignment="1" applyProtection="1">
      <alignment horizontal="left" wrapText="1"/>
      <protection locked="0"/>
    </xf>
    <xf numFmtId="0" fontId="28" fillId="21" borderId="143" xfId="0" applyFont="1" applyFill="1" applyBorder="1" applyAlignment="1" applyProtection="1">
      <alignment horizontal="left" vertical="top" wrapText="1"/>
      <protection locked="0"/>
    </xf>
    <xf numFmtId="0" fontId="28" fillId="0" borderId="101" xfId="0" applyFont="1" applyBorder="1" applyAlignment="1">
      <alignment horizontal="left" vertical="top" wrapText="1"/>
    </xf>
    <xf numFmtId="0" fontId="28" fillId="0" borderId="144" xfId="0" applyFont="1" applyBorder="1" applyAlignment="1">
      <alignment horizontal="left" vertical="top" wrapText="1"/>
    </xf>
    <xf numFmtId="9" fontId="150" fillId="34" borderId="10" xfId="59" applyFont="1" applyFill="1" applyBorder="1" applyAlignment="1" applyProtection="1">
      <alignment horizontal="left" vertical="top" wrapText="1"/>
      <protection locked="0"/>
    </xf>
    <xf numFmtId="43" fontId="71" fillId="0" borderId="0" xfId="0" applyNumberFormat="1" applyFont="1" applyAlignment="1">
      <alignment horizontal="center"/>
    </xf>
    <xf numFmtId="0" fontId="0" fillId="0" borderId="0" xfId="0" applyAlignment="1">
      <alignment horizontal="center"/>
    </xf>
    <xf numFmtId="0" fontId="28" fillId="0" borderId="102" xfId="0" applyFont="1" applyBorder="1" applyAlignment="1">
      <alignment horizontal="left" vertical="top" wrapText="1"/>
    </xf>
    <xf numFmtId="0" fontId="150" fillId="34" borderId="29" xfId="0" applyFont="1" applyFill="1" applyBorder="1" applyAlignment="1">
      <alignment vertical="center" wrapText="1"/>
    </xf>
    <xf numFmtId="0" fontId="150" fillId="34" borderId="30" xfId="0" applyFont="1" applyFill="1" applyBorder="1" applyAlignment="1">
      <alignment vertical="center" wrapText="1"/>
    </xf>
    <xf numFmtId="0" fontId="150" fillId="34" borderId="31" xfId="0" applyFont="1" applyFill="1" applyBorder="1" applyAlignment="1">
      <alignment vertical="center" wrapText="1"/>
    </xf>
    <xf numFmtId="9" fontId="1" fillId="0" borderId="29" xfId="59" applyFont="1" applyBorder="1" applyAlignment="1" applyProtection="1">
      <alignment horizontal="center" vertical="center" wrapText="1"/>
    </xf>
    <xf numFmtId="9" fontId="1" fillId="0" borderId="30" xfId="59" applyFont="1" applyBorder="1" applyAlignment="1" applyProtection="1">
      <alignment horizontal="center" vertical="center" wrapText="1"/>
    </xf>
    <xf numFmtId="9" fontId="1" fillId="0" borderId="31" xfId="59" applyFont="1" applyBorder="1" applyAlignment="1" applyProtection="1">
      <alignment horizontal="center" vertical="center" wrapText="1"/>
    </xf>
    <xf numFmtId="9" fontId="150" fillId="34" borderId="29" xfId="59" applyFont="1" applyFill="1" applyBorder="1" applyAlignment="1" applyProtection="1">
      <alignment horizontal="left" vertical="top" wrapText="1"/>
      <protection locked="0"/>
    </xf>
    <xf numFmtId="9" fontId="150" fillId="34" borderId="30" xfId="59" applyFont="1" applyFill="1" applyBorder="1" applyAlignment="1" applyProtection="1">
      <alignment horizontal="left" vertical="top" wrapText="1"/>
      <protection locked="0"/>
    </xf>
    <xf numFmtId="9" fontId="150" fillId="34" borderId="31" xfId="59" applyFont="1" applyFill="1" applyBorder="1" applyAlignment="1" applyProtection="1">
      <alignment horizontal="left" vertical="top" wrapText="1"/>
      <protection locked="0"/>
    </xf>
    <xf numFmtId="0" fontId="34" fillId="0" borderId="29"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9" fontId="155" fillId="21" borderId="10" xfId="59" applyFont="1" applyFill="1" applyBorder="1" applyAlignment="1" applyProtection="1">
      <alignment horizontal="left" vertical="top" wrapText="1"/>
      <protection locked="0"/>
    </xf>
    <xf numFmtId="9" fontId="1" fillId="21" borderId="10" xfId="59" applyFont="1" applyFill="1" applyBorder="1" applyAlignment="1" applyProtection="1">
      <alignment horizontal="left" vertical="top" wrapText="1"/>
      <protection locked="0"/>
    </xf>
    <xf numFmtId="9" fontId="69" fillId="0" borderId="29" xfId="59" applyFont="1" applyBorder="1" applyAlignment="1" applyProtection="1">
      <alignment horizontal="center" vertical="center" wrapText="1"/>
    </xf>
    <xf numFmtId="9" fontId="69" fillId="0" borderId="30" xfId="59" applyFont="1" applyBorder="1" applyAlignment="1" applyProtection="1">
      <alignment horizontal="center" vertical="center" wrapText="1"/>
    </xf>
    <xf numFmtId="9" fontId="69" fillId="0" borderId="31" xfId="59" applyFont="1" applyBorder="1" applyAlignment="1" applyProtection="1">
      <alignment horizontal="center" vertical="center" wrapText="1"/>
    </xf>
    <xf numFmtId="49" fontId="28" fillId="0" borderId="133" xfId="0" applyNumberFormat="1" applyFont="1" applyBorder="1" applyAlignment="1">
      <alignment horizontal="left" vertical="center" wrapText="1"/>
    </xf>
    <xf numFmtId="0" fontId="28" fillId="0" borderId="133" xfId="0" applyFont="1" applyBorder="1" applyAlignment="1">
      <alignment horizontal="left" vertical="center" wrapText="1"/>
    </xf>
    <xf numFmtId="9" fontId="36" fillId="33" borderId="29" xfId="59" applyFont="1" applyFill="1" applyBorder="1" applyAlignment="1" applyProtection="1">
      <alignment horizontal="center" vertical="center" wrapText="1"/>
    </xf>
    <xf numFmtId="9" fontId="36" fillId="33" borderId="31" xfId="59" applyFont="1" applyFill="1" applyBorder="1" applyAlignment="1" applyProtection="1">
      <alignment horizontal="center" vertical="center" wrapText="1"/>
    </xf>
    <xf numFmtId="0" fontId="150" fillId="34" borderId="29" xfId="0" applyFont="1" applyFill="1" applyBorder="1" applyAlignment="1">
      <alignment horizontal="left" vertical="center" wrapText="1"/>
    </xf>
    <xf numFmtId="0" fontId="150" fillId="34" borderId="30" xfId="0" applyFont="1" applyFill="1" applyBorder="1" applyAlignment="1">
      <alignment horizontal="left" vertical="center" wrapText="1"/>
    </xf>
    <xf numFmtId="0" fontId="150" fillId="34" borderId="31" xfId="0" applyFont="1" applyFill="1" applyBorder="1" applyAlignment="1">
      <alignment horizontal="left" vertical="center" wrapText="1"/>
    </xf>
    <xf numFmtId="9" fontId="21" fillId="34" borderId="10" xfId="59" applyFont="1" applyFill="1" applyBorder="1" applyAlignment="1" applyProtection="1">
      <alignment horizontal="left" vertical="top" wrapText="1"/>
      <protection locked="0"/>
    </xf>
    <xf numFmtId="0" fontId="150" fillId="34" borderId="10" xfId="0" applyFont="1" applyFill="1" applyBorder="1" applyAlignment="1">
      <alignment vertical="center" wrapText="1"/>
    </xf>
    <xf numFmtId="49" fontId="91" fillId="0" borderId="29" xfId="0" applyNumberFormat="1" applyFont="1" applyBorder="1" applyAlignment="1">
      <alignment horizontal="center" vertical="center" wrapText="1"/>
    </xf>
    <xf numFmtId="49" fontId="91" fillId="0" borderId="30" xfId="0" applyNumberFormat="1" applyFont="1" applyBorder="1" applyAlignment="1">
      <alignment horizontal="center" vertical="center" wrapText="1"/>
    </xf>
    <xf numFmtId="49" fontId="91" fillId="0" borderId="31" xfId="0" applyNumberFormat="1" applyFont="1" applyBorder="1" applyAlignment="1">
      <alignment horizontal="center" vertical="center" wrapText="1"/>
    </xf>
    <xf numFmtId="0" fontId="92" fillId="20" borderId="29" xfId="0" applyFont="1" applyFill="1" applyBorder="1" applyAlignment="1">
      <alignment horizontal="center" vertical="center" wrapText="1"/>
    </xf>
    <xf numFmtId="0" fontId="92" fillId="20" borderId="30" xfId="0" applyFont="1" applyFill="1" applyBorder="1" applyAlignment="1">
      <alignment horizontal="center" vertical="center" wrapText="1"/>
    </xf>
    <xf numFmtId="0" fontId="92" fillId="20" borderId="31" xfId="0" applyFont="1" applyFill="1" applyBorder="1" applyAlignment="1">
      <alignment horizontal="center" vertical="center" wrapText="1"/>
    </xf>
    <xf numFmtId="9" fontId="88" fillId="30" borderId="29" xfId="59" applyFont="1" applyFill="1" applyBorder="1" applyAlignment="1" applyProtection="1">
      <alignment horizontal="center" vertical="center" wrapText="1"/>
    </xf>
    <xf numFmtId="9" fontId="88" fillId="30" borderId="31" xfId="59" applyFont="1" applyFill="1" applyBorder="1" applyAlignment="1" applyProtection="1">
      <alignment horizontal="center" vertical="center" wrapText="1"/>
    </xf>
    <xf numFmtId="9" fontId="89" fillId="33" borderId="29" xfId="59" applyFont="1" applyFill="1" applyBorder="1" applyAlignment="1" applyProtection="1">
      <alignment horizontal="center" vertical="center" wrapText="1"/>
    </xf>
    <xf numFmtId="9" fontId="89" fillId="33" borderId="31" xfId="59" applyFont="1" applyFill="1" applyBorder="1" applyAlignment="1" applyProtection="1">
      <alignment horizontal="center" vertical="center" wrapText="1"/>
    </xf>
    <xf numFmtId="0" fontId="33" fillId="0" borderId="74" xfId="0" applyFont="1" applyBorder="1" applyAlignment="1">
      <alignment horizontal="center"/>
    </xf>
    <xf numFmtId="0" fontId="91" fillId="0" borderId="10" xfId="0" applyFont="1" applyBorder="1" applyAlignment="1">
      <alignment horizontal="center" vertical="center" wrapText="1"/>
    </xf>
    <xf numFmtId="0" fontId="34" fillId="20" borderId="97" xfId="0" applyFont="1" applyFill="1" applyBorder="1" applyAlignment="1" applyProtection="1">
      <alignment horizontal="left"/>
      <protection locked="0"/>
    </xf>
    <xf numFmtId="0" fontId="34" fillId="20" borderId="0" xfId="0" applyFont="1" applyFill="1" applyAlignment="1" applyProtection="1">
      <alignment horizontal="left"/>
      <protection locked="0"/>
    </xf>
    <xf numFmtId="9" fontId="0" fillId="21" borderId="10" xfId="59" applyFont="1" applyFill="1" applyBorder="1" applyAlignment="1" applyProtection="1">
      <alignment horizontal="left" vertical="top" wrapText="1"/>
      <protection locked="0"/>
    </xf>
    <xf numFmtId="0" fontId="34" fillId="20" borderId="0" xfId="0" applyFont="1" applyFill="1" applyAlignment="1">
      <alignment horizontal="left"/>
    </xf>
    <xf numFmtId="9" fontId="21" fillId="21" borderId="29" xfId="59" applyFont="1" applyFill="1" applyBorder="1" applyAlignment="1" applyProtection="1">
      <alignment horizontal="left" vertical="top" wrapText="1"/>
      <protection locked="0"/>
    </xf>
    <xf numFmtId="9" fontId="21" fillId="21" borderId="30" xfId="59" applyFont="1" applyFill="1" applyBorder="1" applyAlignment="1" applyProtection="1">
      <alignment horizontal="left" vertical="top" wrapText="1"/>
      <protection locked="0"/>
    </xf>
    <xf numFmtId="9" fontId="21" fillId="21" borderId="31" xfId="59" applyFont="1" applyFill="1" applyBorder="1" applyAlignment="1" applyProtection="1">
      <alignment horizontal="left" vertical="top" wrapText="1"/>
      <protection locked="0"/>
    </xf>
    <xf numFmtId="0" fontId="34" fillId="20" borderId="0" xfId="0" applyFont="1" applyFill="1" applyAlignment="1">
      <alignment horizontal="center" vertical="center" wrapText="1"/>
    </xf>
    <xf numFmtId="0" fontId="92" fillId="20" borderId="29" xfId="0" applyFont="1" applyFill="1" applyBorder="1" applyAlignment="1">
      <alignment vertical="center" wrapText="1"/>
    </xf>
    <xf numFmtId="0" fontId="92" fillId="20" borderId="30" xfId="0" applyFont="1" applyFill="1" applyBorder="1" applyAlignment="1">
      <alignment vertical="center" wrapText="1"/>
    </xf>
    <xf numFmtId="0" fontId="92" fillId="20" borderId="31" xfId="0" applyFont="1" applyFill="1" applyBorder="1" applyAlignment="1">
      <alignment vertical="center" wrapText="1"/>
    </xf>
    <xf numFmtId="9" fontId="69" fillId="0" borderId="29" xfId="59" applyFont="1" applyBorder="1" applyAlignment="1">
      <alignment horizontal="center" vertical="center" wrapText="1"/>
    </xf>
    <xf numFmtId="9" fontId="69" fillId="0" borderId="30" xfId="59" applyFont="1" applyBorder="1" applyAlignment="1">
      <alignment horizontal="center" vertical="center" wrapText="1"/>
    </xf>
    <xf numFmtId="9" fontId="69" fillId="0" borderId="31" xfId="59" applyFont="1" applyBorder="1" applyAlignment="1">
      <alignment horizontal="center" vertical="center" wrapText="1"/>
    </xf>
    <xf numFmtId="0" fontId="34" fillId="20" borderId="28" xfId="0" applyFont="1" applyFill="1" applyBorder="1" applyAlignment="1" applyProtection="1">
      <alignment horizontal="left"/>
      <protection locked="0"/>
    </xf>
    <xf numFmtId="0" fontId="34" fillId="20" borderId="118" xfId="0" applyFont="1" applyFill="1" applyBorder="1" applyAlignment="1">
      <alignment horizontal="left"/>
    </xf>
    <xf numFmtId="0" fontId="34" fillId="20" borderId="118" xfId="0" applyFont="1" applyFill="1" applyBorder="1" applyAlignment="1">
      <alignment horizontal="left" vertical="center" wrapText="1"/>
    </xf>
    <xf numFmtId="49" fontId="92" fillId="20" borderId="29" xfId="0" applyNumberFormat="1" applyFont="1" applyFill="1" applyBorder="1" applyAlignment="1">
      <alignment vertical="center" wrapText="1"/>
    </xf>
    <xf numFmtId="9" fontId="21" fillId="34" borderId="29" xfId="59" applyFont="1" applyFill="1" applyBorder="1" applyAlignment="1" applyProtection="1">
      <alignment horizontal="center" vertical="center" wrapText="1"/>
    </xf>
    <xf numFmtId="0" fontId="21" fillId="34" borderId="30" xfId="0" applyFont="1" applyFill="1" applyBorder="1" applyAlignment="1">
      <alignment horizontal="center" vertical="center" wrapText="1"/>
    </xf>
    <xf numFmtId="0" fontId="21" fillId="34" borderId="31" xfId="0" applyFont="1" applyFill="1" applyBorder="1" applyAlignment="1">
      <alignment horizontal="center" vertical="center" wrapText="1"/>
    </xf>
    <xf numFmtId="9" fontId="1" fillId="34" borderId="29" xfId="59" applyFont="1" applyFill="1" applyBorder="1" applyAlignment="1" applyProtection="1">
      <alignment horizontal="center" vertical="center" wrapText="1"/>
    </xf>
    <xf numFmtId="9" fontId="1" fillId="34" borderId="30" xfId="59" applyFont="1" applyFill="1" applyBorder="1" applyAlignment="1" applyProtection="1">
      <alignment horizontal="center" vertical="center" wrapText="1"/>
    </xf>
    <xf numFmtId="9" fontId="1" fillId="34" borderId="31" xfId="59" applyFont="1" applyFill="1" applyBorder="1" applyAlignment="1" applyProtection="1">
      <alignment horizontal="center" vertical="center" wrapText="1"/>
    </xf>
    <xf numFmtId="0" fontId="150" fillId="34" borderId="30" xfId="0" applyFont="1" applyFill="1" applyBorder="1" applyAlignment="1">
      <alignment horizontal="left" vertical="top" wrapText="1"/>
    </xf>
    <xf numFmtId="0" fontId="150" fillId="34" borderId="31" xfId="0" applyFont="1" applyFill="1" applyBorder="1" applyAlignment="1">
      <alignment horizontal="left" vertical="top" wrapText="1"/>
    </xf>
    <xf numFmtId="174" fontId="1" fillId="34" borderId="29" xfId="59" applyNumberFormat="1" applyFont="1" applyFill="1" applyBorder="1" applyAlignment="1" applyProtection="1">
      <alignment horizontal="center" vertical="center" wrapText="1"/>
    </xf>
    <xf numFmtId="174" fontId="0" fillId="34" borderId="30" xfId="0" applyNumberFormat="1" applyFill="1" applyBorder="1" applyAlignment="1">
      <alignment horizontal="center" vertical="center" wrapText="1"/>
    </xf>
    <xf numFmtId="174" fontId="0" fillId="34" borderId="31" xfId="0" applyNumberFormat="1" applyFill="1" applyBorder="1" applyAlignment="1">
      <alignment horizontal="center" vertical="center" wrapText="1"/>
    </xf>
    <xf numFmtId="9" fontId="21" fillId="34" borderId="29" xfId="59" applyFont="1" applyFill="1" applyBorder="1" applyAlignment="1" applyProtection="1">
      <alignment horizontal="left" vertical="top" wrapText="1"/>
      <protection locked="0"/>
    </xf>
    <xf numFmtId="0" fontId="21" fillId="34" borderId="30" xfId="0" applyFont="1" applyFill="1" applyBorder="1" applyAlignment="1">
      <alignment horizontal="left" vertical="top" wrapText="1"/>
    </xf>
    <xf numFmtId="0" fontId="21" fillId="34" borderId="31" xfId="0" applyFont="1" applyFill="1" applyBorder="1" applyAlignment="1">
      <alignment horizontal="left" vertical="top" wrapText="1"/>
    </xf>
    <xf numFmtId="9" fontId="100" fillId="30" borderId="29" xfId="59" applyFont="1" applyFill="1" applyBorder="1" applyAlignment="1" applyProtection="1">
      <alignment horizontal="center" vertical="center" wrapText="1"/>
    </xf>
    <xf numFmtId="9" fontId="100" fillId="30" borderId="31" xfId="59" applyFont="1" applyFill="1" applyBorder="1" applyAlignment="1" applyProtection="1">
      <alignment horizontal="center" vertical="center" wrapText="1"/>
    </xf>
    <xf numFmtId="9" fontId="98" fillId="0" borderId="29" xfId="59" applyFont="1" applyBorder="1" applyAlignment="1" applyProtection="1">
      <alignment horizontal="center" vertical="center" wrapText="1"/>
    </xf>
    <xf numFmtId="9" fontId="98" fillId="0" borderId="30" xfId="59" applyFont="1" applyBorder="1" applyAlignment="1" applyProtection="1">
      <alignment horizontal="center" vertical="center" wrapText="1"/>
    </xf>
    <xf numFmtId="9" fontId="98" fillId="0" borderId="31" xfId="59" applyFont="1" applyBorder="1" applyAlignment="1" applyProtection="1">
      <alignment horizontal="center" vertical="center" wrapText="1"/>
    </xf>
    <xf numFmtId="9" fontId="98" fillId="34" borderId="10" xfId="59" applyFont="1" applyFill="1" applyBorder="1" applyAlignment="1" applyProtection="1">
      <alignment horizontal="left" vertical="top" wrapText="1"/>
      <protection locked="0"/>
    </xf>
    <xf numFmtId="9" fontId="155" fillId="34" borderId="29" xfId="59" applyFont="1" applyFill="1" applyBorder="1" applyAlignment="1" applyProtection="1">
      <alignment horizontal="left" vertical="top" wrapText="1"/>
      <protection locked="0"/>
    </xf>
    <xf numFmtId="0" fontId="156" fillId="34" borderId="30" xfId="0" applyFont="1" applyFill="1" applyBorder="1" applyAlignment="1">
      <alignment horizontal="left" vertical="top" wrapText="1"/>
    </xf>
    <xf numFmtId="0" fontId="156" fillId="34" borderId="31" xfId="0" applyFont="1" applyFill="1" applyBorder="1" applyAlignment="1">
      <alignment horizontal="left" vertical="top" wrapText="1"/>
    </xf>
    <xf numFmtId="43" fontId="15" fillId="32" borderId="0" xfId="56" applyFont="1" applyFill="1" applyBorder="1" applyAlignment="1" applyProtection="1">
      <alignment horizontal="center"/>
    </xf>
    <xf numFmtId="2" fontId="91" fillId="0" borderId="133" xfId="0" applyNumberFormat="1" applyFont="1" applyBorder="1" applyAlignment="1">
      <alignment horizontal="left" vertical="center" wrapText="1"/>
    </xf>
    <xf numFmtId="0" fontId="154" fillId="21" borderId="67" xfId="0" applyFont="1" applyFill="1" applyBorder="1" applyAlignment="1" applyProtection="1">
      <alignment horizontal="left" vertical="top" wrapText="1"/>
      <protection locked="0"/>
    </xf>
    <xf numFmtId="0" fontId="154" fillId="0" borderId="74" xfId="0" applyFont="1" applyBorder="1" applyAlignment="1">
      <alignment horizontal="left" vertical="top" wrapText="1"/>
    </xf>
    <xf numFmtId="0" fontId="69" fillId="21" borderId="67" xfId="0" applyFont="1" applyFill="1" applyBorder="1" applyAlignment="1" applyProtection="1">
      <alignment horizontal="left" vertical="top" wrapText="1"/>
      <protection locked="0"/>
    </xf>
    <xf numFmtId="0" fontId="69" fillId="0" borderId="74" xfId="0" applyFont="1" applyBorder="1" applyAlignment="1">
      <alignment horizontal="left" vertical="top" wrapText="1"/>
    </xf>
    <xf numFmtId="0" fontId="69" fillId="0" borderId="75" xfId="0" applyFont="1" applyBorder="1" applyAlignment="1">
      <alignment horizontal="left" vertical="top" wrapText="1"/>
    </xf>
    <xf numFmtId="0" fontId="34" fillId="0" borderId="10" xfId="0" applyFont="1" applyBorder="1" applyAlignment="1">
      <alignment horizontal="center" vertical="center" wrapText="1"/>
    </xf>
    <xf numFmtId="43" fontId="15" fillId="32" borderId="0" xfId="55" applyFont="1" applyFill="1" applyBorder="1" applyAlignment="1" applyProtection="1">
      <alignment horizontal="center" vertical="center" wrapText="1"/>
    </xf>
    <xf numFmtId="0" fontId="140" fillId="21" borderId="81" xfId="0" applyFont="1" applyFill="1" applyBorder="1" applyAlignment="1" applyProtection="1">
      <alignment horizontal="left" vertical="top" wrapText="1"/>
      <protection locked="0"/>
    </xf>
    <xf numFmtId="43" fontId="35" fillId="0" borderId="0" xfId="0" applyNumberFormat="1" applyFont="1" applyAlignment="1">
      <alignment horizontal="left" vertical="center" wrapText="1"/>
    </xf>
    <xf numFmtId="0" fontId="14" fillId="0" borderId="0" xfId="0" applyFont="1" applyAlignment="1">
      <alignment horizontal="center"/>
    </xf>
    <xf numFmtId="43" fontId="28" fillId="0" borderId="0" xfId="0" applyNumberFormat="1" applyFont="1" applyAlignment="1">
      <alignment horizontal="left" vertical="center" wrapText="1"/>
    </xf>
    <xf numFmtId="0" fontId="143" fillId="21" borderId="81" xfId="0" applyFont="1" applyFill="1" applyBorder="1" applyAlignment="1" applyProtection="1">
      <alignment horizontal="left" vertical="top" wrapText="1"/>
      <protection locked="0"/>
    </xf>
    <xf numFmtId="0" fontId="91" fillId="52" borderId="124" xfId="0" applyFont="1" applyFill="1" applyBorder="1" applyAlignment="1">
      <alignment horizontal="center" vertical="center"/>
    </xf>
    <xf numFmtId="0" fontId="140" fillId="21" borderId="0" xfId="0" applyFont="1" applyFill="1" applyAlignment="1" applyProtection="1">
      <alignment horizontal="left" vertical="top" wrapText="1"/>
      <protection locked="0"/>
    </xf>
    <xf numFmtId="0" fontId="30" fillId="21" borderId="0" xfId="0" applyFont="1" applyFill="1" applyAlignment="1" applyProtection="1">
      <alignment horizontal="left" vertical="top" wrapText="1"/>
      <protection locked="0"/>
    </xf>
    <xf numFmtId="0" fontId="30" fillId="21" borderId="0" xfId="0" applyFont="1" applyFill="1" applyAlignment="1" applyProtection="1">
      <alignment horizontal="left" vertical="top"/>
      <protection locked="0"/>
    </xf>
    <xf numFmtId="0" fontId="34" fillId="21" borderId="81" xfId="0" applyFont="1" applyFill="1" applyBorder="1" applyAlignment="1" applyProtection="1">
      <alignment horizontal="left" vertical="top" wrapText="1"/>
      <protection locked="0"/>
    </xf>
    <xf numFmtId="43" fontId="35" fillId="0" borderId="0" xfId="0" applyNumberFormat="1" applyFont="1" applyAlignment="1">
      <alignment horizontal="center" vertical="center" wrapText="1"/>
    </xf>
    <xf numFmtId="43" fontId="35" fillId="0" borderId="0" xfId="0" applyNumberFormat="1" applyFont="1" applyAlignment="1">
      <alignment horizontal="center" vertical="center"/>
    </xf>
    <xf numFmtId="0" fontId="142" fillId="58" borderId="0" xfId="0" applyFont="1" applyFill="1" applyAlignment="1" applyProtection="1">
      <alignment horizontal="left" vertical="top" wrapText="1"/>
      <protection locked="0"/>
    </xf>
    <xf numFmtId="0" fontId="153" fillId="21" borderId="101" xfId="0" applyFont="1" applyFill="1" applyBorder="1" applyAlignment="1" applyProtection="1">
      <alignment horizontal="left" vertical="top" wrapText="1"/>
      <protection locked="0"/>
    </xf>
    <xf numFmtId="0" fontId="34" fillId="21" borderId="101" xfId="0" applyFont="1" applyFill="1" applyBorder="1" applyAlignment="1" applyProtection="1">
      <alignment horizontal="left" vertical="top" wrapText="1"/>
      <protection locked="0"/>
    </xf>
    <xf numFmtId="0" fontId="91" fillId="51" borderId="122" xfId="0" applyFont="1" applyFill="1" applyBorder="1" applyAlignment="1">
      <alignment horizontal="center" vertical="center" wrapText="1"/>
    </xf>
    <xf numFmtId="0" fontId="91" fillId="51" borderId="123" xfId="0" applyFont="1" applyFill="1" applyBorder="1" applyAlignment="1">
      <alignment horizontal="center" vertical="center" wrapText="1"/>
    </xf>
    <xf numFmtId="0" fontId="91" fillId="51" borderId="152" xfId="0" applyFont="1" applyFill="1" applyBorder="1" applyAlignment="1">
      <alignment horizontal="center" vertical="center" wrapText="1"/>
    </xf>
    <xf numFmtId="0" fontId="33" fillId="0" borderId="0" xfId="0" applyFont="1" applyAlignment="1">
      <alignment horizontal="center"/>
    </xf>
    <xf numFmtId="0" fontId="0" fillId="0" borderId="0" xfId="0" applyAlignment="1"/>
    <xf numFmtId="0" fontId="14" fillId="0" borderId="86" xfId="0" applyFont="1" applyBorder="1" applyAlignment="1"/>
    <xf numFmtId="0" fontId="0" fillId="0" borderId="27" xfId="0" applyBorder="1" applyAlignment="1"/>
  </cellXfs>
  <cellStyles count="172">
    <cellStyle name="???????????" xfId="90" xr:uid="{00000000-0005-0000-0000-000000000000}"/>
    <cellStyle name="????????????? ???????????" xfId="91" xr:uid="{00000000-0005-0000-0000-000001000000}"/>
    <cellStyle name="_TB_Calc_number" xfId="67" xr:uid="{00000000-0005-0000-0000-000002000000}"/>
    <cellStyle name="_TB_Calc_percent" xfId="68" xr:uid="{00000000-0005-0000-0000-000003000000}"/>
    <cellStyle name="_TB_def_number" xfId="69" xr:uid="{00000000-0005-0000-0000-000004000000}"/>
    <cellStyle name="_TB_def_percent" xfId="70" xr:uid="{00000000-0005-0000-0000-000005000000}"/>
    <cellStyle name="_TB_results1" xfId="87" xr:uid="{00000000-0005-0000-0000-000006000000}"/>
    <cellStyle name="_TB_subtitle2" xfId="71" xr:uid="{00000000-0005-0000-0000-000007000000}"/>
    <cellStyle name="_TB_textunprotect" xfId="88" xr:uid="{00000000-0005-0000-0000-000008000000}"/>
    <cellStyle name="_TB_years" xfId="89" xr:uid="{00000000-0005-0000-0000-000009000000}"/>
    <cellStyle name="20% - Accent1" xfId="1" xr:uid="{00000000-0005-0000-0000-00000A000000}"/>
    <cellStyle name="20% - Accent2" xfId="2" xr:uid="{00000000-0005-0000-0000-00000B000000}"/>
    <cellStyle name="20% - Accent3" xfId="3" xr:uid="{00000000-0005-0000-0000-00000C000000}"/>
    <cellStyle name="20% - Accent4" xfId="4" xr:uid="{00000000-0005-0000-0000-00000D000000}"/>
    <cellStyle name="20% - Accent5" xfId="5" xr:uid="{00000000-0005-0000-0000-00000E000000}"/>
    <cellStyle name="20% - Accent6" xfId="6" xr:uid="{00000000-0005-0000-0000-00000F000000}"/>
    <cellStyle name="20% - Акцент1 2" xfId="92" xr:uid="{00000000-0005-0000-0000-000010000000}"/>
    <cellStyle name="20% - Акцент2 2" xfId="93" xr:uid="{00000000-0005-0000-0000-000011000000}"/>
    <cellStyle name="20% - Акцент3 2" xfId="94" xr:uid="{00000000-0005-0000-0000-000012000000}"/>
    <cellStyle name="20% - Акцент4 2" xfId="95" xr:uid="{00000000-0005-0000-0000-000013000000}"/>
    <cellStyle name="20% - Акцент5 2" xfId="96" xr:uid="{00000000-0005-0000-0000-000014000000}"/>
    <cellStyle name="20% - Акцент6 2" xfId="97" xr:uid="{00000000-0005-0000-0000-000015000000}"/>
    <cellStyle name="40% - Accent1" xfId="7" xr:uid="{00000000-0005-0000-0000-000016000000}"/>
    <cellStyle name="40% - Accent2" xfId="8" xr:uid="{00000000-0005-0000-0000-000017000000}"/>
    <cellStyle name="40% - Accent3" xfId="9" xr:uid="{00000000-0005-0000-0000-000018000000}"/>
    <cellStyle name="40% - Accent4" xfId="10" xr:uid="{00000000-0005-0000-0000-000019000000}"/>
    <cellStyle name="40% - Accent5" xfId="11" xr:uid="{00000000-0005-0000-0000-00001A000000}"/>
    <cellStyle name="40% - Accent6" xfId="12" xr:uid="{00000000-0005-0000-0000-00001B000000}"/>
    <cellStyle name="40% - Акцент1 2" xfId="98" xr:uid="{00000000-0005-0000-0000-00001C000000}"/>
    <cellStyle name="40% - Акцент2 2" xfId="99" xr:uid="{00000000-0005-0000-0000-00001D000000}"/>
    <cellStyle name="40% - Акцент3 2" xfId="100" xr:uid="{00000000-0005-0000-0000-00001E000000}"/>
    <cellStyle name="40% - Акцент4 2" xfId="101" xr:uid="{00000000-0005-0000-0000-00001F000000}"/>
    <cellStyle name="40% - Акцент5 2" xfId="102" xr:uid="{00000000-0005-0000-0000-000020000000}"/>
    <cellStyle name="40% - Акцент6 2" xfId="103" xr:uid="{00000000-0005-0000-0000-000021000000}"/>
    <cellStyle name="60% - Accent1" xfId="13" xr:uid="{00000000-0005-0000-0000-000022000000}"/>
    <cellStyle name="60% - Accent2" xfId="14" xr:uid="{00000000-0005-0000-0000-000023000000}"/>
    <cellStyle name="60% - Accent3" xfId="15" xr:uid="{00000000-0005-0000-0000-000024000000}"/>
    <cellStyle name="60% - Accent4" xfId="16" xr:uid="{00000000-0005-0000-0000-000025000000}"/>
    <cellStyle name="60% - Accent5" xfId="17" xr:uid="{00000000-0005-0000-0000-000026000000}"/>
    <cellStyle name="60% - Accent6" xfId="18" xr:uid="{00000000-0005-0000-0000-000027000000}"/>
    <cellStyle name="60% - Акцент1 2" xfId="104" xr:uid="{00000000-0005-0000-0000-000028000000}"/>
    <cellStyle name="60% - Акцент2 2" xfId="105" xr:uid="{00000000-0005-0000-0000-000029000000}"/>
    <cellStyle name="60% - Акцент3 2" xfId="106" xr:uid="{00000000-0005-0000-0000-00002A000000}"/>
    <cellStyle name="60% - Акцент4 2" xfId="107" xr:uid="{00000000-0005-0000-0000-00002B000000}"/>
    <cellStyle name="60% - Акцент5 2" xfId="108" xr:uid="{00000000-0005-0000-0000-00002C000000}"/>
    <cellStyle name="60% - Акцент6 2" xfId="109" xr:uid="{00000000-0005-0000-0000-00002D000000}"/>
    <cellStyle name="Accent1" xfId="19" xr:uid="{00000000-0005-0000-0000-00002E000000}"/>
    <cellStyle name="Accent2" xfId="20" xr:uid="{00000000-0005-0000-0000-00002F000000}"/>
    <cellStyle name="Accent3" xfId="21" xr:uid="{00000000-0005-0000-0000-000030000000}"/>
    <cellStyle name="Accent4" xfId="22" xr:uid="{00000000-0005-0000-0000-000031000000}"/>
    <cellStyle name="Accent5" xfId="23" xr:uid="{00000000-0005-0000-0000-000032000000}"/>
    <cellStyle name="Accent6" xfId="24" xr:uid="{00000000-0005-0000-0000-000033000000}"/>
    <cellStyle name="Activity" xfId="171" xr:uid="{00000000-0005-0000-0000-000034000000}"/>
    <cellStyle name="Ãèïåðññûëêà" xfId="110" xr:uid="{00000000-0005-0000-0000-000035000000}"/>
    <cellStyle name="Bad" xfId="25" xr:uid="{00000000-0005-0000-0000-000036000000}"/>
    <cellStyle name="Calculation" xfId="26" xr:uid="{00000000-0005-0000-0000-000037000000}"/>
    <cellStyle name="Check Cell" xfId="27" xr:uid="{00000000-0005-0000-0000-000038000000}"/>
    <cellStyle name="Comma" xfId="60" builtinId="3"/>
    <cellStyle name="Comma 2" xfId="80" xr:uid="{00000000-0005-0000-0000-000039000000}"/>
    <cellStyle name="Comma 2 2" xfId="66" xr:uid="{00000000-0005-0000-0000-00003A000000}"/>
    <cellStyle name="Comma 2 3" xfId="83" xr:uid="{00000000-0005-0000-0000-00003B000000}"/>
    <cellStyle name="Comma 3" xfId="85" xr:uid="{00000000-0005-0000-0000-00003C000000}"/>
    <cellStyle name="Comma 4" xfId="111" xr:uid="{00000000-0005-0000-0000-00003D000000}"/>
    <cellStyle name="Comma 5" xfId="112" xr:uid="{00000000-0005-0000-0000-00003E000000}"/>
    <cellStyle name="Euro" xfId="28" xr:uid="{00000000-0005-0000-0000-00003F000000}"/>
    <cellStyle name="Euro 2" xfId="113" xr:uid="{00000000-0005-0000-0000-000040000000}"/>
    <cellStyle name="Explanatory Text" xfId="29" xr:uid="{00000000-0005-0000-0000-000041000000}"/>
    <cellStyle name="Good" xfId="30" xr:uid="{00000000-0005-0000-0000-000042000000}"/>
    <cellStyle name="Heading 1" xfId="31" xr:uid="{00000000-0005-0000-0000-000043000000}"/>
    <cellStyle name="Heading 2" xfId="32" xr:uid="{00000000-0005-0000-0000-000044000000}"/>
    <cellStyle name="Heading 3" xfId="33" xr:uid="{00000000-0005-0000-0000-000045000000}"/>
    <cellStyle name="Heading 4" xfId="34" xr:uid="{00000000-0005-0000-0000-000046000000}"/>
    <cellStyle name="Hyperlink 2" xfId="72" xr:uid="{00000000-0005-0000-0000-000047000000}"/>
    <cellStyle name="Hyperlink 3" xfId="114" xr:uid="{00000000-0005-0000-0000-000048000000}"/>
    <cellStyle name="info" xfId="115" xr:uid="{00000000-0005-0000-0000-000049000000}"/>
    <cellStyle name="Input" xfId="35" xr:uid="{00000000-0005-0000-0000-00004A000000}"/>
    <cellStyle name="Îòêðûâàâøàÿñÿ ãèïåðññûëêà" xfId="116" xr:uid="{00000000-0005-0000-0000-00004B000000}"/>
    <cellStyle name="Linked Cell" xfId="36" xr:uid="{00000000-0005-0000-0000-00004C000000}"/>
    <cellStyle name="ListData" xfId="117" xr:uid="{00000000-0005-0000-0000-00004D000000}"/>
    <cellStyle name="Millares 2" xfId="37" xr:uid="{00000000-0005-0000-0000-00004E000000}"/>
    <cellStyle name="Normal" xfId="0" builtinId="0"/>
    <cellStyle name="Normal 10" xfId="118" xr:uid="{00000000-0005-0000-0000-00004F000000}"/>
    <cellStyle name="Normal 11" xfId="119" xr:uid="{00000000-0005-0000-0000-000050000000}"/>
    <cellStyle name="Normal 12" xfId="170" xr:uid="{00000000-0005-0000-0000-000051000000}"/>
    <cellStyle name="Normal 2" xfId="38" xr:uid="{00000000-0005-0000-0000-000052000000}"/>
    <cellStyle name="Normal 2 2" xfId="39" xr:uid="{00000000-0005-0000-0000-000053000000}"/>
    <cellStyle name="Normal 2 2 2" xfId="82" xr:uid="{00000000-0005-0000-0000-000054000000}"/>
    <cellStyle name="Normal 2 3" xfId="40" xr:uid="{00000000-0005-0000-0000-000055000000}"/>
    <cellStyle name="Normal 2 4" xfId="41" xr:uid="{00000000-0005-0000-0000-000056000000}"/>
    <cellStyle name="Normal 2 5" xfId="42" xr:uid="{00000000-0005-0000-0000-000057000000}"/>
    <cellStyle name="Normal 2 6" xfId="43" xr:uid="{00000000-0005-0000-0000-000058000000}"/>
    <cellStyle name="Normal 2 7" xfId="44" xr:uid="{00000000-0005-0000-0000-000059000000}"/>
    <cellStyle name="Normal 2 8" xfId="45" xr:uid="{00000000-0005-0000-0000-00005A000000}"/>
    <cellStyle name="Normal 2 9" xfId="63" xr:uid="{00000000-0005-0000-0000-00005B000000}"/>
    <cellStyle name="Normal 2_Dashboard ver 2.2 ES" xfId="46" xr:uid="{00000000-0005-0000-0000-00005C000000}"/>
    <cellStyle name="Normal 2_Prototipo" xfId="47" xr:uid="{00000000-0005-0000-0000-00005D000000}"/>
    <cellStyle name="Normal 3" xfId="48" xr:uid="{00000000-0005-0000-0000-00005E000000}"/>
    <cellStyle name="Normal 3 2" xfId="73" xr:uid="{00000000-0005-0000-0000-00005F000000}"/>
    <cellStyle name="Normal 4" xfId="49" xr:uid="{00000000-0005-0000-0000-000060000000}"/>
    <cellStyle name="Normal 4 2" xfId="74" xr:uid="{00000000-0005-0000-0000-000061000000}"/>
    <cellStyle name="Normal 5" xfId="50" xr:uid="{00000000-0005-0000-0000-000062000000}"/>
    <cellStyle name="Normal 5 2" xfId="76" xr:uid="{00000000-0005-0000-0000-000063000000}"/>
    <cellStyle name="Normal 5 3" xfId="75" xr:uid="{00000000-0005-0000-0000-000064000000}"/>
    <cellStyle name="Normal 6" xfId="51" xr:uid="{00000000-0005-0000-0000-000065000000}"/>
    <cellStyle name="Normal 6 2" xfId="77" xr:uid="{00000000-0005-0000-0000-000066000000}"/>
    <cellStyle name="Normal 7" xfId="62" xr:uid="{00000000-0005-0000-0000-000067000000}"/>
    <cellStyle name="Normal 7 2" xfId="120" xr:uid="{00000000-0005-0000-0000-000068000000}"/>
    <cellStyle name="Normal 8" xfId="121" xr:uid="{00000000-0005-0000-0000-000069000000}"/>
    <cellStyle name="Normal 8 2" xfId="122" xr:uid="{00000000-0005-0000-0000-00006A000000}"/>
    <cellStyle name="Normal 9" xfId="123" xr:uid="{00000000-0005-0000-0000-00006B000000}"/>
    <cellStyle name="Note" xfId="52" xr:uid="{00000000-0005-0000-0000-00006D000000}"/>
    <cellStyle name="Output" xfId="53" xr:uid="{00000000-0005-0000-0000-00006E000000}"/>
    <cellStyle name="Percent" xfId="59" builtinId="5"/>
    <cellStyle name="Percent 2" xfId="64" xr:uid="{00000000-0005-0000-0000-00006F000000}"/>
    <cellStyle name="Percent 3" xfId="65" xr:uid="{00000000-0005-0000-0000-000070000000}"/>
    <cellStyle name="Percent 4" xfId="86" xr:uid="{00000000-0005-0000-0000-000071000000}"/>
    <cellStyle name="Percent 5" xfId="124" xr:uid="{00000000-0005-0000-0000-000072000000}"/>
    <cellStyle name="Percent 6" xfId="125" xr:uid="{00000000-0005-0000-0000-000073000000}"/>
    <cellStyle name="Percent 7" xfId="126" xr:uid="{00000000-0005-0000-0000-000074000000}"/>
    <cellStyle name="Percent 8" xfId="127" xr:uid="{00000000-0005-0000-0000-000075000000}"/>
    <cellStyle name="SheetHeader" xfId="128" xr:uid="{00000000-0005-0000-0000-000076000000}"/>
    <cellStyle name="TableHeader" xfId="129" xr:uid="{00000000-0005-0000-0000-000077000000}"/>
    <cellStyle name="Title" xfId="54" xr:uid="{00000000-0005-0000-0000-000078000000}"/>
    <cellStyle name="Título 3 3" xfId="55" xr:uid="{00000000-0005-0000-0000-000079000000}"/>
    <cellStyle name="Título 3 3_Prototipo" xfId="56" xr:uid="{00000000-0005-0000-0000-00007A000000}"/>
    <cellStyle name="Título 3 7" xfId="57" xr:uid="{00000000-0005-0000-0000-00007C000000}"/>
    <cellStyle name="Warning Text" xfId="58" xr:uid="{00000000-0005-0000-0000-00007D000000}"/>
    <cellStyle name="Акцент1 2" xfId="130" xr:uid="{00000000-0005-0000-0000-00007E000000}"/>
    <cellStyle name="Акцент2 2" xfId="131" xr:uid="{00000000-0005-0000-0000-00007F000000}"/>
    <cellStyle name="Акцент3 2" xfId="132" xr:uid="{00000000-0005-0000-0000-000080000000}"/>
    <cellStyle name="Акцент4 2" xfId="133" xr:uid="{00000000-0005-0000-0000-000081000000}"/>
    <cellStyle name="Акцент5 2" xfId="134" xr:uid="{00000000-0005-0000-0000-000082000000}"/>
    <cellStyle name="Акцент6 2" xfId="135" xr:uid="{00000000-0005-0000-0000-000083000000}"/>
    <cellStyle name="Ввод  2" xfId="136" xr:uid="{00000000-0005-0000-0000-000084000000}"/>
    <cellStyle name="Вывод 2" xfId="137" xr:uid="{00000000-0005-0000-0000-000085000000}"/>
    <cellStyle name="Вычисление 2" xfId="138" xr:uid="{00000000-0005-0000-0000-000086000000}"/>
    <cellStyle name="Гиперссылка 2" xfId="139" xr:uid="{00000000-0005-0000-0000-000087000000}"/>
    <cellStyle name="Гиперссылка 3" xfId="140" xr:uid="{00000000-0005-0000-0000-000088000000}"/>
    <cellStyle name="Заголовок 1 2" xfId="141" xr:uid="{00000000-0005-0000-0000-000089000000}"/>
    <cellStyle name="Заголовок 2 2" xfId="142" xr:uid="{00000000-0005-0000-0000-00008A000000}"/>
    <cellStyle name="Заголовок 3 2" xfId="143" xr:uid="{00000000-0005-0000-0000-00008B000000}"/>
    <cellStyle name="Заголовок 4 2" xfId="144" xr:uid="{00000000-0005-0000-0000-00008C000000}"/>
    <cellStyle name="Итог 2" xfId="145" xr:uid="{00000000-0005-0000-0000-00008D000000}"/>
    <cellStyle name="Контрольная ячейка 2" xfId="146" xr:uid="{00000000-0005-0000-0000-00008E000000}"/>
    <cellStyle name="Название 2" xfId="147" xr:uid="{00000000-0005-0000-0000-00008F000000}"/>
    <cellStyle name="Нейтральный 2" xfId="148" xr:uid="{00000000-0005-0000-0000-000090000000}"/>
    <cellStyle name="Обычный 2" xfId="78" xr:uid="{00000000-0005-0000-0000-000092000000}"/>
    <cellStyle name="Обычный 2 2" xfId="149" xr:uid="{00000000-0005-0000-0000-000093000000}"/>
    <cellStyle name="Обычный 2 3" xfId="150" xr:uid="{00000000-0005-0000-0000-000094000000}"/>
    <cellStyle name="Обычный 3" xfId="79" xr:uid="{00000000-0005-0000-0000-000095000000}"/>
    <cellStyle name="Обычный 4" xfId="151" xr:uid="{00000000-0005-0000-0000-000096000000}"/>
    <cellStyle name="Обычный 4 2" xfId="152" xr:uid="{00000000-0005-0000-0000-000097000000}"/>
    <cellStyle name="Обычный 4_KGZ Rnd 7 budget HIV" xfId="153" xr:uid="{00000000-0005-0000-0000-000098000000}"/>
    <cellStyle name="Обычный 5" xfId="154" xr:uid="{00000000-0005-0000-0000-000099000000}"/>
    <cellStyle name="Обычный 6" xfId="155" xr:uid="{00000000-0005-0000-0000-00009A000000}"/>
    <cellStyle name="Обычный 7" xfId="61" xr:uid="{00000000-0005-0000-0000-00009B000000}"/>
    <cellStyle name="Плохой 2" xfId="156" xr:uid="{00000000-0005-0000-0000-00009C000000}"/>
    <cellStyle name="Пояснение 2" xfId="157" xr:uid="{00000000-0005-0000-0000-00009D000000}"/>
    <cellStyle name="Примечание 2" xfId="158" xr:uid="{00000000-0005-0000-0000-00009E000000}"/>
    <cellStyle name="Процентный 2" xfId="159" xr:uid="{00000000-0005-0000-0000-0000A0000000}"/>
    <cellStyle name="Процентный 3" xfId="81" xr:uid="{00000000-0005-0000-0000-0000A1000000}"/>
    <cellStyle name="Связанная ячейка 2" xfId="160" xr:uid="{00000000-0005-0000-0000-0000A2000000}"/>
    <cellStyle name="Текст предупреждения 2" xfId="161" xr:uid="{00000000-0005-0000-0000-0000A3000000}"/>
    <cellStyle name="Финансовый 2" xfId="162" xr:uid="{00000000-0005-0000-0000-0000A5000000}"/>
    <cellStyle name="Финансовый 2 2" xfId="163" xr:uid="{00000000-0005-0000-0000-0000A6000000}"/>
    <cellStyle name="Финансовый 3" xfId="164" xr:uid="{00000000-0005-0000-0000-0000A7000000}"/>
    <cellStyle name="Финансовый 4" xfId="165" xr:uid="{00000000-0005-0000-0000-0000A8000000}"/>
    <cellStyle name="Финансовый 5" xfId="166" xr:uid="{00000000-0005-0000-0000-0000A9000000}"/>
    <cellStyle name="Финансовый 6" xfId="167" xr:uid="{00000000-0005-0000-0000-0000AA000000}"/>
    <cellStyle name="Финансовый 7" xfId="84" xr:uid="{00000000-0005-0000-0000-0000AB000000}"/>
    <cellStyle name="Хороший 2" xfId="169" xr:uid="{00000000-0005-0000-0000-0000AC000000}"/>
    <cellStyle name="Хороший 3" xfId="168" xr:uid="{00000000-0005-0000-0000-0000AD000000}"/>
  </cellStyles>
  <dxfs count="41">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63"/>
        </patternFill>
      </fill>
    </dxf>
    <dxf>
      <fill>
        <patternFill>
          <bgColor indexed="42"/>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5708999.7549785394</c:v>
                </c:pt>
                <c:pt idx="1">
                  <c:v>16073556.164202979</c:v>
                </c:pt>
                <c:pt idx="2">
                  <c:v>32756947.425098851</c:v>
                </c:pt>
              </c:numCache>
            </c:numRef>
          </c:val>
          <c:extLs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18761018</c:v>
                </c:pt>
                <c:pt idx="1">
                  <c:v>21957907.009999998</c:v>
                </c:pt>
                <c:pt idx="2">
                  <c:v>33330456.960000001</c:v>
                </c:pt>
              </c:numCache>
            </c:numRef>
          </c:val>
          <c:extLs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1388296480"/>
        <c:axId val="1388287232"/>
      </c:barChart>
      <c:catAx>
        <c:axId val="13882964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1388287232"/>
        <c:crosses val="autoZero"/>
        <c:auto val="1"/>
        <c:lblAlgn val="ctr"/>
        <c:lblOffset val="100"/>
        <c:tickLblSkip val="1"/>
        <c:tickMarkSkip val="1"/>
        <c:noMultiLvlLbl val="0"/>
      </c:catAx>
      <c:valAx>
        <c:axId val="13882872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13882964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данных'!$A$110:$A$114</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данных'!$C$110:$C$114</c:f>
              <c:numCache>
                <c:formatCode>0</c:formatCode>
                <c:ptCount val="5"/>
                <c:pt idx="0" formatCode="General">
                  <c:v>0</c:v>
                </c:pt>
                <c:pt idx="1">
                  <c:v>0</c:v>
                </c:pt>
                <c:pt idx="2">
                  <c:v>35</c:v>
                </c:pt>
                <c:pt idx="4">
                  <c:v>7</c:v>
                </c:pt>
              </c:numCache>
            </c:numRef>
          </c:val>
          <c:extLs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10EC-4E35-BA7D-5D43EEA8A97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'Ввод данных'!$A$110:$A$114</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данных'!$D$110:$D$114</c:f>
              <c:numCache>
                <c:formatCode>0</c:formatCode>
                <c:ptCount val="5"/>
                <c:pt idx="0" formatCode="General">
                  <c:v>0</c:v>
                </c:pt>
                <c:pt idx="1">
                  <c:v>0</c:v>
                </c:pt>
                <c:pt idx="2">
                  <c:v>0</c:v>
                </c:pt>
                <c:pt idx="3">
                  <c:v>0</c:v>
                </c:pt>
                <c:pt idx="4">
                  <c:v>0</c:v>
                </c:pt>
              </c:numCache>
            </c:numRef>
          </c:val>
          <c:extLs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1388293216"/>
        <c:axId val="1388288320"/>
      </c:barChart>
      <c:catAx>
        <c:axId val="13882932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88320"/>
        <c:crosses val="autoZero"/>
        <c:auto val="1"/>
        <c:lblAlgn val="ctr"/>
        <c:lblOffset val="100"/>
        <c:noMultiLvlLbl val="0"/>
      </c:catAx>
      <c:valAx>
        <c:axId val="138828832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38829321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0-9E67-4D7D-BE0E-C99C3E701244}"/>
            </c:ext>
          </c:extLst>
        </c:ser>
        <c:ser>
          <c:idx val="1"/>
          <c:order val="1"/>
          <c:tx>
            <c:strRef>
              <c:f>'Ввод данных'!$C$88</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данных'!$C$89:$C$92</c:f>
              <c:numCache>
                <c:formatCode>0</c:formatCode>
                <c:ptCount val="4"/>
                <c:pt idx="0">
                  <c:v>0</c:v>
                </c:pt>
                <c:pt idx="1">
                  <c:v>0</c:v>
                </c:pt>
                <c:pt idx="2">
                  <c:v>0</c:v>
                </c:pt>
                <c:pt idx="3">
                  <c:v>0</c:v>
                </c:pt>
              </c:numCache>
            </c:numRef>
          </c:val>
          <c:extLst>
            <c:ext xmlns:c16="http://schemas.microsoft.com/office/drawing/2014/chart" uri="{C3380CC4-5D6E-409C-BE32-E72D297353CC}">
              <c16:uniqueId val="{00000001-9E67-4D7D-BE0E-C99C3E701244}"/>
            </c:ext>
          </c:extLst>
        </c:ser>
        <c:ser>
          <c:idx val="2"/>
          <c:order val="2"/>
          <c:tx>
            <c:strRef>
              <c:f>'Ввод данных'!$D$88</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данных'!$D$89:$D$92</c:f>
              <c:numCache>
                <c:formatCode>0</c:formatCode>
                <c:ptCount val="4"/>
                <c:pt idx="0">
                  <c:v>0</c:v>
                </c:pt>
                <c:pt idx="1">
                  <c:v>0</c:v>
                </c:pt>
                <c:pt idx="2">
                  <c:v>0</c:v>
                </c:pt>
                <c:pt idx="3">
                  <c:v>0</c:v>
                </c:pt>
              </c:numCache>
            </c:numRef>
          </c:val>
          <c:extLst>
            <c:ext xmlns:c16="http://schemas.microsoft.com/office/drawing/2014/chart" uri="{C3380CC4-5D6E-409C-BE32-E72D297353CC}">
              <c16:uniqueId val="{00000002-9E67-4D7D-BE0E-C99C3E701244}"/>
            </c:ext>
          </c:extLst>
        </c:ser>
        <c:ser>
          <c:idx val="3"/>
          <c:order val="3"/>
          <c:tx>
            <c:v>Невыполненные и просроченные</c:v>
          </c:tx>
          <c:spPr>
            <a:solidFill>
              <a:schemeClr val="accent1">
                <a:lumMod val="60000"/>
              </a:schemeClr>
            </a:solidFill>
            <a:ln>
              <a:noFill/>
            </a:ln>
            <a:effectLst/>
          </c:spPr>
          <c:invertIfNegative val="0"/>
          <c:cat>
            <c:strRef>
              <c:f>'Ввод данных'!$A$89:$A$92</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Lit>
              <c:formatCode>General</c:formatCode>
              <c:ptCount val="4"/>
              <c:pt idx="0">
                <c:v>0</c:v>
              </c:pt>
              <c:pt idx="1">
                <c:v>0</c:v>
              </c:pt>
              <c:pt idx="2">
                <c:v>0</c:v>
              </c:pt>
              <c:pt idx="3">
                <c:v>0</c:v>
              </c:pt>
            </c:numLit>
          </c:val>
          <c:extLs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1511067088"/>
        <c:axId val="1511068720"/>
      </c:barChart>
      <c:catAx>
        <c:axId val="1511067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8720"/>
        <c:crosses val="autoZero"/>
        <c:auto val="1"/>
        <c:lblAlgn val="ctr"/>
        <c:lblOffset val="100"/>
        <c:tickLblSkip val="1"/>
        <c:tickMarkSkip val="1"/>
        <c:noMultiLvlLbl val="0"/>
      </c:catAx>
      <c:valAx>
        <c:axId val="151106872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511067088"/>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данных'!$A$98</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данных'!$B$104:$F$104</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данных'!$B$105:$F$105</c:f>
              <c:numCache>
                <c:formatCode>General</c:formatCode>
                <c:ptCount val="5"/>
                <c:pt idx="0">
                  <c:v>22</c:v>
                </c:pt>
                <c:pt idx="1">
                  <c:v>22</c:v>
                </c:pt>
                <c:pt idx="2">
                  <c:v>22</c:v>
                </c:pt>
                <c:pt idx="3">
                  <c:v>22</c:v>
                </c:pt>
                <c:pt idx="4">
                  <c:v>22</c:v>
                </c:pt>
              </c:numCache>
            </c:numRef>
          </c:val>
          <c:extLst>
            <c:ext xmlns:c16="http://schemas.microsoft.com/office/drawing/2014/chart" uri="{C3380CC4-5D6E-409C-BE32-E72D297353CC}">
              <c16:uniqueId val="{00000000-3C2F-4B91-B11C-0BA014ED291D}"/>
            </c:ext>
          </c:extLst>
        </c:ser>
        <c:ser>
          <c:idx val="1"/>
          <c:order val="1"/>
          <c:tx>
            <c:strRef>
              <c:f>'Ввод данных'!$A$100</c:f>
              <c:strCache>
                <c:ptCount val="1"/>
                <c:pt idx="0">
                  <c:v>Общее (оба компонента)</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данных'!$B$104:$F$104</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данных'!$B$106:$F$106</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1511067632"/>
        <c:axId val="1511058928"/>
      </c:barChart>
      <c:catAx>
        <c:axId val="1511067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8928"/>
        <c:crosses val="autoZero"/>
        <c:auto val="1"/>
        <c:lblAlgn val="ctr"/>
        <c:lblOffset val="100"/>
        <c:noMultiLvlLbl val="0"/>
      </c:catAx>
      <c:valAx>
        <c:axId val="1511058928"/>
        <c:scaling>
          <c:orientation val="minMax"/>
        </c:scaling>
        <c:delete val="1"/>
        <c:axPos val="l"/>
        <c:numFmt formatCode="General" sourceLinked="1"/>
        <c:majorTickMark val="none"/>
        <c:minorTickMark val="none"/>
        <c:tickLblPos val="nextTo"/>
        <c:crossAx val="15110676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данных'!$A$122</c:f>
              <c:strCache>
                <c:ptCount val="1"/>
                <c:pt idx="0">
                  <c:v>Совокупный утвердженный бюджет*</c:v>
                </c:pt>
              </c:strCache>
            </c:strRef>
          </c:tx>
          <c:spPr>
            <a:solidFill>
              <a:schemeClr val="accent1"/>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данных'!$B$122:$F$122</c:f>
              <c:numCache>
                <c:formatCode>#,##0</c:formatCode>
                <c:ptCount val="5"/>
                <c:pt idx="0">
                  <c:v>1718389.82</c:v>
                </c:pt>
                <c:pt idx="1">
                  <c:v>6653148.3300000001</c:v>
                </c:pt>
                <c:pt idx="2">
                  <c:v>14211371.180461455</c:v>
                </c:pt>
              </c:numCache>
            </c:numRef>
          </c:val>
          <c:extLst>
            <c:ext xmlns:c16="http://schemas.microsoft.com/office/drawing/2014/chart" uri="{C3380CC4-5D6E-409C-BE32-E72D297353CC}">
              <c16:uniqueId val="{00000000-D5DF-4B11-9CD6-1C5401548576}"/>
            </c:ext>
          </c:extLst>
        </c:ser>
        <c:ser>
          <c:idx val="1"/>
          <c:order val="1"/>
          <c:tx>
            <c:strRef>
              <c:f>'Ввод данных'!$A$123</c:f>
              <c:strCache>
                <c:ptCount val="1"/>
                <c:pt idx="0">
                  <c:v>Общий объем финансовых обязательств</c:v>
                </c:pt>
              </c:strCache>
            </c:strRef>
          </c:tx>
          <c:spPr>
            <a:solidFill>
              <a:schemeClr val="accent2"/>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данных'!$B$123:$F$123</c:f>
              <c:numCache>
                <c:formatCode>#,##0</c:formatCode>
                <c:ptCount val="5"/>
                <c:pt idx="0">
                  <c:v>2445797</c:v>
                </c:pt>
                <c:pt idx="1">
                  <c:v>4134253.8999999994</c:v>
                </c:pt>
                <c:pt idx="2">
                  <c:v>313996.26</c:v>
                </c:pt>
              </c:numCache>
            </c:numRef>
          </c:val>
          <c:extLst>
            <c:ext xmlns:c16="http://schemas.microsoft.com/office/drawing/2014/chart" uri="{C3380CC4-5D6E-409C-BE32-E72D297353CC}">
              <c16:uniqueId val="{00000001-D5DF-4B11-9CD6-1C5401548576}"/>
            </c:ext>
          </c:extLst>
        </c:ser>
        <c:ser>
          <c:idx val="2"/>
          <c:order val="2"/>
          <c:tx>
            <c:strRef>
              <c:f>'Ввод данных'!$A$124</c:f>
              <c:strCache>
                <c:ptCount val="1"/>
                <c:pt idx="0">
                  <c:v>Общий объем расходов</c:v>
                </c:pt>
              </c:strCache>
            </c:strRef>
          </c:tx>
          <c:spPr>
            <a:solidFill>
              <a:schemeClr val="accent3"/>
            </a:solidFill>
            <a:ln>
              <a:noFill/>
            </a:ln>
            <a:effectLst/>
          </c:spPr>
          <c:invertIfNegative val="0"/>
          <c:cat>
            <c:strRef>
              <c:f>'Ввод данных'!$B$118:$F$118</c:f>
              <c:strCache>
                <c:ptCount val="5"/>
                <c:pt idx="0">
                  <c:v>P1</c:v>
                </c:pt>
                <c:pt idx="1">
                  <c:v>P2</c:v>
                </c:pt>
                <c:pt idx="2">
                  <c:v>P3</c:v>
                </c:pt>
                <c:pt idx="3">
                  <c:v>P4</c:v>
                </c:pt>
                <c:pt idx="4">
                  <c:v>P5</c:v>
                </c:pt>
              </c:strCache>
            </c:strRef>
          </c:cat>
          <c:val>
            <c:numRef>
              <c:f>'Ввод данных'!$B$124:$F$124</c:f>
              <c:numCache>
                <c:formatCode>#,##0</c:formatCode>
                <c:ptCount val="5"/>
                <c:pt idx="0">
                  <c:v>1718390</c:v>
                </c:pt>
                <c:pt idx="1">
                  <c:v>6653148.5100000007</c:v>
                </c:pt>
                <c:pt idx="2">
                  <c:v>13686833.25</c:v>
                </c:pt>
              </c:numCache>
            </c:numRef>
          </c:val>
          <c:extLst>
            <c:ext xmlns:c16="http://schemas.microsoft.com/office/drawing/2014/chart" uri="{C3380CC4-5D6E-409C-BE32-E72D297353CC}">
              <c16:uniqueId val="{00000002-D5DF-4B11-9CD6-1C5401548576}"/>
            </c:ext>
          </c:extLst>
        </c:ser>
        <c:dLbls>
          <c:showLegendKey val="0"/>
          <c:showVal val="0"/>
          <c:showCatName val="0"/>
          <c:showSerName val="0"/>
          <c:showPercent val="0"/>
          <c:showBubbleSize val="0"/>
        </c:dLbls>
        <c:gapWidth val="219"/>
        <c:overlap val="-27"/>
        <c:axId val="390931016"/>
        <c:axId val="390927408"/>
      </c:barChart>
      <c:catAx>
        <c:axId val="390931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27408"/>
        <c:crosses val="autoZero"/>
        <c:auto val="1"/>
        <c:lblAlgn val="ctr"/>
        <c:lblOffset val="100"/>
        <c:noMultiLvlLbl val="0"/>
      </c:catAx>
      <c:valAx>
        <c:axId val="3909274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90931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данных'!$A$98</c:f>
              <c:strCache>
                <c:ptCount val="1"/>
                <c:pt idx="0">
                  <c:v>ВИЧ/СПИД</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данных'!$B$98:$D$98</c:f>
              <c:numCache>
                <c:formatCode>0</c:formatCode>
                <c:ptCount val="3"/>
                <c:pt idx="0">
                  <c:v>5</c:v>
                </c:pt>
                <c:pt idx="1">
                  <c:v>5</c:v>
                </c:pt>
                <c:pt idx="2">
                  <c:v>0</c:v>
                </c:pt>
              </c:numCache>
            </c:numRef>
          </c:val>
          <c:extLst>
            <c:ext xmlns:c16="http://schemas.microsoft.com/office/drawing/2014/chart" uri="{C3380CC4-5D6E-409C-BE32-E72D297353CC}">
              <c16:uniqueId val="{00000000-A73B-4FB5-940A-8CCE9EAD75A2}"/>
            </c:ext>
          </c:extLst>
        </c:ser>
        <c:ser>
          <c:idx val="0"/>
          <c:order val="1"/>
          <c:tx>
            <c:strRef>
              <c:f>'Ввод данных'!$A$99</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данных'!$B$99:$D$99</c:f>
              <c:numCache>
                <c:formatCode>0</c:formatCode>
                <c:ptCount val="3"/>
                <c:pt idx="0" formatCode="General">
                  <c:v>2</c:v>
                </c:pt>
                <c:pt idx="1">
                  <c:v>2</c:v>
                </c:pt>
                <c:pt idx="2">
                  <c:v>0</c:v>
                </c:pt>
              </c:numCache>
            </c:numRef>
          </c:val>
          <c:extLst>
            <c:ext xmlns:c16="http://schemas.microsoft.com/office/drawing/2014/chart" uri="{C3380CC4-5D6E-409C-BE32-E72D297353CC}">
              <c16:uniqueId val="{00000001-A73B-4FB5-940A-8CCE9EAD75A2}"/>
            </c:ext>
          </c:extLst>
        </c:ser>
        <c:ser>
          <c:idx val="2"/>
          <c:order val="2"/>
          <c:tx>
            <c:strRef>
              <c:f>'Ввод данных'!$A$100</c:f>
              <c:strCache>
                <c:ptCount val="1"/>
                <c:pt idx="0">
                  <c:v>Общее (оба компонента)</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данных'!$B$97:$D$97</c:f>
              <c:strCache>
                <c:ptCount val="3"/>
                <c:pt idx="0">
                  <c:v>Запланировано</c:v>
                </c:pt>
                <c:pt idx="1">
                  <c:v>Заполнено</c:v>
                </c:pt>
                <c:pt idx="2">
                  <c:v>Вакантно</c:v>
                </c:pt>
              </c:strCache>
            </c:strRef>
          </c:cat>
          <c:val>
            <c:numRef>
              <c:f>'Ввод данных'!$B$100:$D$100</c:f>
              <c:numCache>
                <c:formatCode>0</c:formatCode>
                <c:ptCount val="3"/>
                <c:pt idx="0" formatCode="General">
                  <c:v>17</c:v>
                </c:pt>
                <c:pt idx="1">
                  <c:v>17</c:v>
                </c:pt>
                <c:pt idx="2">
                  <c:v>0</c:v>
                </c:pt>
              </c:numCache>
            </c:numRef>
          </c:val>
          <c:extLst>
            <c:ext xmlns:c16="http://schemas.microsoft.com/office/drawing/2014/chart" uri="{C3380CC4-5D6E-409C-BE32-E72D297353CC}">
              <c16:uniqueId val="{00000002-A73B-4FB5-940A-8CCE9EAD75A2}"/>
            </c:ext>
          </c:extLst>
        </c:ser>
        <c:dLbls>
          <c:showLegendKey val="0"/>
          <c:showVal val="1"/>
          <c:showCatName val="0"/>
          <c:showSerName val="0"/>
          <c:showPercent val="0"/>
          <c:showBubbleSize val="0"/>
        </c:dLbls>
        <c:gapWidth val="150"/>
        <c:overlap val="-25"/>
        <c:axId val="1511063280"/>
        <c:axId val="1511061648"/>
      </c:barChart>
      <c:catAx>
        <c:axId val="1511063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1648"/>
        <c:crosses val="autoZero"/>
        <c:auto val="1"/>
        <c:lblAlgn val="ctr"/>
        <c:lblOffset val="100"/>
        <c:noMultiLvlLbl val="0"/>
      </c:catAx>
      <c:valAx>
        <c:axId val="1511061648"/>
        <c:scaling>
          <c:orientation val="minMax"/>
        </c:scaling>
        <c:delete val="1"/>
        <c:axPos val="l"/>
        <c:numFmt formatCode="0" sourceLinked="1"/>
        <c:majorTickMark val="none"/>
        <c:minorTickMark val="none"/>
        <c:tickLblPos val="nextTo"/>
        <c:crossAx val="15110632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326686947608713E-2"/>
          <c:y val="0.23113881949596191"/>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данных'!$A$39:$A$63</c:f>
              <c:strCache>
                <c:ptCount val="25"/>
                <c:pt idx="0">
                  <c:v>Диагностика и тестирование COVID</c:v>
                </c:pt>
                <c:pt idx="1">
                  <c:v>Смягчение негативных воздействий для программ по ВИЧ</c:v>
                </c:pt>
                <c:pt idx="2">
                  <c:v>Устранение препятствий к услугам, связанных с правами человека и гендерными факторами</c:v>
                </c:pt>
                <c:pt idx="3">
                  <c:v>Кейс-менеджмент, клинические операции и лечение</c:v>
                </c:pt>
                <c:pt idx="4">
                  <c:v>Профилактика инфекций, контроль и защита медицинских работников</c:v>
                </c:pt>
                <c:pt idx="5">
                  <c:v>Лабораторные системы</c:v>
                </c:pt>
                <c:pt idx="6">
                  <c:v>Смягчение негативных воздействий для программ по ТБ</c:v>
                </c:pt>
                <c:pt idx="7">
                  <c:v>Надзор: эпидемиологическое расследование и отслеживание контактов</c:v>
                </c:pt>
                <c:pt idx="8">
                  <c:v>Мероприятия по изменению поведения</c:v>
                </c:pt>
                <c:pt idx="9">
                  <c:v>Программы обмена игл и шприцев</c:v>
                </c:pt>
                <c:pt idx="10">
                  <c:v>Опиоидная заместительная терапия и другое лечение наркозависимости с медицинской помощью</c:v>
                </c:pt>
                <c:pt idx="11">
                  <c:v>Лечение (МЛУ ТБ)</c:v>
                </c:pt>
                <c:pt idx="12">
                  <c:v>Выявление и диагностика случаев (МЛУ-ТБ)</c:v>
                </c:pt>
                <c:pt idx="13">
                  <c:v>Оказание помощи при МЛУ-ТБ по месту жительства</c:v>
                </c:pt>
                <c:pt idx="14">
                  <c:v>Дифференцированное предоставление услуг АРВТ и помощь при ВИЧ</c:v>
                </c:pt>
                <c:pt idx="15">
                  <c:v>Консультации и психосоциальная поддержка</c:v>
                </c:pt>
                <c:pt idx="16">
                  <c:v>Тестирование в учреждениях</c:v>
                </c:pt>
                <c:pt idx="17">
                  <c:v>Тестирование в сообществах</c:v>
                </c:pt>
                <c:pt idx="18">
                  <c:v>Мобилизация сообщества и адвокация (ВИЧ / ТБ)</c:v>
                </c:pt>
                <c:pt idx="19">
                  <c:v>Снижение стигмы и дискриминации (ВИЧ / ТБ)</c:v>
                </c:pt>
                <c:pt idx="20">
                  <c:v>Юридические услуги по ВИЧ и ВИЧ/ТБ</c:v>
                </c:pt>
                <c:pt idx="21">
                  <c:v>Системы менеджмента качества и аккредитация</c:v>
                </c:pt>
                <c:pt idx="22">
                  <c:v>Системы управления инфраструктурой и оборудованием</c:v>
                </c:pt>
                <c:pt idx="23">
                  <c:v>Регулярная отчетность</c:v>
                </c:pt>
                <c:pt idx="24">
                  <c:v>Управление грантом</c:v>
                </c:pt>
              </c:strCache>
            </c:strRef>
          </c:cat>
          <c:val>
            <c:numRef>
              <c:f>'Ввод данных'!$B$39:$B$63</c:f>
              <c:numCache>
                <c:formatCode>_(* #,##0.00_);_(* \(#,##0.00\);_(* "-"??_);_(@_)</c:formatCode>
                <c:ptCount val="25"/>
                <c:pt idx="0">
                  <c:v>163926.47654375</c:v>
                </c:pt>
                <c:pt idx="1">
                  <c:v>171209.729791786</c:v>
                </c:pt>
                <c:pt idx="2">
                  <c:v>35491.420828175302</c:v>
                </c:pt>
                <c:pt idx="3">
                  <c:v>682686.40496734099</c:v>
                </c:pt>
                <c:pt idx="4">
                  <c:v>3786.12</c:v>
                </c:pt>
                <c:pt idx="5">
                  <c:v>245616.80968087001</c:v>
                </c:pt>
                <c:pt idx="6">
                  <c:v>6115.83</c:v>
                </c:pt>
                <c:pt idx="7">
                  <c:v>13479.328406041201</c:v>
                </c:pt>
                <c:pt idx="8">
                  <c:v>622376.47550645506</c:v>
                </c:pt>
                <c:pt idx="9">
                  <c:v>474007.19648429699</c:v>
                </c:pt>
                <c:pt idx="10">
                  <c:v>639118.93305226695</c:v>
                </c:pt>
                <c:pt idx="11">
                  <c:v>4404661.1840626597</c:v>
                </c:pt>
                <c:pt idx="12">
                  <c:v>1998542.4898747499</c:v>
                </c:pt>
                <c:pt idx="13">
                  <c:v>301710.16954890598</c:v>
                </c:pt>
                <c:pt idx="14">
                  <c:v>806403.61089733196</c:v>
                </c:pt>
                <c:pt idx="15">
                  <c:v>256031.911378035</c:v>
                </c:pt>
                <c:pt idx="16">
                  <c:v>43440.876561402998</c:v>
                </c:pt>
                <c:pt idx="17">
                  <c:v>382805.48576712399</c:v>
                </c:pt>
                <c:pt idx="18">
                  <c:v>201468.92299868801</c:v>
                </c:pt>
                <c:pt idx="19">
                  <c:v>346009.23123738897</c:v>
                </c:pt>
                <c:pt idx="20">
                  <c:v>154884.99120251799</c:v>
                </c:pt>
                <c:pt idx="21">
                  <c:v>80758.025659360297</c:v>
                </c:pt>
                <c:pt idx="22">
                  <c:v>327867.71000000002</c:v>
                </c:pt>
                <c:pt idx="23">
                  <c:v>37508.501581438897</c:v>
                </c:pt>
                <c:pt idx="24" formatCode="#,##0.00">
                  <c:v>4283483.4248652896</c:v>
                </c:pt>
              </c:numCache>
            </c:numRef>
          </c:val>
          <c:extLs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данных'!$A$39:$A$63</c:f>
              <c:strCache>
                <c:ptCount val="25"/>
                <c:pt idx="0">
                  <c:v>Диагностика и тестирование COVID</c:v>
                </c:pt>
                <c:pt idx="1">
                  <c:v>Смягчение негативных воздействий для программ по ВИЧ</c:v>
                </c:pt>
                <c:pt idx="2">
                  <c:v>Устранение препятствий к услугам, связанных с правами человека и гендерными факторами</c:v>
                </c:pt>
                <c:pt idx="3">
                  <c:v>Кейс-менеджмент, клинические операции и лечение</c:v>
                </c:pt>
                <c:pt idx="4">
                  <c:v>Профилактика инфекций, контроль и защита медицинских работников</c:v>
                </c:pt>
                <c:pt idx="5">
                  <c:v>Лабораторные системы</c:v>
                </c:pt>
                <c:pt idx="6">
                  <c:v>Смягчение негативных воздействий для программ по ТБ</c:v>
                </c:pt>
                <c:pt idx="7">
                  <c:v>Надзор: эпидемиологическое расследование и отслеживание контактов</c:v>
                </c:pt>
                <c:pt idx="8">
                  <c:v>Мероприятия по изменению поведения</c:v>
                </c:pt>
                <c:pt idx="9">
                  <c:v>Программы обмена игл и шприцев</c:v>
                </c:pt>
                <c:pt idx="10">
                  <c:v>Опиоидная заместительная терапия и другое лечение наркозависимости с медицинской помощью</c:v>
                </c:pt>
                <c:pt idx="11">
                  <c:v>Лечение (МЛУ ТБ)</c:v>
                </c:pt>
                <c:pt idx="12">
                  <c:v>Выявление и диагностика случаев (МЛУ-ТБ)</c:v>
                </c:pt>
                <c:pt idx="13">
                  <c:v>Оказание помощи при МЛУ-ТБ по месту жительства</c:v>
                </c:pt>
                <c:pt idx="14">
                  <c:v>Дифференцированное предоставление услуг АРВТ и помощь при ВИЧ</c:v>
                </c:pt>
                <c:pt idx="15">
                  <c:v>Консультации и психосоциальная поддержка</c:v>
                </c:pt>
                <c:pt idx="16">
                  <c:v>Тестирование в учреждениях</c:v>
                </c:pt>
                <c:pt idx="17">
                  <c:v>Тестирование в сообществах</c:v>
                </c:pt>
                <c:pt idx="18">
                  <c:v>Мобилизация сообщества и адвокация (ВИЧ / ТБ)</c:v>
                </c:pt>
                <c:pt idx="19">
                  <c:v>Снижение стигмы и дискриминации (ВИЧ / ТБ)</c:v>
                </c:pt>
                <c:pt idx="20">
                  <c:v>Юридические услуги по ВИЧ и ВИЧ/ТБ</c:v>
                </c:pt>
                <c:pt idx="21">
                  <c:v>Системы менеджмента качества и аккредитация</c:v>
                </c:pt>
                <c:pt idx="22">
                  <c:v>Системы управления инфраструктурой и оборудованием</c:v>
                </c:pt>
                <c:pt idx="23">
                  <c:v>Регулярная отчетность</c:v>
                </c:pt>
                <c:pt idx="24">
                  <c:v>Управление грантом</c:v>
                </c:pt>
              </c:strCache>
            </c:strRef>
          </c:cat>
          <c:val>
            <c:numRef>
              <c:f>'Ввод данных'!$C$39:$C$63</c:f>
              <c:numCache>
                <c:formatCode>_(* #,##0.00_);_(* \(#,##0.00\);_(* "-"??_);_(@_)</c:formatCode>
                <c:ptCount val="25"/>
                <c:pt idx="0">
                  <c:v>147866.40999999997</c:v>
                </c:pt>
                <c:pt idx="1">
                  <c:v>171816.64148626212</c:v>
                </c:pt>
                <c:pt idx="2">
                  <c:v>35214.704746335963</c:v>
                </c:pt>
                <c:pt idx="3">
                  <c:v>589208.44000000006</c:v>
                </c:pt>
                <c:pt idx="4">
                  <c:v>4262.0400000000045</c:v>
                </c:pt>
                <c:pt idx="5">
                  <c:v>108149.88</c:v>
                </c:pt>
                <c:pt idx="6">
                  <c:v>6115.8338373415199</c:v>
                </c:pt>
                <c:pt idx="7">
                  <c:v>405.75</c:v>
                </c:pt>
                <c:pt idx="8">
                  <c:v>516180.186478936</c:v>
                </c:pt>
                <c:pt idx="9">
                  <c:v>464674.15776443062</c:v>
                </c:pt>
                <c:pt idx="10">
                  <c:v>274431.96121758735</c:v>
                </c:pt>
                <c:pt idx="11">
                  <c:v>3638433.9274053522</c:v>
                </c:pt>
                <c:pt idx="12">
                  <c:v>1666218.23</c:v>
                </c:pt>
                <c:pt idx="13">
                  <c:v>247387.24424886791</c:v>
                </c:pt>
                <c:pt idx="14">
                  <c:v>1404028.4630516658</c:v>
                </c:pt>
                <c:pt idx="15">
                  <c:v>160625.49261041783</c:v>
                </c:pt>
                <c:pt idx="16">
                  <c:v>57980.12</c:v>
                </c:pt>
                <c:pt idx="17">
                  <c:v>267166.52999999997</c:v>
                </c:pt>
                <c:pt idx="18">
                  <c:v>260593.68994123259</c:v>
                </c:pt>
                <c:pt idx="19">
                  <c:v>325630.09924792207</c:v>
                </c:pt>
                <c:pt idx="20">
                  <c:v>162578.77078917698</c:v>
                </c:pt>
                <c:pt idx="21">
                  <c:v>95468.270992981066</c:v>
                </c:pt>
                <c:pt idx="22">
                  <c:v>93871.61</c:v>
                </c:pt>
                <c:pt idx="23">
                  <c:v>46972.964552252335</c:v>
                </c:pt>
                <c:pt idx="24" formatCode="#,##0">
                  <c:v>2643542.6360858721</c:v>
                </c:pt>
              </c:numCache>
            </c:numRef>
          </c:val>
          <c:extLs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1388297024"/>
        <c:axId val="1388292128"/>
      </c:barChart>
      <c:catAx>
        <c:axId val="1388297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1388292128"/>
        <c:crosses val="autoZero"/>
        <c:auto val="1"/>
        <c:lblAlgn val="ctr"/>
        <c:lblOffset val="100"/>
        <c:tickMarkSkip val="1"/>
        <c:noMultiLvlLbl val="0"/>
      </c:catAx>
      <c:valAx>
        <c:axId val="13882921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13882970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данных'!$A$69:$A$72</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данных'!$B$69:$B$72</c:f>
              <c:numCache>
                <c:formatCode>#,##0</c:formatCode>
                <c:ptCount val="4"/>
                <c:pt idx="0">
                  <c:v>21957907.009999998</c:v>
                </c:pt>
                <c:pt idx="1">
                  <c:v>12158982.398843355</c:v>
                </c:pt>
                <c:pt idx="2">
                  <c:v>4155763.69</c:v>
                </c:pt>
                <c:pt idx="3">
                  <c:v>3933382.8720644177</c:v>
                </c:pt>
              </c:numCache>
            </c:numRef>
          </c:val>
          <c:extLs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данных'!$A$69:$A$72</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данных'!$C$69:$C$72</c:f>
              <c:numCache>
                <c:formatCode>#,##0</c:formatCode>
                <c:ptCount val="4"/>
                <c:pt idx="0">
                  <c:v>11372549.949999999</c:v>
                </c:pt>
                <c:pt idx="1">
                  <c:v>11052794.31142755</c:v>
                </c:pt>
                <c:pt idx="2">
                  <c:v>2242134.7400000002</c:v>
                </c:pt>
                <c:pt idx="3">
                  <c:v>2336029.7430290864</c:v>
                </c:pt>
              </c:numCache>
            </c:numRef>
          </c:val>
          <c:extLs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1388286688"/>
        <c:axId val="1388282880"/>
      </c:barChart>
      <c:catAx>
        <c:axId val="1388286688"/>
        <c:scaling>
          <c:orientation val="minMax"/>
        </c:scaling>
        <c:delete val="0"/>
        <c:axPos val="b"/>
        <c:numFmt formatCode="General" sourceLinked="1"/>
        <c:majorTickMark val="none"/>
        <c:minorTickMark val="none"/>
        <c:tickLblPos val="nextTo"/>
        <c:crossAx val="1388282880"/>
        <c:crosses val="autoZero"/>
        <c:auto val="1"/>
        <c:lblAlgn val="ctr"/>
        <c:lblOffset val="100"/>
        <c:noMultiLvlLbl val="0"/>
      </c:catAx>
      <c:valAx>
        <c:axId val="138828288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138828668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KP-1d⁽ᴹ⁾ </a:t>
            </a:r>
            <a:r>
              <a:rPr lang="az-Cyrl-AZ" sz="1000"/>
              <a:t>Процент ЛУИН, охваченных программами по профилактике ВИЧ - минимальный пакет услуг			</a:t>
            </a:r>
          </a:p>
        </c:rich>
      </c:tx>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данных'!$D$197</c:f>
              <c:strCache>
                <c:ptCount val="1"/>
                <c:pt idx="0">
                  <c:v>Целевой показатель</c:v>
                </c:pt>
              </c:strCache>
            </c:strRef>
          </c:tx>
          <c:spPr>
            <a:solidFill>
              <a:schemeClr val="accent1"/>
            </a:solidFill>
            <a:ln>
              <a:noFill/>
            </a:ln>
            <a:effectLst/>
          </c:spPr>
          <c:invertIfNegative val="0"/>
          <c:dLbls>
            <c:dLbl>
              <c:idx val="0"/>
              <c:tx>
                <c:rich>
                  <a:bodyPr/>
                  <a:lstStyle/>
                  <a:p>
                    <a:r>
                      <a:rPr lang="en-US"/>
                      <a:t>70%</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D89-4376-83F7-F3EBD3D5E08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данных'!$E$196:$G$196</c:f>
              <c:strCache>
                <c:ptCount val="3"/>
                <c:pt idx="0">
                  <c:v>P1</c:v>
                </c:pt>
                <c:pt idx="1">
                  <c:v>P2</c:v>
                </c:pt>
                <c:pt idx="2">
                  <c:v>P3</c:v>
                </c:pt>
              </c:strCache>
            </c:strRef>
          </c:cat>
          <c:val>
            <c:numRef>
              <c:f>'Ввод данных'!$E$197:$G$197</c:f>
              <c:numCache>
                <c:formatCode>0.00%</c:formatCode>
                <c:ptCount val="3"/>
                <c:pt idx="0" formatCode="0%">
                  <c:v>0.7</c:v>
                </c:pt>
                <c:pt idx="1">
                  <c:v>0.72</c:v>
                </c:pt>
                <c:pt idx="2">
                  <c:v>0.8</c:v>
                </c:pt>
              </c:numCache>
            </c:numRef>
          </c:val>
          <c:extLst>
            <c:ext xmlns:c16="http://schemas.microsoft.com/office/drawing/2014/chart" uri="{C3380CC4-5D6E-409C-BE32-E72D297353CC}">
              <c16:uniqueId val="{00000000-F4FA-4784-8E5F-61D375F426FC}"/>
            </c:ext>
          </c:extLst>
        </c:ser>
        <c:ser>
          <c:idx val="1"/>
          <c:order val="1"/>
          <c:tx>
            <c:strRef>
              <c:f>'Ввод данных'!$D$198</c:f>
              <c:strCache>
                <c:ptCount val="1"/>
                <c:pt idx="0">
                  <c:v>Достигнуто </c:v>
                </c:pt>
              </c:strCache>
            </c:strRef>
          </c:tx>
          <c:spPr>
            <a:solidFill>
              <a:schemeClr val="accent2"/>
            </a:solidFill>
            <a:ln>
              <a:noFill/>
            </a:ln>
            <a:effectLst/>
          </c:spPr>
          <c:invertIfNegative val="0"/>
          <c:dLbls>
            <c:dLbl>
              <c:idx val="0"/>
              <c:tx>
                <c:rich>
                  <a:bodyPr/>
                  <a:lstStyle/>
                  <a:p>
                    <a:r>
                      <a:rPr lang="en-US"/>
                      <a:t>68%</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D89-4376-83F7-F3EBD3D5E0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данных'!$E$196:$G$196</c:f>
              <c:strCache>
                <c:ptCount val="3"/>
                <c:pt idx="0">
                  <c:v>P1</c:v>
                </c:pt>
                <c:pt idx="1">
                  <c:v>P2</c:v>
                </c:pt>
                <c:pt idx="2">
                  <c:v>P3</c:v>
                </c:pt>
              </c:strCache>
            </c:strRef>
          </c:cat>
          <c:val>
            <c:numRef>
              <c:f>'Ввод данных'!$E$198:$G$198</c:f>
              <c:numCache>
                <c:formatCode>0.00%</c:formatCode>
                <c:ptCount val="3"/>
                <c:pt idx="0" formatCode="0%">
                  <c:v>0.68</c:v>
                </c:pt>
                <c:pt idx="1">
                  <c:v>0.69520000000000004</c:v>
                </c:pt>
                <c:pt idx="2">
                  <c:v>0.79320000000000002</c:v>
                </c:pt>
              </c:numCache>
            </c:numRef>
          </c:val>
          <c:extLst>
            <c:ext xmlns:c16="http://schemas.microsoft.com/office/drawing/2014/chart" uri="{C3380CC4-5D6E-409C-BE32-E72D297353CC}">
              <c16:uniqueId val="{00000000-5E2C-4D8B-9303-E6825A744889}"/>
            </c:ext>
          </c:extLst>
        </c:ser>
        <c:dLbls>
          <c:showLegendKey val="0"/>
          <c:showVal val="1"/>
          <c:showCatName val="0"/>
          <c:showSerName val="0"/>
          <c:showPercent val="0"/>
          <c:showBubbleSize val="0"/>
        </c:dLbls>
        <c:gapWidth val="150"/>
        <c:overlap val="-25"/>
        <c:axId val="1511059472"/>
        <c:axId val="1511063824"/>
      </c:barChart>
      <c:catAx>
        <c:axId val="1511059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3824"/>
        <c:crosses val="autoZero"/>
        <c:auto val="1"/>
        <c:lblAlgn val="ctr"/>
        <c:lblOffset val="100"/>
        <c:noMultiLvlLbl val="0"/>
      </c:catAx>
      <c:valAx>
        <c:axId val="1511063824"/>
        <c:scaling>
          <c:orientation val="minMax"/>
        </c:scaling>
        <c:delete val="1"/>
        <c:axPos val="l"/>
        <c:numFmt formatCode="0%" sourceLinked="1"/>
        <c:majorTickMark val="none"/>
        <c:minorTickMark val="none"/>
        <c:tickLblPos val="nextTo"/>
        <c:crossAx val="1511059472"/>
        <c:crosses val="autoZero"/>
        <c:crossBetween val="between"/>
      </c:valAx>
      <c:spPr>
        <a:noFill/>
        <a:ln>
          <a:noFill/>
        </a:ln>
        <a:effectLst/>
      </c:spPr>
    </c:plotArea>
    <c:legend>
      <c:legendPos val="t"/>
      <c:layout>
        <c:manualLayout>
          <c:xMode val="edge"/>
          <c:yMode val="edge"/>
          <c:x val="0.16948667135520623"/>
          <c:y val="0.14742951907131011"/>
          <c:w val="0.51638426283155525"/>
          <c:h val="8.88531969928702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r>
              <a:rPr lang="en-US"/>
              <a:t>HTS-5 </a:t>
            </a:r>
            <a:r>
              <a:rPr lang="az-Cyrl-AZ"/>
              <a:t>Процент людей с впервые выявленным ВИЧ, начавших АРТ					</a:t>
            </a:r>
          </a:p>
        </c:rich>
      </c:tx>
      <c:overlay val="0"/>
      <c:spPr>
        <a:noFill/>
        <a:ln>
          <a:noFill/>
        </a:ln>
        <a:effectLst/>
      </c:spPr>
      <c:txPr>
        <a:bodyPr rot="0" spcFirstLastPara="1" vertOverflow="ellipsis" vert="horz" wrap="square" anchor="ctr" anchorCtr="1"/>
        <a:lstStyle/>
        <a:p>
          <a:pPr>
            <a:defRPr sz="9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1"/>
          <c:order val="0"/>
          <c:tx>
            <c:strRef>
              <c:f>'Ввод данных'!$D$199</c:f>
              <c:strCache>
                <c:ptCount val="1"/>
                <c:pt idx="0">
                  <c:v>Целевой показатель</c:v>
                </c:pt>
              </c:strCache>
            </c:strRef>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данных'!$E$199:$G$199</c:f>
              <c:numCache>
                <c:formatCode>0.00%</c:formatCode>
                <c:ptCount val="3"/>
                <c:pt idx="0" formatCode="0%">
                  <c:v>0.9</c:v>
                </c:pt>
                <c:pt idx="1">
                  <c:v>0.9</c:v>
                </c:pt>
                <c:pt idx="2">
                  <c:v>0.9</c:v>
                </c:pt>
              </c:numCache>
            </c:numRef>
          </c:val>
          <c:extLst>
            <c:ext xmlns:c16="http://schemas.microsoft.com/office/drawing/2014/chart" uri="{C3380CC4-5D6E-409C-BE32-E72D297353CC}">
              <c16:uniqueId val="{00000000-5B30-4091-B18A-6AC4751D1127}"/>
            </c:ext>
          </c:extLst>
        </c:ser>
        <c:ser>
          <c:idx val="0"/>
          <c:order val="1"/>
          <c:tx>
            <c:strRef>
              <c:f>'Ввод данных'!$D$200</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данных'!$E$200:$G$200</c:f>
              <c:numCache>
                <c:formatCode>0.00%</c:formatCode>
                <c:ptCount val="3"/>
                <c:pt idx="0" formatCode="0%">
                  <c:v>0.88</c:v>
                </c:pt>
                <c:pt idx="1">
                  <c:v>0.92</c:v>
                </c:pt>
                <c:pt idx="2">
                  <c:v>0.89</c:v>
                </c:pt>
              </c:numCache>
            </c:numRef>
          </c:val>
          <c:extLst>
            <c:ext xmlns:c16="http://schemas.microsoft.com/office/drawing/2014/chart" uri="{C3380CC4-5D6E-409C-BE32-E72D297353CC}">
              <c16:uniqueId val="{00000001-CBEF-44A4-AA78-3F1EBD06D11B}"/>
            </c:ext>
          </c:extLst>
        </c:ser>
        <c:dLbls>
          <c:showLegendKey val="0"/>
          <c:showVal val="1"/>
          <c:showCatName val="0"/>
          <c:showSerName val="0"/>
          <c:showPercent val="0"/>
          <c:showBubbleSize val="0"/>
        </c:dLbls>
        <c:gapWidth val="150"/>
        <c:overlap val="-25"/>
        <c:axId val="1511070352"/>
        <c:axId val="1511060560"/>
      </c:barChart>
      <c:catAx>
        <c:axId val="1511070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0560"/>
        <c:crosses val="autoZero"/>
        <c:auto val="1"/>
        <c:lblAlgn val="ctr"/>
        <c:lblOffset val="100"/>
        <c:noMultiLvlLbl val="0"/>
      </c:catAx>
      <c:valAx>
        <c:axId val="1511060560"/>
        <c:scaling>
          <c:orientation val="minMax"/>
        </c:scaling>
        <c:delete val="1"/>
        <c:axPos val="l"/>
        <c:numFmt formatCode="0%" sourceLinked="1"/>
        <c:majorTickMark val="none"/>
        <c:minorTickMark val="none"/>
        <c:tickLblPos val="nextTo"/>
        <c:crossAx val="15110703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a:t>TCS-1.1⁽ᴹ⁾ </a:t>
            </a:r>
            <a:r>
              <a:rPr lang="az-Cyrl-AZ"/>
              <a:t>Процент людей, получающих АРТ, среди всех людей, живущих с ВИЧ, на конец отчетного периода					</a:t>
            </a:r>
          </a:p>
        </c:rich>
      </c:tx>
      <c:layout>
        <c:manualLayout>
          <c:xMode val="edge"/>
          <c:yMode val="edge"/>
          <c:x val="9.7200540445663577E-2"/>
          <c:y val="3.1620553359683792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3.1607165244810873E-2"/>
          <c:y val="0.41958879750515099"/>
          <c:w val="0.95654014778838503"/>
          <c:h val="0.47126236863080889"/>
        </c:manualLayout>
      </c:layout>
      <c:barChart>
        <c:barDir val="col"/>
        <c:grouping val="clustered"/>
        <c:varyColors val="0"/>
        <c:ser>
          <c:idx val="0"/>
          <c:order val="0"/>
          <c:tx>
            <c:strRef>
              <c:f>'Ввод данных'!$D$201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данных'!$E$201:$G$201</c:f>
              <c:numCache>
                <c:formatCode>0.00%</c:formatCode>
                <c:ptCount val="3"/>
                <c:pt idx="0" formatCode="0%">
                  <c:v>0.72</c:v>
                </c:pt>
                <c:pt idx="1">
                  <c:v>0.81330000000000002</c:v>
                </c:pt>
                <c:pt idx="2">
                  <c:v>0.9</c:v>
                </c:pt>
              </c:numCache>
            </c:numRef>
          </c:val>
          <c:extLst>
            <c:ext xmlns:c16="http://schemas.microsoft.com/office/drawing/2014/chart" uri="{C3380CC4-5D6E-409C-BE32-E72D297353CC}">
              <c16:uniqueId val="{00000000-8E36-4759-95E6-C1FD3F67DC3B}"/>
            </c:ext>
          </c:extLst>
        </c:ser>
        <c:ser>
          <c:idx val="1"/>
          <c:order val="1"/>
          <c:tx>
            <c:strRef>
              <c:f>'Ввод данных'!$D$202</c:f>
              <c:strCache>
                <c:ptCount val="1"/>
                <c:pt idx="0">
                  <c:v>Достигнуто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данных'!$E$202:$G$202</c:f>
              <c:numCache>
                <c:formatCode>0.00%</c:formatCode>
                <c:ptCount val="3"/>
                <c:pt idx="0" formatCode="0.0%">
                  <c:v>0.54</c:v>
                </c:pt>
                <c:pt idx="1">
                  <c:v>0.57469999999999999</c:v>
                </c:pt>
                <c:pt idx="2">
                  <c:v>0.57750000000000001</c:v>
                </c:pt>
              </c:numCache>
            </c:numRef>
          </c:val>
          <c:extLst>
            <c:ext xmlns:c16="http://schemas.microsoft.com/office/drawing/2014/chart" uri="{C3380CC4-5D6E-409C-BE32-E72D297353CC}">
              <c16:uniqueId val="{00000001-41C3-4460-A67D-C690C6047B8A}"/>
            </c:ext>
          </c:extLst>
        </c:ser>
        <c:dLbls>
          <c:showLegendKey val="0"/>
          <c:showVal val="1"/>
          <c:showCatName val="0"/>
          <c:showSerName val="0"/>
          <c:showPercent val="0"/>
          <c:showBubbleSize val="0"/>
        </c:dLbls>
        <c:gapWidth val="150"/>
        <c:overlap val="-25"/>
        <c:axId val="1511065456"/>
        <c:axId val="1511062736"/>
      </c:barChart>
      <c:catAx>
        <c:axId val="151106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62736"/>
        <c:crosses val="autoZero"/>
        <c:auto val="1"/>
        <c:lblAlgn val="ctr"/>
        <c:lblOffset val="100"/>
        <c:noMultiLvlLbl val="0"/>
      </c:catAx>
      <c:valAx>
        <c:axId val="1511062736"/>
        <c:scaling>
          <c:orientation val="minMax"/>
        </c:scaling>
        <c:delete val="1"/>
        <c:axPos val="l"/>
        <c:numFmt formatCode="0%" sourceLinked="1"/>
        <c:majorTickMark val="none"/>
        <c:minorTickMark val="none"/>
        <c:tickLblPos val="nextTo"/>
        <c:crossAx val="15110654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TB-6: </a:t>
            </a:r>
            <a:r>
              <a:rPr lang="az-Cyrl-AZ" sz="1000" b="0" i="0" u="none" strike="noStrike" baseline="0">
                <a:effectLst/>
              </a:rPr>
              <a:t>Процент ТБ пациентов с результатом ТЛЧ как минимум к рифампицину среди общего количества зарегистрированных (новых и ранее леченных) случаев том же году</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az-Cyrl-AZ"/>
        </a:p>
      </c:txPr>
    </c:title>
    <c:autoTitleDeleted val="0"/>
    <c:plotArea>
      <c:layout/>
      <c:barChart>
        <c:barDir val="col"/>
        <c:grouping val="clustered"/>
        <c:varyColors val="0"/>
        <c:ser>
          <c:idx val="0"/>
          <c:order val="0"/>
          <c:tx>
            <c:strRef>
              <c:f>'Ввод данных'!$D$207</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данных'!$E$207:$I$207</c:f>
              <c:numCache>
                <c:formatCode>0%</c:formatCode>
                <c:ptCount val="5"/>
                <c:pt idx="0">
                  <c:v>0.97</c:v>
                </c:pt>
                <c:pt idx="1">
                  <c:v>0.98</c:v>
                </c:pt>
                <c:pt idx="2">
                  <c:v>0.99</c:v>
                </c:pt>
              </c:numCache>
            </c:numRef>
          </c:val>
          <c:extLst>
            <c:ext xmlns:c16="http://schemas.microsoft.com/office/drawing/2014/chart" uri="{C3380CC4-5D6E-409C-BE32-E72D297353CC}">
              <c16:uniqueId val="{00000000-3B9B-49FD-BF6F-70EC39C3254D}"/>
            </c:ext>
          </c:extLst>
        </c:ser>
        <c:ser>
          <c:idx val="1"/>
          <c:order val="1"/>
          <c:tx>
            <c:strRef>
              <c:f>'Ввод данных'!$D$208</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данных'!$E$208:$I$208</c:f>
              <c:numCache>
                <c:formatCode>0%</c:formatCode>
                <c:ptCount val="5"/>
                <c:pt idx="0">
                  <c:v>0.94</c:v>
                </c:pt>
                <c:pt idx="1">
                  <c:v>0.95</c:v>
                </c:pt>
                <c:pt idx="2">
                  <c:v>0.95</c:v>
                </c:pt>
              </c:numCache>
            </c:numRef>
          </c:val>
          <c:extLs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1511056208"/>
        <c:axId val="1511056752"/>
      </c:barChart>
      <c:catAx>
        <c:axId val="1511056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1056752"/>
        <c:crosses val="autoZero"/>
        <c:auto val="1"/>
        <c:lblAlgn val="ctr"/>
        <c:lblOffset val="100"/>
        <c:noMultiLvlLbl val="0"/>
      </c:catAx>
      <c:valAx>
        <c:axId val="1511056752"/>
        <c:scaling>
          <c:orientation val="minMax"/>
        </c:scaling>
        <c:delete val="1"/>
        <c:axPos val="l"/>
        <c:numFmt formatCode="0%" sourceLinked="1"/>
        <c:majorTickMark val="none"/>
        <c:minorTickMark val="none"/>
        <c:tickLblPos val="nextTo"/>
        <c:crossAx val="15110562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TB-3: </a:t>
            </a:r>
            <a:r>
              <a:rPr lang="az-Cyrl-AZ" sz="1000" b="0" i="0" u="none" strike="noStrike" baseline="0">
                <a:effectLst/>
              </a:rPr>
              <a:t>Количество случаев с РУ/МЛУ ТБ, начавших лечение препаратами второго ряда</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az-Cyrl-AZ"/>
        </a:p>
      </c:txPr>
    </c:title>
    <c:autoTitleDeleted val="0"/>
    <c:plotArea>
      <c:layout/>
      <c:barChart>
        <c:barDir val="col"/>
        <c:grouping val="clustered"/>
        <c:varyColors val="0"/>
        <c:ser>
          <c:idx val="0"/>
          <c:order val="0"/>
          <c:tx>
            <c:strRef>
              <c:f>'Ввод данных'!$D$211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данных'!$E$211:$I$211</c:f>
              <c:numCache>
                <c:formatCode>#,##0</c:formatCode>
                <c:ptCount val="5"/>
                <c:pt idx="0">
                  <c:v>1612</c:v>
                </c:pt>
                <c:pt idx="1">
                  <c:v>1832</c:v>
                </c:pt>
                <c:pt idx="2">
                  <c:v>1850</c:v>
                </c:pt>
              </c:numCache>
            </c:numRef>
          </c:val>
          <c:extLst>
            <c:ext xmlns:c16="http://schemas.microsoft.com/office/drawing/2014/chart" uri="{C3380CC4-5D6E-409C-BE32-E72D297353CC}">
              <c16:uniqueId val="{00000000-0FA3-483E-9E00-1641FC511067}"/>
            </c:ext>
          </c:extLst>
        </c:ser>
        <c:ser>
          <c:idx val="1"/>
          <c:order val="1"/>
          <c:tx>
            <c:strRef>
              <c:f>'Ввод данных'!$D$212</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данных'!$E$212:$I$212</c:f>
              <c:numCache>
                <c:formatCode>#,##0</c:formatCode>
                <c:ptCount val="5"/>
                <c:pt idx="0">
                  <c:v>934</c:v>
                </c:pt>
                <c:pt idx="1">
                  <c:v>904</c:v>
                </c:pt>
                <c:pt idx="2">
                  <c:v>776</c:v>
                </c:pt>
              </c:numCache>
            </c:numRef>
          </c:val>
          <c:extLst>
            <c:ext xmlns:c16="http://schemas.microsoft.com/office/drawing/2014/chart" uri="{C3380CC4-5D6E-409C-BE32-E72D297353CC}">
              <c16:uniqueId val="{00000002-FBD6-4CFD-9ADD-E54BF7FE3C9B}"/>
            </c:ext>
          </c:extLst>
        </c:ser>
        <c:dLbls>
          <c:showLegendKey val="0"/>
          <c:showVal val="1"/>
          <c:showCatName val="0"/>
          <c:showSerName val="0"/>
          <c:showPercent val="0"/>
          <c:showBubbleSize val="0"/>
        </c:dLbls>
        <c:gapWidth val="150"/>
        <c:overlap val="-25"/>
        <c:axId val="1512274016"/>
        <c:axId val="1512273472"/>
      </c:barChart>
      <c:catAx>
        <c:axId val="151227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73472"/>
        <c:crosses val="autoZero"/>
        <c:auto val="1"/>
        <c:lblAlgn val="ctr"/>
        <c:lblOffset val="100"/>
        <c:noMultiLvlLbl val="0"/>
      </c:catAx>
      <c:valAx>
        <c:axId val="1512273472"/>
        <c:scaling>
          <c:orientation val="minMax"/>
        </c:scaling>
        <c:delete val="1"/>
        <c:axPos val="l"/>
        <c:numFmt formatCode="#,##0" sourceLinked="1"/>
        <c:majorTickMark val="none"/>
        <c:minorTickMark val="none"/>
        <c:tickLblPos val="nextTo"/>
        <c:crossAx val="151227401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b="0" i="0" u="none" strike="noStrike" baseline="0">
                <a:effectLst/>
              </a:rPr>
              <a:t>MDR TB-7: </a:t>
            </a:r>
            <a:r>
              <a:rPr lang="az-Cyrl-AZ" sz="1000" b="0" i="0" u="none" strike="noStrike" baseline="0">
                <a:effectLst/>
              </a:rPr>
              <a:t>Процент подтвержденных МЛУ-ТБ случаев, протестированных на чувствительность к препаратам второго ряда</a:t>
            </a:r>
            <a:endParaRPr lang="az-Cyrl-AZ" sz="1000"/>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az-Cyrl-AZ"/>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данных'!$D$213</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данных'!$E$213:$I$213</c:f>
              <c:numCache>
                <c:formatCode>0%</c:formatCode>
                <c:ptCount val="5"/>
                <c:pt idx="0">
                  <c:v>0.72</c:v>
                </c:pt>
                <c:pt idx="1">
                  <c:v>0.75</c:v>
                </c:pt>
                <c:pt idx="2">
                  <c:v>0.8</c:v>
                </c:pt>
              </c:numCache>
            </c:numRef>
          </c:val>
          <c:extLst>
            <c:ext xmlns:c16="http://schemas.microsoft.com/office/drawing/2014/chart" uri="{C3380CC4-5D6E-409C-BE32-E72D297353CC}">
              <c16:uniqueId val="{00000000-C5F8-4F29-8519-CACFFDA40A9D}"/>
            </c:ext>
          </c:extLst>
        </c:ser>
        <c:ser>
          <c:idx val="1"/>
          <c:order val="1"/>
          <c:tx>
            <c:strRef>
              <c:f>'Ввод данных'!$D$214</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данных'!$E$206:$I$206</c:f>
              <c:strCache>
                <c:ptCount val="5"/>
                <c:pt idx="0">
                  <c:v>Р1</c:v>
                </c:pt>
                <c:pt idx="1">
                  <c:v>Р2</c:v>
                </c:pt>
                <c:pt idx="2">
                  <c:v>P3</c:v>
                </c:pt>
                <c:pt idx="3">
                  <c:v>P4</c:v>
                </c:pt>
                <c:pt idx="4">
                  <c:v>P5</c:v>
                </c:pt>
              </c:strCache>
            </c:strRef>
          </c:cat>
          <c:val>
            <c:numRef>
              <c:f>'Ввод данных'!$E$214:$I$214</c:f>
              <c:numCache>
                <c:formatCode>0%</c:formatCode>
                <c:ptCount val="5"/>
                <c:pt idx="0">
                  <c:v>0.79</c:v>
                </c:pt>
                <c:pt idx="1">
                  <c:v>0.86699999999999999</c:v>
                </c:pt>
                <c:pt idx="2">
                  <c:v>0.86</c:v>
                </c:pt>
              </c:numCache>
            </c:numRef>
          </c:val>
          <c:extLst>
            <c:ext xmlns:c16="http://schemas.microsoft.com/office/drawing/2014/chart" uri="{C3380CC4-5D6E-409C-BE32-E72D297353CC}">
              <c16:uniqueId val="{00000001-2990-4390-BC04-5B6D0F1A34CC}"/>
            </c:ext>
          </c:extLst>
        </c:ser>
        <c:dLbls>
          <c:showLegendKey val="0"/>
          <c:showVal val="1"/>
          <c:showCatName val="0"/>
          <c:showSerName val="0"/>
          <c:showPercent val="0"/>
          <c:showBubbleSize val="0"/>
        </c:dLbls>
        <c:gapWidth val="150"/>
        <c:overlap val="-25"/>
        <c:axId val="1512272384"/>
        <c:axId val="1512268032"/>
      </c:barChart>
      <c:catAx>
        <c:axId val="1512272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1512268032"/>
        <c:crosses val="autoZero"/>
        <c:auto val="1"/>
        <c:lblAlgn val="ctr"/>
        <c:lblOffset val="100"/>
        <c:noMultiLvlLbl val="0"/>
      </c:catAx>
      <c:valAx>
        <c:axId val="1512268032"/>
        <c:scaling>
          <c:orientation val="minMax"/>
        </c:scaling>
        <c:delete val="1"/>
        <c:axPos val="l"/>
        <c:numFmt formatCode="0%" sourceLinked="1"/>
        <c:majorTickMark val="none"/>
        <c:minorTickMark val="none"/>
        <c:tickLblPos val="nextTo"/>
        <c:crossAx val="15122723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chart" Target="../charts/chart4.xml"/><Relationship Id="rId1" Type="http://schemas.openxmlformats.org/officeDocument/2006/relationships/hyperlink" Target="#&#1052;&#1077;&#1085;&#1102;!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hyperlink" Target="#&#1052;&#1077;&#1085;&#1102;!A1"/><Relationship Id="rId1" Type="http://schemas.openxmlformats.org/officeDocument/2006/relationships/chart" Target="../charts/chart10.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a:extLst>
            <a:ext uri="{FF2B5EF4-FFF2-40B4-BE49-F238E27FC236}">
              <a16:creationId xmlns:a16="http://schemas.microsoft.com/office/drawing/2014/main" id="{00000000-0008-0000-0000-000096F93B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a:extLst>
            <a:ext uri="{FF2B5EF4-FFF2-40B4-BE49-F238E27FC236}">
              <a16:creationId xmlns:a16="http://schemas.microsoft.com/office/drawing/2014/main" id="{00000000-0008-0000-0000-000097F93B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a:extLst>
            <a:ext uri="{FF2B5EF4-FFF2-40B4-BE49-F238E27FC236}">
              <a16:creationId xmlns:a16="http://schemas.microsoft.com/office/drawing/2014/main" id="{00000000-0008-0000-0000-000098F93B00}"/>
            </a:ext>
          </a:extLst>
        </xdr:cNvPr>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a:extLst>
            <a:ext uri="{FF2B5EF4-FFF2-40B4-BE49-F238E27FC236}">
              <a16:creationId xmlns:a16="http://schemas.microsoft.com/office/drawing/2014/main" id="{00000000-0008-0000-0000-000099F93B00}"/>
            </a:ext>
          </a:extLst>
        </xdr:cNvPr>
        <xdr:cNvGrpSpPr>
          <a:grpSpLocks/>
        </xdr:cNvGrpSpPr>
      </xdr:nvGrpSpPr>
      <xdr:grpSpPr bwMode="auto">
        <a:xfrm>
          <a:off x="3267075" y="2324100"/>
          <a:ext cx="1285875" cy="390525"/>
          <a:chOff x="1200" y="1912"/>
          <a:chExt cx="3456" cy="774"/>
        </a:xfrm>
      </xdr:grpSpPr>
      <xdr:sp macro="" textlink="">
        <xdr:nvSpPr>
          <xdr:cNvPr id="3930565" name="AutoShape 26">
            <a:extLst>
              <a:ext uri="{FF2B5EF4-FFF2-40B4-BE49-F238E27FC236}">
                <a16:creationId xmlns:a16="http://schemas.microsoft.com/office/drawing/2014/main" id="{00000000-0008-0000-0000-0000C5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a:extLst>
              <a:ext uri="{FF2B5EF4-FFF2-40B4-BE49-F238E27FC236}">
                <a16:creationId xmlns:a16="http://schemas.microsoft.com/office/drawing/2014/main" id="{00000000-0008-0000-0000-000016000000}"/>
              </a:ext>
            </a:extLst>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a:extLst>
            <a:ext uri="{FF2B5EF4-FFF2-40B4-BE49-F238E27FC236}">
              <a16:creationId xmlns:a16="http://schemas.microsoft.com/office/drawing/2014/main" id="{00000000-0008-0000-0000-00009AF93B00}"/>
            </a:ext>
          </a:extLst>
        </xdr:cNvPr>
        <xdr:cNvGrpSpPr>
          <a:grpSpLocks/>
        </xdr:cNvGrpSpPr>
      </xdr:nvGrpSpPr>
      <xdr:grpSpPr bwMode="auto">
        <a:xfrm>
          <a:off x="3267075" y="3343275"/>
          <a:ext cx="1314450" cy="352425"/>
          <a:chOff x="1200" y="1912"/>
          <a:chExt cx="3456" cy="774"/>
        </a:xfrm>
      </xdr:grpSpPr>
      <xdr:sp macro="" textlink="">
        <xdr:nvSpPr>
          <xdr:cNvPr id="3930562" name="AutoShape 26">
            <a:extLst>
              <a:ext uri="{FF2B5EF4-FFF2-40B4-BE49-F238E27FC236}">
                <a16:creationId xmlns:a16="http://schemas.microsoft.com/office/drawing/2014/main" id="{00000000-0008-0000-0000-0000C2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a:extLst>
              <a:ext uri="{FF2B5EF4-FFF2-40B4-BE49-F238E27FC236}">
                <a16:creationId xmlns:a16="http://schemas.microsoft.com/office/drawing/2014/main" id="{00000000-0008-0000-0000-00001A000000}"/>
              </a:ext>
            </a:extLst>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a:extLst>
            <a:ext uri="{FF2B5EF4-FFF2-40B4-BE49-F238E27FC236}">
              <a16:creationId xmlns:a16="http://schemas.microsoft.com/office/drawing/2014/main" id="{00000000-0008-0000-0000-00009BF93B00}"/>
            </a:ext>
          </a:extLst>
        </xdr:cNvPr>
        <xdr:cNvGrpSpPr>
          <a:grpSpLocks/>
        </xdr:cNvGrpSpPr>
      </xdr:nvGrpSpPr>
      <xdr:grpSpPr bwMode="auto">
        <a:xfrm>
          <a:off x="3257550" y="2838450"/>
          <a:ext cx="1314450" cy="371475"/>
          <a:chOff x="1200" y="1912"/>
          <a:chExt cx="3456" cy="774"/>
        </a:xfrm>
      </xdr:grpSpPr>
      <xdr:sp macro="" textlink="">
        <xdr:nvSpPr>
          <xdr:cNvPr id="3930559" name="AutoShape 26">
            <a:extLst>
              <a:ext uri="{FF2B5EF4-FFF2-40B4-BE49-F238E27FC236}">
                <a16:creationId xmlns:a16="http://schemas.microsoft.com/office/drawing/2014/main" id="{00000000-0008-0000-0000-0000BFF93B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a:extLst>
              <a:ext uri="{FF2B5EF4-FFF2-40B4-BE49-F238E27FC236}">
                <a16:creationId xmlns:a16="http://schemas.microsoft.com/office/drawing/2014/main" id="{00000000-0008-0000-0000-0000452C0300}"/>
              </a:ext>
            </a:extLst>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a:extLst>
            <a:ext uri="{FF2B5EF4-FFF2-40B4-BE49-F238E27FC236}">
              <a16:creationId xmlns:a16="http://schemas.microsoft.com/office/drawing/2014/main" id="{00000000-0008-0000-0000-00004E753000}"/>
            </a:ext>
          </a:extLst>
        </xdr:cNvPr>
        <xdr:cNvSpPr>
          <a:spLocks noChangeArrowheads="1"/>
        </xdr:cNvSpPr>
      </xdr:nvSpPr>
      <xdr:spPr bwMode="auto">
        <a:xfrm>
          <a:off x="2247900" y="1428750"/>
          <a:ext cx="3362325" cy="238125"/>
        </a:xfrm>
        <a:prstGeom prst="rect">
          <a:avLst/>
        </a:prstGeom>
        <a:noFill/>
        <a:ln>
          <a:noFill/>
        </a:ln>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a:extLst>
            <a:ext uri="{FF2B5EF4-FFF2-40B4-BE49-F238E27FC236}">
              <a16:creationId xmlns:a16="http://schemas.microsoft.com/office/drawing/2014/main" id="{00000000-0008-0000-0000-00009DF93B00}"/>
            </a:ext>
          </a:extLst>
        </xdr:cNvPr>
        <xdr:cNvGrpSpPr>
          <a:grpSpLocks/>
        </xdr:cNvGrpSpPr>
      </xdr:nvGrpSpPr>
      <xdr:grpSpPr bwMode="auto">
        <a:xfrm>
          <a:off x="5715000" y="2495550"/>
          <a:ext cx="1504950" cy="390525"/>
          <a:chOff x="599" y="262"/>
          <a:chExt cx="158" cy="43"/>
        </a:xfrm>
      </xdr:grpSpPr>
      <xdr:sp macro="" textlink="">
        <xdr:nvSpPr>
          <xdr:cNvPr id="3930555" name="AutoShape 30">
            <a:extLst>
              <a:ext uri="{FF2B5EF4-FFF2-40B4-BE49-F238E27FC236}">
                <a16:creationId xmlns:a16="http://schemas.microsoft.com/office/drawing/2014/main" id="{00000000-0008-0000-0000-0000BBF93B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a:extLst>
              <a:ext uri="{FF2B5EF4-FFF2-40B4-BE49-F238E27FC236}">
                <a16:creationId xmlns:a16="http://schemas.microsoft.com/office/drawing/2014/main" id="{00000000-0008-0000-0000-0000BCF93B00}"/>
              </a:ext>
            </a:extLst>
          </xdr:cNvPr>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a:extLst>
                <a:ext uri="{FF2B5EF4-FFF2-40B4-BE49-F238E27FC236}">
                  <a16:creationId xmlns:a16="http://schemas.microsoft.com/office/drawing/2014/main" id="{00000000-0008-0000-0000-000027130000}"/>
                </a:ext>
              </a:extLst>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a:extLst>
                <a:ext uri="{FF2B5EF4-FFF2-40B4-BE49-F238E27FC236}">
                  <a16:creationId xmlns:a16="http://schemas.microsoft.com/office/drawing/2014/main" id="{00000000-0008-0000-0000-0000BEF93B00}"/>
                </a:ext>
              </a:extLst>
            </xdr:cNvPr>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a:extLst>
            <a:ext uri="{FF2B5EF4-FFF2-40B4-BE49-F238E27FC236}">
              <a16:creationId xmlns:a16="http://schemas.microsoft.com/office/drawing/2014/main" id="{00000000-0008-0000-0000-00009EF93B00}"/>
            </a:ext>
          </a:extLst>
        </xdr:cNvPr>
        <xdr:cNvGrpSpPr>
          <a:grpSpLocks/>
        </xdr:cNvGrpSpPr>
      </xdr:nvGrpSpPr>
      <xdr:grpSpPr bwMode="auto">
        <a:xfrm>
          <a:off x="333375" y="1857375"/>
          <a:ext cx="2143125" cy="2019300"/>
          <a:chOff x="32" y="188"/>
          <a:chExt cx="225" cy="225"/>
        </a:xfrm>
      </xdr:grpSpPr>
      <xdr:sp macro="" textlink="">
        <xdr:nvSpPr>
          <xdr:cNvPr id="3930553" name="AutoShape 31">
            <a:extLst>
              <a:ext uri="{FF2B5EF4-FFF2-40B4-BE49-F238E27FC236}">
                <a16:creationId xmlns:a16="http://schemas.microsoft.com/office/drawing/2014/main" id="{00000000-0008-0000-0000-0000B9F93B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a:extLst>
            <a:ext uri="{FF2B5EF4-FFF2-40B4-BE49-F238E27FC236}">
              <a16:creationId xmlns:a16="http://schemas.microsoft.com/office/drawing/2014/main" id="{00000000-0008-0000-0000-00009FF93B00}"/>
            </a:ext>
          </a:extLst>
        </xdr:cNvPr>
        <xdr:cNvGrpSpPr>
          <a:grpSpLocks/>
        </xdr:cNvGrpSpPr>
      </xdr:nvGrpSpPr>
      <xdr:grpSpPr bwMode="auto">
        <a:xfrm>
          <a:off x="5705475" y="3095625"/>
          <a:ext cx="1504950" cy="390525"/>
          <a:chOff x="578" y="328"/>
          <a:chExt cx="158" cy="43"/>
        </a:xfrm>
      </xdr:grpSpPr>
      <xdr:sp macro="" textlink="">
        <xdr:nvSpPr>
          <xdr:cNvPr id="3930549" name="AutoShape 30">
            <a:extLst>
              <a:ext uri="{FF2B5EF4-FFF2-40B4-BE49-F238E27FC236}">
                <a16:creationId xmlns:a16="http://schemas.microsoft.com/office/drawing/2014/main" id="{00000000-0008-0000-0000-0000B5F93B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a:extLst>
              <a:ext uri="{FF2B5EF4-FFF2-40B4-BE49-F238E27FC236}">
                <a16:creationId xmlns:a16="http://schemas.microsoft.com/office/drawing/2014/main" id="{00000000-0008-0000-0000-0000B6F93B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a:extLst>
                <a:ext uri="{FF2B5EF4-FFF2-40B4-BE49-F238E27FC236}">
                  <a16:creationId xmlns:a16="http://schemas.microsoft.com/office/drawing/2014/main" id="{00000000-0008-0000-0000-00002C130000}"/>
                </a:ext>
              </a:extLst>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a:extLst>
                <a:ext uri="{FF2B5EF4-FFF2-40B4-BE49-F238E27FC236}">
                  <a16:creationId xmlns:a16="http://schemas.microsoft.com/office/drawing/2014/main" id="{00000000-0008-0000-0000-0000B8F93B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a:extLst>
            <a:ext uri="{FF2B5EF4-FFF2-40B4-BE49-F238E27FC236}">
              <a16:creationId xmlns:a16="http://schemas.microsoft.com/office/drawing/2014/main" id="{00000000-0008-0000-0000-0000A0F93B00}"/>
            </a:ext>
          </a:extLst>
        </xdr:cNvPr>
        <xdr:cNvGrpSpPr>
          <a:grpSpLocks/>
        </xdr:cNvGrpSpPr>
      </xdr:nvGrpSpPr>
      <xdr:grpSpPr bwMode="auto">
        <a:xfrm>
          <a:off x="600075" y="3352800"/>
          <a:ext cx="1504950" cy="323850"/>
          <a:chOff x="56" y="259"/>
          <a:chExt cx="158" cy="40"/>
        </a:xfrm>
      </xdr:grpSpPr>
      <xdr:sp macro="" textlink="">
        <xdr:nvSpPr>
          <xdr:cNvPr id="3930545" name="AutoShape 30">
            <a:extLst>
              <a:ext uri="{FF2B5EF4-FFF2-40B4-BE49-F238E27FC236}">
                <a16:creationId xmlns:a16="http://schemas.microsoft.com/office/drawing/2014/main" id="{00000000-0008-0000-0000-0000B1F93B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a:extLst>
              <a:ext uri="{FF2B5EF4-FFF2-40B4-BE49-F238E27FC236}">
                <a16:creationId xmlns:a16="http://schemas.microsoft.com/office/drawing/2014/main" id="{00000000-0008-0000-0000-0000B2F93B00}"/>
              </a:ext>
            </a:extLst>
          </xdr:cNvPr>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a:extLst>
                <a:ext uri="{FF2B5EF4-FFF2-40B4-BE49-F238E27FC236}">
                  <a16:creationId xmlns:a16="http://schemas.microsoft.com/office/drawing/2014/main" id="{00000000-0008-0000-0000-000009000000}"/>
                </a:ext>
              </a:extLst>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a:extLst>
            <a:ext uri="{FF2B5EF4-FFF2-40B4-BE49-F238E27FC236}">
              <a16:creationId xmlns:a16="http://schemas.microsoft.com/office/drawing/2014/main" id="{00000000-0008-0000-0000-0000A1F93B00}"/>
            </a:ext>
          </a:extLst>
        </xdr:cNvPr>
        <xdr:cNvGrpSpPr>
          <a:grpSpLocks/>
        </xdr:cNvGrpSpPr>
      </xdr:nvGrpSpPr>
      <xdr:grpSpPr bwMode="auto">
        <a:xfrm>
          <a:off x="600075" y="2343150"/>
          <a:ext cx="1504950" cy="352425"/>
          <a:chOff x="1343025" y="2428876"/>
          <a:chExt cx="3240982" cy="617274"/>
        </a:xfrm>
      </xdr:grpSpPr>
      <xdr:sp macro="" textlink="">
        <xdr:nvSpPr>
          <xdr:cNvPr id="3930541" name="AutoShape 30">
            <a:extLst>
              <a:ext uri="{FF2B5EF4-FFF2-40B4-BE49-F238E27FC236}">
                <a16:creationId xmlns:a16="http://schemas.microsoft.com/office/drawing/2014/main" id="{00000000-0008-0000-0000-0000AD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a:extLst>
              <a:ext uri="{FF2B5EF4-FFF2-40B4-BE49-F238E27FC236}">
                <a16:creationId xmlns:a16="http://schemas.microsoft.com/office/drawing/2014/main" id="{00000000-0008-0000-0000-0000AEF93B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a:extLst>
            <a:ext uri="{FF2B5EF4-FFF2-40B4-BE49-F238E27FC236}">
              <a16:creationId xmlns:a16="http://schemas.microsoft.com/office/drawing/2014/main" id="{00000000-0008-0000-0000-0000A2F93B00}"/>
            </a:ext>
          </a:extLst>
        </xdr:cNvPr>
        <xdr:cNvGrpSpPr>
          <a:grpSpLocks/>
        </xdr:cNvGrpSpPr>
      </xdr:nvGrpSpPr>
      <xdr:grpSpPr bwMode="auto">
        <a:xfrm>
          <a:off x="600075" y="2857500"/>
          <a:ext cx="1504950" cy="352425"/>
          <a:chOff x="1343025" y="2428876"/>
          <a:chExt cx="3240982" cy="617274"/>
        </a:xfrm>
      </xdr:grpSpPr>
      <xdr:sp macro="" textlink="">
        <xdr:nvSpPr>
          <xdr:cNvPr id="3930537" name="AutoShape 30">
            <a:extLst>
              <a:ext uri="{FF2B5EF4-FFF2-40B4-BE49-F238E27FC236}">
                <a16:creationId xmlns:a16="http://schemas.microsoft.com/office/drawing/2014/main" id="{00000000-0008-0000-0000-0000A9F93B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a:extLst>
              <a:ext uri="{FF2B5EF4-FFF2-40B4-BE49-F238E27FC236}">
                <a16:creationId xmlns:a16="http://schemas.microsoft.com/office/drawing/2014/main" id="{00000000-0008-0000-0000-0000AAF93B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a:extLst>
                <a:ext uri="{FF2B5EF4-FFF2-40B4-BE49-F238E27FC236}">
                  <a16:creationId xmlns:a16="http://schemas.microsoft.com/office/drawing/2014/main" id="{00000000-0008-0000-0000-00000E000000}"/>
                </a:ext>
              </a:extLst>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a:extLst>
            <a:ext uri="{FF2B5EF4-FFF2-40B4-BE49-F238E27FC236}">
              <a16:creationId xmlns:a16="http://schemas.microsoft.com/office/drawing/2014/main" id="{00000000-0008-0000-0000-0000A3F93B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a:extLst>
            <a:ext uri="{FF2B5EF4-FFF2-40B4-BE49-F238E27FC236}">
              <a16:creationId xmlns:a16="http://schemas.microsoft.com/office/drawing/2014/main" id="{00000000-0008-0000-0000-0000A5F93B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a:extLst>
            <a:ext uri="{FF2B5EF4-FFF2-40B4-BE49-F238E27FC236}">
              <a16:creationId xmlns:a16="http://schemas.microsoft.com/office/drawing/2014/main" id="{00000000-0008-0000-0000-0000A7F93B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63</xdr:row>
      <xdr:rowOff>144991</xdr:rowOff>
    </xdr:from>
    <xdr:to>
      <xdr:col>3</xdr:col>
      <xdr:colOff>885825</xdr:colOff>
      <xdr:row>63</xdr:row>
      <xdr:rowOff>144991</xdr:rowOff>
    </xdr:to>
    <xdr:cxnSp macro="">
      <xdr:nvCxnSpPr>
        <xdr:cNvPr id="7137" name="AutoShape 101">
          <a:extLst>
            <a:ext uri="{FF2B5EF4-FFF2-40B4-BE49-F238E27FC236}">
              <a16:creationId xmlns:a16="http://schemas.microsoft.com/office/drawing/2014/main" id="{00000000-0008-0000-0200-0000E11B0000}"/>
            </a:ext>
          </a:extLst>
        </xdr:cNvPr>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63</xdr:row>
      <xdr:rowOff>10583</xdr:rowOff>
    </xdr:to>
    <xdr:cxnSp macro="">
      <xdr:nvCxnSpPr>
        <xdr:cNvPr id="7138" name="Straight Arrow Connector 9">
          <a:extLst>
            <a:ext uri="{FF2B5EF4-FFF2-40B4-BE49-F238E27FC236}">
              <a16:creationId xmlns:a16="http://schemas.microsoft.com/office/drawing/2014/main" id="{00000000-0008-0000-0200-0000E21B0000}"/>
            </a:ext>
          </a:extLst>
        </xdr:cNvPr>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a:extLst>
            <a:ext uri="{FF2B5EF4-FFF2-40B4-BE49-F238E27FC236}">
              <a16:creationId xmlns:a16="http://schemas.microsoft.com/office/drawing/2014/main" id="{00000000-0008-0000-0400-0000BC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101021</xdr:colOff>
      <xdr:row>26</xdr:row>
      <xdr:rowOff>23088</xdr:rowOff>
    </xdr:from>
    <xdr:to>
      <xdr:col>16</xdr:col>
      <xdr:colOff>675408</xdr:colOff>
      <xdr:row>48</xdr:row>
      <xdr:rowOff>60614</xdr:rowOff>
    </xdr:to>
    <xdr:graphicFrame macro="">
      <xdr:nvGraphicFramePr>
        <xdr:cNvPr id="2854334" name="Chart 34">
          <a:extLst>
            <a:ext uri="{FF2B5EF4-FFF2-40B4-BE49-F238E27FC236}">
              <a16:creationId xmlns:a16="http://schemas.microsoft.com/office/drawing/2014/main" id="{00000000-0008-0000-0400-0000BE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a:extLst>
            <a:ext uri="{FF2B5EF4-FFF2-40B4-BE49-F238E27FC236}">
              <a16:creationId xmlns:a16="http://schemas.microsoft.com/office/drawing/2014/main" id="{00000000-0008-0000-0400-0000BF8D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a:extLst>
            <a:ext uri="{FF2B5EF4-FFF2-40B4-BE49-F238E27FC236}">
              <a16:creationId xmlns:a16="http://schemas.microsoft.com/office/drawing/2014/main" id="{00000000-0008-0000-0400-0000C08D2B00}"/>
            </a:ext>
          </a:extLst>
        </xdr:cNvPr>
        <xdr:cNvGrpSpPr>
          <a:grpSpLocks/>
        </xdr:cNvGrpSpPr>
      </xdr:nvGrpSpPr>
      <xdr:grpSpPr bwMode="auto">
        <a:xfrm>
          <a:off x="4731727" y="4191001"/>
          <a:ext cx="3393098" cy="153133"/>
          <a:chOff x="0" y="0"/>
          <a:chExt cx="37352" cy="2842"/>
        </a:xfrm>
      </xdr:grpSpPr>
      <xdr:sp macro="" textlink="">
        <xdr:nvSpPr>
          <xdr:cNvPr id="2854337" name="Rectangle 1">
            <a:extLst>
              <a:ext uri="{FF2B5EF4-FFF2-40B4-BE49-F238E27FC236}">
                <a16:creationId xmlns:a16="http://schemas.microsoft.com/office/drawing/2014/main" id="{00000000-0008-0000-0400-0000C18D2B00}"/>
              </a:ext>
            </a:extLst>
          </xdr:cNvPr>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a:extLst>
              <a:ext uri="{FF2B5EF4-FFF2-40B4-BE49-F238E27FC236}">
                <a16:creationId xmlns:a16="http://schemas.microsoft.com/office/drawing/2014/main" id="{00000000-0008-0000-0400-0000578D2B00}"/>
              </a:ext>
            </a:extLst>
          </xdr:cNvPr>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a:extLst>
              <a:ext uri="{FF2B5EF4-FFF2-40B4-BE49-F238E27FC236}">
                <a16:creationId xmlns:a16="http://schemas.microsoft.com/office/drawing/2014/main" id="{00000000-0008-0000-0400-0000C38D2B00}"/>
              </a:ext>
            </a:extLst>
          </xdr:cNvPr>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a:extLst>
              <a:ext uri="{FF2B5EF4-FFF2-40B4-BE49-F238E27FC236}">
                <a16:creationId xmlns:a16="http://schemas.microsoft.com/office/drawing/2014/main" id="{00000000-0008-0000-0400-0000558D2B00}"/>
              </a:ext>
            </a:extLst>
          </xdr:cNvPr>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1</xdr:col>
      <xdr:colOff>0</xdr:colOff>
      <xdr:row>9</xdr:row>
      <xdr:rowOff>0</xdr:rowOff>
    </xdr:from>
    <xdr:to>
      <xdr:col>4</xdr:col>
      <xdr:colOff>942975</xdr:colOff>
      <xdr:row>19</xdr:row>
      <xdr:rowOff>47625</xdr:rowOff>
    </xdr:to>
    <xdr:graphicFrame macro="">
      <xdr:nvGraphicFramePr>
        <xdr:cNvPr id="10" name="Диаграмма 9">
          <a:extLst>
            <a:ext uri="{FF2B5EF4-FFF2-40B4-BE49-F238E27FC236}">
              <a16:creationId xmlns:a16="http://schemas.microsoft.com/office/drawing/2014/main" id="{00000000-0008-0000-0600-00000A000000}"/>
            </a:ext>
            <a:ext uri="{147F2762-F138-4A5C-976F-8EAC2B608ADB}">
              <a16:predDERef xmlns:a16="http://schemas.microsoft.com/office/drawing/2014/main" pred="{00000000-0008-0000-0600-00007D5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xdr:colOff>
      <xdr:row>9</xdr:row>
      <xdr:rowOff>19050</xdr:rowOff>
    </xdr:from>
    <xdr:to>
      <xdr:col>11</xdr:col>
      <xdr:colOff>0</xdr:colOff>
      <xdr:row>19</xdr:row>
      <xdr:rowOff>57150</xdr:rowOff>
    </xdr:to>
    <xdr:graphicFrame macro="">
      <xdr:nvGraphicFramePr>
        <xdr:cNvPr id="12" name="Диаграмма 11">
          <a:extLst>
            <a:ext uri="{FF2B5EF4-FFF2-40B4-BE49-F238E27FC236}">
              <a16:creationId xmlns:a16="http://schemas.microsoft.com/office/drawing/2014/main" id="{00000000-0008-0000-0600-00000C000000}"/>
            </a:ext>
            <a:ext uri="{147F2762-F138-4A5C-976F-8EAC2B608ADB}">
              <a16:predDERef xmlns:a16="http://schemas.microsoft.com/office/drawing/2014/main" pre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9</xdr:row>
      <xdr:rowOff>0</xdr:rowOff>
    </xdr:from>
    <xdr:to>
      <xdr:col>17</xdr:col>
      <xdr:colOff>9525</xdr:colOff>
      <xdr:row>19</xdr:row>
      <xdr:rowOff>47625</xdr:rowOff>
    </xdr:to>
    <xdr:graphicFrame macro="">
      <xdr:nvGraphicFramePr>
        <xdr:cNvPr id="2" name="Диаграмма 12">
          <a:extLst>
            <a:ext uri="{FF2B5EF4-FFF2-40B4-BE49-F238E27FC236}">
              <a16:creationId xmlns:a16="http://schemas.microsoft.com/office/drawing/2014/main" id="{00000000-0008-0000-0600-00000D000000}"/>
            </a:ext>
            <a:ext uri="{147F2762-F138-4A5C-976F-8EAC2B608ADB}">
              <a16:predDERef xmlns:a16="http://schemas.microsoft.com/office/drawing/2014/main" pre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19050</xdr:colOff>
      <xdr:row>36</xdr:row>
      <xdr:rowOff>9525</xdr:rowOff>
    </xdr:from>
    <xdr:to>
      <xdr:col>5</xdr:col>
      <xdr:colOff>28575</xdr:colOff>
      <xdr:row>46</xdr:row>
      <xdr:rowOff>66675</xdr:rowOff>
    </xdr:to>
    <xdr:graphicFrame macro="">
      <xdr:nvGraphicFramePr>
        <xdr:cNvPr id="14" name="Диаграмма 13">
          <a:extLst>
            <a:ext uri="{FF2B5EF4-FFF2-40B4-BE49-F238E27FC236}">
              <a16:creationId xmlns:a16="http://schemas.microsoft.com/office/drawing/2014/main" id="{00000000-0008-0000-0600-00000E000000}"/>
            </a:ext>
            <a:ext uri="{147F2762-F138-4A5C-976F-8EAC2B608ADB}">
              <a16:predDERef xmlns:a16="http://schemas.microsoft.com/office/drawing/2014/main" pre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952500</xdr:colOff>
      <xdr:row>36</xdr:row>
      <xdr:rowOff>0</xdr:rowOff>
    </xdr:from>
    <xdr:to>
      <xdr:col>10</xdr:col>
      <xdr:colOff>1428750</xdr:colOff>
      <xdr:row>46</xdr:row>
      <xdr:rowOff>66675</xdr:rowOff>
    </xdr:to>
    <xdr:graphicFrame macro="">
      <xdr:nvGraphicFramePr>
        <xdr:cNvPr id="15" name="Диаграмма 14">
          <a:extLst>
            <a:ext uri="{FF2B5EF4-FFF2-40B4-BE49-F238E27FC236}">
              <a16:creationId xmlns:a16="http://schemas.microsoft.com/office/drawing/2014/main" id="{00000000-0008-0000-0600-00000F000000}"/>
            </a:ext>
            <a:ext uri="{147F2762-F138-4A5C-976F-8EAC2B608ADB}">
              <a16:predDERef xmlns:a16="http://schemas.microsoft.com/office/drawing/2014/main" pre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11907</xdr:colOff>
      <xdr:row>36</xdr:row>
      <xdr:rowOff>0</xdr:rowOff>
    </xdr:from>
    <xdr:to>
      <xdr:col>17</xdr:col>
      <xdr:colOff>11907</xdr:colOff>
      <xdr:row>46</xdr:row>
      <xdr:rowOff>68356</xdr:rowOff>
    </xdr:to>
    <xdr:graphicFrame macro="">
      <xdr:nvGraphicFramePr>
        <xdr:cNvPr id="16" name="Диаграмма 15">
          <a:extLst>
            <a:ext uri="{FF2B5EF4-FFF2-40B4-BE49-F238E27FC236}">
              <a16:creationId xmlns:a16="http://schemas.microsoft.com/office/drawing/2014/main" id="{00000000-0008-0000-0600-000010000000}"/>
            </a:ext>
            <a:ext uri="{147F2762-F138-4A5C-976F-8EAC2B608ADB}">
              <a16:predDERef xmlns:a16="http://schemas.microsoft.com/office/drawing/2014/main" pre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7</xdr:col>
      <xdr:colOff>238125</xdr:colOff>
      <xdr:row>18</xdr:row>
      <xdr:rowOff>2447924</xdr:rowOff>
    </xdr:from>
    <xdr:to>
      <xdr:col>12</xdr:col>
      <xdr:colOff>914400</xdr:colOff>
      <xdr:row>26</xdr:row>
      <xdr:rowOff>47625</xdr:rowOff>
    </xdr:to>
    <xdr:graphicFrame macro="">
      <xdr:nvGraphicFramePr>
        <xdr:cNvPr id="2870841" name="Chart 1054">
          <a:extLst>
            <a:ext uri="{FF2B5EF4-FFF2-40B4-BE49-F238E27FC236}">
              <a16:creationId xmlns:a16="http://schemas.microsoft.com/office/drawing/2014/main" id="{00000000-0008-0000-0500-000039CE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2"/>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30</xdr:row>
      <xdr:rowOff>9525</xdr:rowOff>
    </xdr:from>
    <xdr:to>
      <xdr:col>5</xdr:col>
      <xdr:colOff>1085850</xdr:colOff>
      <xdr:row>34</xdr:row>
      <xdr:rowOff>114300</xdr:rowOff>
    </xdr:to>
    <xdr:graphicFrame macro="">
      <xdr:nvGraphicFramePr>
        <xdr:cNvPr id="8" name="Диаграмма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8</xdr:row>
      <xdr:rowOff>0</xdr:rowOff>
    </xdr:from>
    <xdr:to>
      <xdr:col>12</xdr:col>
      <xdr:colOff>942975</xdr:colOff>
      <xdr:row>16</xdr:row>
      <xdr:rowOff>466725</xdr:rowOff>
    </xdr:to>
    <xdr:graphicFrame macro="">
      <xdr:nvGraphicFramePr>
        <xdr:cNvPr id="12" name="Диаграмма 11">
          <a:extLst>
            <a:ext uri="{FF2B5EF4-FFF2-40B4-BE49-F238E27FC236}">
              <a16:creationId xmlns:a16="http://schemas.microsoft.com/office/drawing/2014/main" id="{BD62D30F-EC47-4C15-989A-E952C0175425}"/>
            </a:ext>
            <a:ext uri="{147F2762-F138-4A5C-976F-8EAC2B608ADB}">
              <a16:predDERef xmlns:a16="http://schemas.microsoft.com/office/drawing/2014/main" pre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a:extLst>
            <a:ext uri="{FF2B5EF4-FFF2-40B4-BE49-F238E27FC236}">
              <a16:creationId xmlns:a16="http://schemas.microsoft.com/office/drawing/2014/main" id="{00000000-0008-0000-0900-00002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zoomScaleNormal="100" workbookViewId="0">
      <selection activeCell="B10" sqref="B10"/>
    </sheetView>
  </sheetViews>
  <sheetFormatPr defaultColWidth="11" defaultRowHeight="14.45"/>
  <cols>
    <col min="1" max="1" width="1.28515625" customWidth="1"/>
    <col min="2" max="10" width="11.42578125" customWidth="1"/>
    <col min="11" max="11" width="1.7109375" customWidth="1"/>
  </cols>
  <sheetData>
    <row r="1" spans="2:15" ht="25.5" customHeight="1"/>
    <row r="2" spans="2:15" ht="36.6">
      <c r="B2" s="525" t="str">
        <f>+"Панель показателей:  "&amp;"  "&amp;IF(+'Ввод данных'!B4="Выберите","",'Ввод данных'!B4&amp;" - ")&amp;IF('Ввод данных'!F6="Выберите","",'Ввод данных'!F6)</f>
        <v>Панель показателей:    Кыргызстан - ВИЧ/СПИД/ТБ</v>
      </c>
      <c r="C2" s="525"/>
      <c r="D2" s="525"/>
      <c r="E2" s="525"/>
      <c r="F2" s="525"/>
      <c r="G2" s="525"/>
      <c r="H2" s="525"/>
      <c r="I2" s="525"/>
      <c r="J2" s="525"/>
      <c r="K2" s="525"/>
      <c r="L2" s="525"/>
      <c r="M2" s="525"/>
      <c r="N2" s="1"/>
      <c r="O2" s="1"/>
    </row>
    <row r="4" spans="2:15" ht="21">
      <c r="B4" s="522" t="str">
        <f>+IF('Ввод данных'!F6="Выберите", "",'Ввод данных'!F6) &amp;"  "&amp;+IF('Ввод данных'!F8="Выберите", "", 'Ввод данных'!F8&amp;",  ")&amp;+IF('Ввод данных'!H8="Выберите","",'Ввод данных'!H8)</f>
        <v xml:space="preserve">ВИЧ/СПИД/ТБ  GS6,  </v>
      </c>
      <c r="C4" s="522"/>
      <c r="D4" s="522"/>
      <c r="E4" s="896"/>
      <c r="F4" s="113"/>
      <c r="G4" s="113"/>
      <c r="H4" s="112" t="str">
        <f>+'Ввод данных'!A6&amp;" "&amp;+'Ввод данных'!B6</f>
        <v>Грант № KGZ-C-UNDP</v>
      </c>
      <c r="I4" s="112"/>
      <c r="J4" s="112"/>
      <c r="K4" s="113"/>
      <c r="L4" s="113"/>
    </row>
    <row r="22" spans="2:12" ht="25.9">
      <c r="B22" s="523" t="s">
        <v>0</v>
      </c>
      <c r="C22" s="524"/>
      <c r="D22" s="524"/>
      <c r="E22" s="524"/>
      <c r="F22" s="524"/>
      <c r="G22" s="524"/>
      <c r="H22" s="524"/>
      <c r="I22" s="524"/>
      <c r="J22" s="524"/>
      <c r="K22" s="524"/>
      <c r="L22" s="524"/>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G237"/>
  <sheetViews>
    <sheetView showGridLines="0" tabSelected="1" topLeftCell="A59" zoomScale="60" zoomScaleNormal="60" workbookViewId="0">
      <selection activeCell="A84" sqref="A84"/>
    </sheetView>
  </sheetViews>
  <sheetFormatPr defaultColWidth="11" defaultRowHeight="14.45"/>
  <cols>
    <col min="1" max="1" width="74.7109375" customWidth="1"/>
    <col min="2" max="2" width="35.28515625" customWidth="1"/>
    <col min="3" max="3" width="20" customWidth="1"/>
    <col min="4" max="4" width="22.7109375" customWidth="1"/>
    <col min="5" max="5" width="16.42578125" customWidth="1"/>
    <col min="6" max="6" width="23.7109375" customWidth="1"/>
    <col min="7" max="7" width="12.42578125" customWidth="1"/>
    <col min="8" max="8" width="16.7109375" customWidth="1"/>
    <col min="9" max="9" width="13.5703125" customWidth="1"/>
    <col min="10" max="10" width="14.42578125" customWidth="1"/>
    <col min="11" max="11" width="11.28515625" customWidth="1"/>
    <col min="12" max="12" width="13.42578125" customWidth="1"/>
    <col min="13" max="13" width="11.42578125" customWidth="1"/>
    <col min="14" max="14" width="15.7109375" customWidth="1"/>
    <col min="15" max="15" width="15.5703125" customWidth="1"/>
    <col min="16" max="16" width="16.28515625" customWidth="1"/>
    <col min="17" max="17" width="13.7109375" customWidth="1"/>
    <col min="18" max="18" width="14.7109375" customWidth="1"/>
    <col min="19" max="19" width="16" customWidth="1"/>
    <col min="20" max="20" width="11.42578125" hidden="1" customWidth="1"/>
    <col min="21" max="21" width="15.5703125" customWidth="1"/>
    <col min="22" max="22" width="11.42578125" customWidth="1"/>
    <col min="23" max="23" width="2.28515625" customWidth="1"/>
    <col min="24" max="24" width="1.28515625" customWidth="1"/>
    <col min="25" max="25" width="3.28515625" customWidth="1"/>
    <col min="26" max="26" width="17" customWidth="1"/>
    <col min="27" max="27" width="15" customWidth="1"/>
    <col min="28" max="28" width="11.42578125" customWidth="1"/>
    <col min="29" max="29" width="13.5703125" customWidth="1"/>
    <col min="30" max="30" width="16.7109375" customWidth="1"/>
    <col min="31" max="31" width="11.42578125" customWidth="1"/>
    <col min="32" max="32" width="2" customWidth="1"/>
    <col min="33" max="33" width="3.28515625" customWidth="1"/>
    <col min="34" max="34" width="2.28515625" customWidth="1"/>
    <col min="35" max="35" width="40.7109375" customWidth="1"/>
    <col min="36" max="36" width="15.42578125" customWidth="1"/>
  </cols>
  <sheetData>
    <row r="1" spans="1:12" ht="29.25" customHeight="1">
      <c r="B1" s="896"/>
      <c r="C1" s="896"/>
    </row>
    <row r="2" spans="1:12" ht="15.75" customHeight="1">
      <c r="A2" s="569" t="s">
        <v>1</v>
      </c>
      <c r="B2" s="569"/>
      <c r="C2" s="569"/>
      <c r="D2" s="569"/>
      <c r="E2" s="569"/>
      <c r="F2" s="569"/>
      <c r="G2" s="569"/>
      <c r="H2" s="569"/>
      <c r="I2" s="569"/>
      <c r="J2" s="137"/>
      <c r="K2" s="137"/>
      <c r="L2" s="137"/>
    </row>
    <row r="3" spans="1:12" ht="4.5" customHeight="1"/>
    <row r="4" spans="1:12">
      <c r="A4" s="128" t="s">
        <v>2</v>
      </c>
      <c r="B4" s="541" t="s">
        <v>3</v>
      </c>
      <c r="C4" s="543"/>
      <c r="D4" s="548" t="s">
        <v>4</v>
      </c>
      <c r="E4" s="548"/>
      <c r="F4" s="381" t="s">
        <v>5</v>
      </c>
      <c r="G4" s="382"/>
      <c r="H4" s="382"/>
      <c r="I4" s="383"/>
    </row>
    <row r="5" spans="1:12" ht="3" customHeight="1">
      <c r="A5" s="128"/>
      <c r="D5" s="130"/>
      <c r="E5" s="130"/>
    </row>
    <row r="6" spans="1:12" ht="15" customHeight="1">
      <c r="A6" s="128" t="s">
        <v>6</v>
      </c>
      <c r="B6" s="541" t="s">
        <v>7</v>
      </c>
      <c r="C6" s="543"/>
      <c r="D6" s="548" t="s">
        <v>8</v>
      </c>
      <c r="E6" s="548"/>
      <c r="F6" s="151" t="s">
        <v>9</v>
      </c>
      <c r="G6" s="128" t="s">
        <v>10</v>
      </c>
      <c r="H6" s="570" t="s">
        <v>11</v>
      </c>
      <c r="I6" s="571"/>
      <c r="K6" s="96"/>
    </row>
    <row r="7" spans="1:12" ht="3" customHeight="1">
      <c r="A7" s="128"/>
      <c r="D7" s="130"/>
      <c r="E7" s="130"/>
      <c r="G7" s="128"/>
    </row>
    <row r="8" spans="1:12">
      <c r="A8" s="128" t="s">
        <v>12</v>
      </c>
      <c r="B8" s="541" t="s">
        <v>13</v>
      </c>
      <c r="C8" s="543"/>
      <c r="D8" s="130"/>
      <c r="E8" s="128" t="s">
        <v>14</v>
      </c>
      <c r="F8" s="386" t="s">
        <v>15</v>
      </c>
      <c r="G8" s="128" t="s">
        <v>16</v>
      </c>
      <c r="H8" s="541"/>
      <c r="I8" s="543"/>
    </row>
    <row r="9" spans="1:12" ht="3" customHeight="1">
      <c r="A9" s="130"/>
      <c r="D9" s="130"/>
      <c r="E9" s="130"/>
    </row>
    <row r="10" spans="1:12">
      <c r="A10" s="128" t="s">
        <v>17</v>
      </c>
      <c r="B10" s="572">
        <v>44197</v>
      </c>
      <c r="C10" s="573"/>
      <c r="D10" s="565" t="s">
        <v>18</v>
      </c>
      <c r="E10" s="549"/>
      <c r="F10" s="541" t="s">
        <v>19</v>
      </c>
      <c r="G10" s="542"/>
      <c r="H10" s="542"/>
      <c r="I10" s="543"/>
    </row>
    <row r="11" spans="1:12" ht="5.25" customHeight="1"/>
    <row r="12" spans="1:12" ht="15" customHeight="1">
      <c r="A12" s="128" t="s">
        <v>20</v>
      </c>
      <c r="B12" s="575" t="s">
        <v>21</v>
      </c>
      <c r="C12" s="575"/>
      <c r="D12" s="565" t="s">
        <v>22</v>
      </c>
      <c r="E12" s="548"/>
      <c r="F12" s="574" t="s">
        <v>23</v>
      </c>
      <c r="G12" s="574"/>
      <c r="H12" s="574"/>
      <c r="I12" s="574"/>
    </row>
    <row r="13" spans="1:12" ht="5.25" customHeight="1"/>
    <row r="14" spans="1:12" ht="15.75" customHeight="1">
      <c r="A14" s="569" t="s">
        <v>24</v>
      </c>
      <c r="B14" s="569"/>
      <c r="C14" s="569"/>
      <c r="D14" s="569"/>
      <c r="E14" s="569"/>
      <c r="F14" s="569"/>
      <c r="G14" s="569"/>
      <c r="H14" s="569"/>
      <c r="I14" s="569"/>
    </row>
    <row r="15" spans="1:12" ht="3" customHeight="1"/>
    <row r="16" spans="1:12">
      <c r="A16" s="128" t="s">
        <v>25</v>
      </c>
      <c r="B16" s="386" t="s">
        <v>26</v>
      </c>
      <c r="C16" s="128" t="s">
        <v>27</v>
      </c>
      <c r="D16" s="216">
        <v>44927</v>
      </c>
      <c r="E16" s="385" t="s">
        <v>28</v>
      </c>
      <c r="F16" s="216">
        <v>45291</v>
      </c>
      <c r="G16" s="565" t="s">
        <v>29</v>
      </c>
      <c r="H16" s="549"/>
      <c r="I16" s="384">
        <v>45484</v>
      </c>
    </row>
    <row r="17" spans="1:33" ht="3" customHeight="1"/>
    <row r="18" spans="1:33">
      <c r="A18" s="548" t="s">
        <v>30</v>
      </c>
      <c r="B18" s="549"/>
      <c r="C18" s="568" t="s">
        <v>13</v>
      </c>
      <c r="D18" s="568"/>
      <c r="E18" s="568"/>
    </row>
    <row r="19" spans="1:33" ht="3" customHeight="1"/>
    <row r="20" spans="1:33" ht="5.25" customHeight="1"/>
    <row r="21" spans="1:33" ht="15.75" customHeight="1">
      <c r="A21" s="569" t="s">
        <v>31</v>
      </c>
      <c r="B21" s="569"/>
      <c r="C21" s="569"/>
      <c r="D21" s="569"/>
      <c r="E21" s="569"/>
      <c r="F21" s="569"/>
      <c r="G21" s="569"/>
      <c r="H21" s="569"/>
      <c r="I21" s="569"/>
    </row>
    <row r="22" spans="1:33">
      <c r="A22" s="130" t="s">
        <v>32</v>
      </c>
    </row>
    <row r="23" spans="1:33" ht="3" customHeight="1"/>
    <row r="24" spans="1:33" ht="15" thickBot="1">
      <c r="A24" s="128" t="s">
        <v>33</v>
      </c>
      <c r="B24" s="183"/>
      <c r="C24" s="548" t="s">
        <v>34</v>
      </c>
      <c r="D24" s="548"/>
      <c r="E24" s="184"/>
      <c r="F24" s="548" t="s">
        <v>35</v>
      </c>
      <c r="G24" s="548"/>
      <c r="H24" s="566"/>
      <c r="I24" s="567"/>
    </row>
    <row r="25" spans="1:33" ht="18.600000000000001" thickBot="1">
      <c r="A25" s="55" t="s">
        <v>33</v>
      </c>
      <c r="B25" s="56"/>
      <c r="C25" s="56"/>
      <c r="D25" s="56"/>
      <c r="E25" s="56"/>
      <c r="F25" s="56"/>
      <c r="G25" s="129"/>
      <c r="H25" s="320"/>
      <c r="I25" s="320"/>
      <c r="J25" s="321" t="s">
        <v>36</v>
      </c>
      <c r="K25" s="322"/>
      <c r="L25" s="322"/>
      <c r="M25" s="322"/>
      <c r="N25" s="323"/>
      <c r="AG25" s="26"/>
    </row>
    <row r="26" spans="1:33">
      <c r="A26" s="552" t="s">
        <v>37</v>
      </c>
      <c r="B26" s="897"/>
      <c r="C26" s="188" t="s">
        <v>38</v>
      </c>
      <c r="D26" s="58"/>
      <c r="E26" s="58"/>
      <c r="F26" s="58"/>
      <c r="G26" s="58"/>
      <c r="H26" s="58"/>
      <c r="I26" s="324"/>
      <c r="J26" s="58"/>
      <c r="K26" s="58"/>
      <c r="L26" s="58"/>
      <c r="M26" s="22"/>
      <c r="N26" s="22"/>
      <c r="AG26" s="26"/>
    </row>
    <row r="27" spans="1:33" ht="18">
      <c r="A27" s="57" t="s">
        <v>39</v>
      </c>
      <c r="B27" s="58"/>
      <c r="C27" s="58"/>
      <c r="D27" s="58"/>
      <c r="E27" s="58"/>
      <c r="F27" s="58"/>
      <c r="G27" s="58"/>
      <c r="H27" s="58"/>
      <c r="I27" s="324"/>
      <c r="J27" s="58"/>
      <c r="K27" s="58"/>
      <c r="L27" s="58"/>
      <c r="M27" s="22"/>
      <c r="N27" s="22"/>
      <c r="AG27" s="26"/>
    </row>
    <row r="28" spans="1:33" ht="15" thickBot="1"/>
    <row r="29" spans="1:33" ht="15" thickBot="1">
      <c r="A29" s="560" t="s">
        <v>40</v>
      </c>
      <c r="B29" s="561"/>
      <c r="C29" s="561"/>
      <c r="D29" s="561"/>
      <c r="E29" s="561"/>
      <c r="F29" s="561"/>
      <c r="G29" s="561"/>
      <c r="H29" s="561"/>
      <c r="I29" s="561"/>
      <c r="J29" s="561"/>
      <c r="K29" s="561"/>
      <c r="L29" s="561"/>
      <c r="M29" s="562"/>
      <c r="O29" s="100"/>
      <c r="P29" s="101"/>
      <c r="Q29" s="102">
        <f>+B33</f>
        <v>5708999.7549785394</v>
      </c>
    </row>
    <row r="30" spans="1:33">
      <c r="A30" s="59" t="s">
        <v>25</v>
      </c>
      <c r="B30" s="171" t="s">
        <v>41</v>
      </c>
      <c r="C30" s="171" t="s">
        <v>42</v>
      </c>
      <c r="D30" s="171" t="s">
        <v>26</v>
      </c>
      <c r="E30" s="171" t="s">
        <v>43</v>
      </c>
      <c r="F30" s="171" t="s">
        <v>44</v>
      </c>
      <c r="G30" s="171" t="s">
        <v>45</v>
      </c>
      <c r="H30" s="171" t="s">
        <v>46</v>
      </c>
      <c r="I30" s="171" t="s">
        <v>47</v>
      </c>
      <c r="J30" s="171" t="s">
        <v>48</v>
      </c>
      <c r="K30" s="171" t="s">
        <v>49</v>
      </c>
      <c r="L30" s="171" t="s">
        <v>50</v>
      </c>
      <c r="M30" s="172" t="s">
        <v>51</v>
      </c>
      <c r="N30" s="173" t="s">
        <v>52</v>
      </c>
      <c r="O30" s="100"/>
      <c r="P30" s="101"/>
      <c r="Q30" s="102">
        <f>+C33</f>
        <v>16073556.164202979</v>
      </c>
    </row>
    <row r="31" spans="1:33">
      <c r="A31" s="135" t="s">
        <v>53</v>
      </c>
      <c r="B31" s="450">
        <v>5708999.7549785394</v>
      </c>
      <c r="C31" s="178">
        <v>10364556.409224439</v>
      </c>
      <c r="D31" s="178">
        <v>16683391.260895876</v>
      </c>
      <c r="E31" s="241"/>
      <c r="F31" s="241"/>
      <c r="G31" s="241"/>
      <c r="H31" s="242"/>
      <c r="I31" s="241"/>
      <c r="J31" s="241"/>
      <c r="K31" s="178"/>
      <c r="L31" s="243"/>
      <c r="M31" s="178"/>
      <c r="N31" s="599"/>
      <c r="O31" s="100"/>
      <c r="P31" s="101"/>
      <c r="Q31" s="102">
        <f>+D33</f>
        <v>32756947.425098851</v>
      </c>
    </row>
    <row r="32" spans="1:33">
      <c r="A32" s="59" t="str">
        <f>CONCATENATE("Выплаты ГФ (в ", $C$26,")")</f>
        <v>Выплаты ГФ (в $)</v>
      </c>
      <c r="B32" s="450">
        <v>18761018</v>
      </c>
      <c r="C32" s="179">
        <v>3196889.01</v>
      </c>
      <c r="D32" s="179">
        <v>11372549.949999999</v>
      </c>
      <c r="E32" s="179"/>
      <c r="F32" s="179"/>
      <c r="G32" s="179"/>
      <c r="H32" s="230"/>
      <c r="I32" s="178"/>
      <c r="J32" s="178"/>
      <c r="K32" s="178"/>
      <c r="L32" s="178"/>
      <c r="M32" s="178"/>
      <c r="N32" s="600"/>
      <c r="O32" s="100"/>
      <c r="P32" s="101"/>
      <c r="Q32" s="102">
        <f>+E33</f>
        <v>0</v>
      </c>
    </row>
    <row r="33" spans="1:17">
      <c r="A33" s="60" t="s">
        <v>54</v>
      </c>
      <c r="B33" s="180">
        <f>+B31</f>
        <v>5708999.7549785394</v>
      </c>
      <c r="C33" s="180">
        <f>B31+C31</f>
        <v>16073556.164202979</v>
      </c>
      <c r="D33" s="180">
        <f>C31+D31+B31</f>
        <v>32756947.425098851</v>
      </c>
      <c r="E33" s="180"/>
      <c r="F33" s="180"/>
      <c r="G33" s="239"/>
      <c r="H33" s="239"/>
      <c r="I33" s="239"/>
      <c r="J33" s="239"/>
      <c r="K33" s="239"/>
      <c r="L33" s="244"/>
      <c r="M33" s="180"/>
      <c r="N33" s="600"/>
      <c r="O33" s="168"/>
      <c r="P33" s="101"/>
      <c r="Q33" s="102">
        <f>+F33</f>
        <v>0</v>
      </c>
    </row>
    <row r="34" spans="1:17" ht="15" thickBot="1">
      <c r="A34" s="61" t="s">
        <v>55</v>
      </c>
      <c r="B34" s="181">
        <f>+B32</f>
        <v>18761018</v>
      </c>
      <c r="C34" s="181">
        <f>B32+C32</f>
        <v>21957907.009999998</v>
      </c>
      <c r="D34" s="181">
        <f>C32+D32+B32</f>
        <v>33330456.960000001</v>
      </c>
      <c r="E34" s="181"/>
      <c r="F34" s="181"/>
      <c r="G34" s="240"/>
      <c r="H34" s="240"/>
      <c r="I34" s="240"/>
      <c r="J34" s="240"/>
      <c r="K34" s="240"/>
      <c r="L34" s="245"/>
      <c r="M34" s="181"/>
      <c r="N34" s="601"/>
      <c r="O34" s="168"/>
      <c r="P34" s="101"/>
      <c r="Q34" s="102">
        <f>+G33</f>
        <v>0</v>
      </c>
    </row>
    <row r="35" spans="1:17">
      <c r="B35" s="160">
        <f>+IF(AND(B30=$B$16,B33&lt;&gt;0),B34/B33,0)</f>
        <v>0</v>
      </c>
      <c r="C35" s="160">
        <f t="shared" ref="C35:M35" si="0">+IF(AND(C30=$B$16,C33&lt;&gt;0),C34/C33,0)</f>
        <v>0</v>
      </c>
      <c r="D35" s="160">
        <f t="shared" si="0"/>
        <v>1.0175080274562371</v>
      </c>
      <c r="E35" s="160">
        <f>+IF(AND(E30=$B$16,E33&lt;&gt;0),E34/E33,0)</f>
        <v>0</v>
      </c>
      <c r="F35" s="160">
        <f t="shared" si="0"/>
        <v>0</v>
      </c>
      <c r="G35" s="160">
        <f t="shared" si="0"/>
        <v>0</v>
      </c>
      <c r="H35" s="160">
        <f t="shared" si="0"/>
        <v>0</v>
      </c>
      <c r="I35" s="160">
        <f t="shared" si="0"/>
        <v>0</v>
      </c>
      <c r="J35" s="160">
        <f t="shared" si="0"/>
        <v>0</v>
      </c>
      <c r="K35" s="160">
        <f t="shared" si="0"/>
        <v>0</v>
      </c>
      <c r="L35" s="160">
        <f t="shared" si="0"/>
        <v>0</v>
      </c>
      <c r="M35" s="160">
        <f t="shared" si="0"/>
        <v>0</v>
      </c>
      <c r="N35" s="96"/>
      <c r="O35" s="103"/>
      <c r="P35" s="101"/>
      <c r="Q35" s="102">
        <f>+H33</f>
        <v>0</v>
      </c>
    </row>
    <row r="36" spans="1:17" ht="18">
      <c r="A36" s="57" t="s">
        <v>56</v>
      </c>
      <c r="D36" s="165"/>
      <c r="F36" s="127"/>
      <c r="M36" s="23"/>
      <c r="N36" s="23"/>
    </row>
    <row r="37" spans="1:17" ht="15" thickBot="1">
      <c r="M37" s="15"/>
      <c r="N37" s="15"/>
    </row>
    <row r="38" spans="1:17" ht="30" customHeight="1">
      <c r="A38" s="199"/>
      <c r="B38" s="325" t="str">
        <f>CONCATENATE("Общий бюджет (в ",'Ввод данных'!$C$26,")")</f>
        <v>Общий бюджет (в $)</v>
      </c>
      <c r="C38" s="326" t="str">
        <f>CONCATENATE("Общие расходы (в ",'Ввод данных'!$C$26,")")</f>
        <v>Общие расходы (в $)</v>
      </c>
      <c r="D38" s="132"/>
      <c r="E38" s="132" t="s">
        <v>57</v>
      </c>
      <c r="I38" s="24"/>
      <c r="J38" s="24"/>
    </row>
    <row r="39" spans="1:17">
      <c r="A39" s="455" t="s">
        <v>58</v>
      </c>
      <c r="B39" s="458">
        <v>163926.47654375</v>
      </c>
      <c r="C39" s="459">
        <v>147866.40999999997</v>
      </c>
      <c r="D39" t="s">
        <v>59</v>
      </c>
      <c r="F39" s="170"/>
      <c r="I39" s="25"/>
      <c r="J39" s="25"/>
    </row>
    <row r="40" spans="1:17">
      <c r="A40" s="456" t="s">
        <v>60</v>
      </c>
      <c r="B40" s="460">
        <v>171209.729791786</v>
      </c>
      <c r="C40" s="461">
        <v>171816.64148626212</v>
      </c>
      <c r="D40" t="s">
        <v>61</v>
      </c>
      <c r="F40" s="170"/>
      <c r="I40" s="25"/>
      <c r="J40" s="25"/>
    </row>
    <row r="41" spans="1:17" ht="28.9">
      <c r="A41" s="456" t="s">
        <v>62</v>
      </c>
      <c r="B41" s="460">
        <v>35491.420828175302</v>
      </c>
      <c r="C41" s="461">
        <v>35214.704746335963</v>
      </c>
      <c r="D41" t="s">
        <v>63</v>
      </c>
      <c r="F41" s="170"/>
      <c r="I41" s="25"/>
      <c r="J41" s="25"/>
    </row>
    <row r="42" spans="1:17">
      <c r="A42" s="456" t="s">
        <v>64</v>
      </c>
      <c r="B42" s="460">
        <v>682686.40496734099</v>
      </c>
      <c r="C42" s="461">
        <v>589208.44000000006</v>
      </c>
      <c r="D42" t="s">
        <v>65</v>
      </c>
      <c r="F42" s="170"/>
      <c r="I42" s="25"/>
      <c r="J42" s="25"/>
    </row>
    <row r="43" spans="1:17">
      <c r="A43" s="456" t="s">
        <v>66</v>
      </c>
      <c r="B43" s="460">
        <v>3786.12</v>
      </c>
      <c r="C43" s="461">
        <v>4262.0400000000045</v>
      </c>
      <c r="D43" t="s">
        <v>67</v>
      </c>
      <c r="F43" s="170"/>
      <c r="I43" s="25"/>
      <c r="J43" s="25"/>
    </row>
    <row r="44" spans="1:17">
      <c r="A44" s="456" t="s">
        <v>68</v>
      </c>
      <c r="B44" s="460">
        <v>245616.80968087001</v>
      </c>
      <c r="C44" s="461">
        <v>108149.88</v>
      </c>
      <c r="D44" t="s">
        <v>69</v>
      </c>
      <c r="F44" s="170"/>
      <c r="I44" s="25"/>
      <c r="J44" s="25"/>
    </row>
    <row r="45" spans="1:17">
      <c r="A45" s="456" t="s">
        <v>70</v>
      </c>
      <c r="B45" s="460">
        <v>6115.83</v>
      </c>
      <c r="C45" s="461">
        <v>6115.8338373415199</v>
      </c>
      <c r="D45" t="s">
        <v>71</v>
      </c>
      <c r="F45" s="170"/>
      <c r="I45" s="25"/>
      <c r="J45" s="25"/>
    </row>
    <row r="46" spans="1:17">
      <c r="A46" s="456" t="s">
        <v>72</v>
      </c>
      <c r="B46" s="460">
        <v>13479.328406041201</v>
      </c>
      <c r="C46" s="461">
        <v>405.75</v>
      </c>
      <c r="D46" t="s">
        <v>73</v>
      </c>
      <c r="F46" s="170"/>
      <c r="I46" s="25"/>
      <c r="J46" s="25"/>
    </row>
    <row r="47" spans="1:17">
      <c r="A47" s="456" t="s">
        <v>74</v>
      </c>
      <c r="B47" s="460">
        <v>622376.47550645506</v>
      </c>
      <c r="C47" s="461">
        <v>516180.186478936</v>
      </c>
      <c r="D47" t="s">
        <v>75</v>
      </c>
      <c r="F47" s="170"/>
      <c r="I47" s="25"/>
      <c r="J47" s="25"/>
    </row>
    <row r="48" spans="1:17">
      <c r="A48" s="456" t="s">
        <v>76</v>
      </c>
      <c r="B48" s="460">
        <v>474007.19648429699</v>
      </c>
      <c r="C48" s="461">
        <v>464674.15776443062</v>
      </c>
      <c r="D48" t="s">
        <v>77</v>
      </c>
      <c r="F48" s="170"/>
      <c r="I48" s="25"/>
      <c r="J48" s="25"/>
    </row>
    <row r="49" spans="1:15" ht="28.9">
      <c r="A49" s="456" t="s">
        <v>78</v>
      </c>
      <c r="B49" s="460">
        <v>639118.93305226695</v>
      </c>
      <c r="C49" s="461">
        <v>274431.96121758735</v>
      </c>
      <c r="D49" t="s">
        <v>79</v>
      </c>
      <c r="F49" s="170"/>
      <c r="I49" s="25"/>
      <c r="J49" s="25"/>
    </row>
    <row r="50" spans="1:15">
      <c r="A50" s="456" t="s">
        <v>80</v>
      </c>
      <c r="B50" s="460">
        <v>4404661.1840626597</v>
      </c>
      <c r="C50" s="461">
        <v>3638433.9274053522</v>
      </c>
      <c r="D50" t="s">
        <v>81</v>
      </c>
      <c r="F50" s="170"/>
      <c r="I50" s="25"/>
      <c r="J50" s="25"/>
    </row>
    <row r="51" spans="1:15">
      <c r="A51" s="457" t="s">
        <v>82</v>
      </c>
      <c r="B51" s="460">
        <v>1998542.4898747499</v>
      </c>
      <c r="C51" s="461">
        <v>1666218.23</v>
      </c>
      <c r="D51" t="s">
        <v>83</v>
      </c>
      <c r="E51" s="170"/>
      <c r="F51" s="170"/>
      <c r="I51" s="25"/>
      <c r="J51" s="25"/>
    </row>
    <row r="52" spans="1:15">
      <c r="A52" s="456" t="s">
        <v>84</v>
      </c>
      <c r="B52" s="460">
        <v>301710.16954890598</v>
      </c>
      <c r="C52" s="461">
        <v>247387.24424886791</v>
      </c>
      <c r="D52" t="s">
        <v>85</v>
      </c>
      <c r="E52" s="169"/>
      <c r="F52" s="170"/>
      <c r="I52" s="25"/>
      <c r="J52" s="25"/>
    </row>
    <row r="53" spans="1:15">
      <c r="A53" s="456" t="s">
        <v>86</v>
      </c>
      <c r="B53" s="460">
        <v>806403.61089733196</v>
      </c>
      <c r="C53" s="461">
        <v>1404028.4630516658</v>
      </c>
      <c r="D53" t="s">
        <v>87</v>
      </c>
      <c r="E53" s="169"/>
      <c r="F53" s="170"/>
      <c r="I53" s="25"/>
      <c r="J53" s="25"/>
    </row>
    <row r="54" spans="1:15">
      <c r="A54" s="456" t="s">
        <v>88</v>
      </c>
      <c r="B54" s="460">
        <v>256031.911378035</v>
      </c>
      <c r="C54" s="461">
        <v>160625.49261041783</v>
      </c>
      <c r="D54" t="s">
        <v>89</v>
      </c>
      <c r="E54" s="169"/>
      <c r="F54" s="170"/>
      <c r="I54" s="25"/>
      <c r="J54" s="25"/>
    </row>
    <row r="55" spans="1:15">
      <c r="A55" s="456" t="s">
        <v>90</v>
      </c>
      <c r="B55" s="460">
        <v>43440.876561402998</v>
      </c>
      <c r="C55" s="461">
        <v>57980.12</v>
      </c>
      <c r="D55" t="s">
        <v>91</v>
      </c>
      <c r="E55" s="169"/>
      <c r="F55" s="170"/>
      <c r="I55" s="25"/>
      <c r="J55" s="25"/>
    </row>
    <row r="56" spans="1:15">
      <c r="A56" s="456" t="s">
        <v>92</v>
      </c>
      <c r="B56" s="460">
        <v>382805.48576712399</v>
      </c>
      <c r="C56" s="461">
        <v>267166.52999999997</v>
      </c>
      <c r="D56" t="s">
        <v>93</v>
      </c>
      <c r="E56" s="169"/>
      <c r="F56" s="170"/>
      <c r="I56" s="25"/>
      <c r="J56" s="25"/>
    </row>
    <row r="57" spans="1:15">
      <c r="A57" s="456" t="s">
        <v>94</v>
      </c>
      <c r="B57" s="460">
        <v>201468.92299868801</v>
      </c>
      <c r="C57" s="461">
        <v>260593.68994123259</v>
      </c>
      <c r="D57" t="s">
        <v>95</v>
      </c>
      <c r="E57" s="169"/>
      <c r="F57" s="170"/>
      <c r="I57" s="25"/>
      <c r="J57" s="25"/>
    </row>
    <row r="58" spans="1:15">
      <c r="A58" s="456" t="s">
        <v>96</v>
      </c>
      <c r="B58" s="460">
        <v>346009.23123738897</v>
      </c>
      <c r="C58" s="461">
        <v>325630.09924792207</v>
      </c>
      <c r="D58" t="s">
        <v>97</v>
      </c>
      <c r="E58" s="169"/>
      <c r="F58" s="170"/>
      <c r="I58" s="25"/>
      <c r="J58" s="25"/>
    </row>
    <row r="59" spans="1:15">
      <c r="A59" s="456" t="s">
        <v>98</v>
      </c>
      <c r="B59" s="460">
        <v>154884.99120251799</v>
      </c>
      <c r="C59" s="461">
        <v>162578.77078917698</v>
      </c>
      <c r="D59" t="s">
        <v>99</v>
      </c>
      <c r="E59" s="169"/>
      <c r="F59" s="170"/>
      <c r="I59" s="25"/>
      <c r="J59" s="25"/>
    </row>
    <row r="60" spans="1:15">
      <c r="A60" s="456" t="s">
        <v>100</v>
      </c>
      <c r="B60" s="460">
        <v>80758.025659360297</v>
      </c>
      <c r="C60" s="461">
        <v>95468.270992981066</v>
      </c>
      <c r="D60" t="s">
        <v>101</v>
      </c>
      <c r="E60" s="169"/>
      <c r="F60" s="170"/>
      <c r="I60" s="25"/>
      <c r="J60" s="25"/>
    </row>
    <row r="61" spans="1:15">
      <c r="A61" s="456" t="s">
        <v>102</v>
      </c>
      <c r="B61" s="460">
        <v>327867.71000000002</v>
      </c>
      <c r="C61" s="461">
        <v>93871.61</v>
      </c>
      <c r="D61" t="s">
        <v>103</v>
      </c>
      <c r="E61" s="169"/>
      <c r="F61" s="170"/>
      <c r="I61" s="25"/>
      <c r="J61" s="25"/>
    </row>
    <row r="62" spans="1:15">
      <c r="A62" s="456" t="s">
        <v>104</v>
      </c>
      <c r="B62" s="460">
        <v>37508.501581438897</v>
      </c>
      <c r="C62" s="461">
        <v>46972.964552252335</v>
      </c>
      <c r="D62" t="s">
        <v>105</v>
      </c>
      <c r="E62" s="169"/>
      <c r="F62" s="170"/>
      <c r="I62" s="25"/>
      <c r="J62" s="25"/>
    </row>
    <row r="63" spans="1:15" ht="15" thickBot="1">
      <c r="A63" s="185" t="s">
        <v>106</v>
      </c>
      <c r="B63" s="231">
        <v>4283483.4248652896</v>
      </c>
      <c r="C63" s="237">
        <v>2643542.6360858721</v>
      </c>
      <c r="D63" t="s">
        <v>107</v>
      </c>
      <c r="E63" s="169"/>
      <c r="J63" s="25"/>
    </row>
    <row r="64" spans="1:15" ht="15" thickBot="1">
      <c r="A64" s="186" t="s">
        <v>108</v>
      </c>
      <c r="B64" s="285">
        <f>SUM(B39:B63)</f>
        <v>16683391.260895878</v>
      </c>
      <c r="C64" s="378">
        <f>SUM(C39:C63)</f>
        <v>13388824.054456631</v>
      </c>
      <c r="E64" s="588" t="str">
        <f ca="1">+IF((ROUND(B64,0)=ROUND(OFFSET(A31,0,RIGHT('Ввод данных'!$B$16,LEN('Ввод данных'!$B$16)-1),1,1),0)),"Все правильно: данные верны","Предупреждение: данные не совпадают")</f>
        <v>Все правильно: данные верны</v>
      </c>
      <c r="F64" s="589"/>
      <c r="G64" s="589"/>
      <c r="H64" s="590"/>
      <c r="I64" s="96"/>
      <c r="J64" s="96"/>
      <c r="K64" s="96"/>
      <c r="L64" s="103"/>
      <c r="M64" s="101"/>
      <c r="N64" s="102"/>
      <c r="O64" s="100"/>
    </row>
    <row r="65" spans="1:17">
      <c r="B65" s="96"/>
      <c r="C65" s="96"/>
      <c r="E65" s="96"/>
      <c r="F65" s="96"/>
      <c r="G65" s="96"/>
      <c r="H65" s="96"/>
      <c r="I65" s="96"/>
      <c r="J65" s="96"/>
      <c r="K65" s="96"/>
      <c r="L65" s="96"/>
      <c r="M65" s="96"/>
      <c r="N65" s="96"/>
      <c r="O65" s="103"/>
      <c r="P65" s="101"/>
      <c r="Q65" s="102"/>
    </row>
    <row r="66" spans="1:17" ht="18">
      <c r="A66" s="57" t="s">
        <v>109</v>
      </c>
      <c r="C66" s="96"/>
      <c r="D66" s="96"/>
      <c r="O66" s="100"/>
      <c r="P66" s="101"/>
      <c r="Q66" s="102">
        <f>+I33</f>
        <v>0</v>
      </c>
    </row>
    <row r="67" spans="1:17" ht="15" thickBot="1">
      <c r="O67" s="100"/>
      <c r="P67" s="101"/>
      <c r="Q67" s="102">
        <f>+J33</f>
        <v>0</v>
      </c>
    </row>
    <row r="68" spans="1:17" ht="51" customHeight="1">
      <c r="A68" s="219"/>
      <c r="B68" s="220" t="s">
        <v>110</v>
      </c>
      <c r="C68" s="220" t="s">
        <v>111</v>
      </c>
      <c r="D68" s="221" t="str">
        <f>CONCATENATE("Всего израсходовано и выплачено (в ",C26,")")</f>
        <v>Всего израсходовано и выплачено (в $)</v>
      </c>
      <c r="F68" s="141"/>
      <c r="G68" s="327"/>
      <c r="H68" s="136"/>
      <c r="I68" s="136"/>
      <c r="J68" s="136"/>
      <c r="K68" s="136"/>
      <c r="L68" s="14"/>
      <c r="M68" s="14"/>
      <c r="N68" s="100"/>
      <c r="O68" s="101"/>
      <c r="P68" s="102">
        <f>+L33</f>
        <v>0</v>
      </c>
      <c r="Q68" s="100"/>
    </row>
    <row r="69" spans="1:17">
      <c r="A69" s="222" t="s">
        <v>112</v>
      </c>
      <c r="B69" s="246">
        <v>21957907.009999998</v>
      </c>
      <c r="C69" s="451">
        <v>11372549.949999999</v>
      </c>
      <c r="D69" s="224">
        <f>+C69+B69</f>
        <v>33330456.959999997</v>
      </c>
      <c r="F69" s="63"/>
      <c r="G69" s="139"/>
      <c r="H69" s="62"/>
      <c r="I69" s="98"/>
      <c r="J69" s="99"/>
      <c r="K69" s="64"/>
      <c r="L69" s="20"/>
      <c r="M69" s="20"/>
      <c r="N69" s="100"/>
      <c r="O69" s="100"/>
      <c r="P69" s="100"/>
      <c r="Q69" s="100"/>
    </row>
    <row r="70" spans="1:17">
      <c r="A70" s="222" t="s">
        <v>113</v>
      </c>
      <c r="B70" s="246">
        <v>12158982.398843355</v>
      </c>
      <c r="C70" s="452">
        <v>11052794.31142755</v>
      </c>
      <c r="D70" s="224">
        <f>+C70+B70</f>
        <v>23211776.710270904</v>
      </c>
      <c r="F70" s="122"/>
      <c r="G70" s="139"/>
      <c r="H70" s="62"/>
      <c r="I70" s="98"/>
      <c r="J70" s="98"/>
      <c r="K70" s="64"/>
      <c r="L70" s="21"/>
      <c r="M70" s="21"/>
      <c r="N70" s="100"/>
      <c r="O70" s="100"/>
      <c r="P70" s="100"/>
      <c r="Q70" s="100"/>
    </row>
    <row r="71" spans="1:17">
      <c r="A71" s="222" t="s">
        <v>114</v>
      </c>
      <c r="B71" s="246">
        <v>4155763.69</v>
      </c>
      <c r="C71" s="452">
        <v>2242134.7400000002</v>
      </c>
      <c r="D71" s="224">
        <f>+C71+B71</f>
        <v>6397898.4299999997</v>
      </c>
      <c r="F71" s="63"/>
      <c r="G71" s="139"/>
      <c r="H71" s="62"/>
      <c r="I71" s="98"/>
      <c r="J71" s="99"/>
      <c r="K71" s="64"/>
      <c r="L71" s="20"/>
      <c r="M71" s="20"/>
    </row>
    <row r="72" spans="1:17">
      <c r="A72" s="223" t="s">
        <v>115</v>
      </c>
      <c r="B72" s="246">
        <v>3933382.8720644177</v>
      </c>
      <c r="C72" s="452">
        <v>2336029.7430290864</v>
      </c>
      <c r="D72" s="225">
        <f>+C72+B72</f>
        <v>6269412.6150935041</v>
      </c>
      <c r="E72" s="96"/>
      <c r="F72" s="123"/>
      <c r="G72" s="140"/>
      <c r="H72" s="65"/>
      <c r="I72" s="65"/>
      <c r="J72" s="65"/>
      <c r="K72" s="64"/>
      <c r="L72" s="21"/>
      <c r="M72" s="21"/>
    </row>
    <row r="73" spans="1:17" ht="15.75" customHeight="1">
      <c r="C73" s="96"/>
      <c r="E73" s="96"/>
    </row>
    <row r="74" spans="1:17">
      <c r="C74" s="218"/>
    </row>
    <row r="75" spans="1:17" ht="18">
      <c r="A75" s="57" t="s">
        <v>116</v>
      </c>
      <c r="C75" s="96"/>
    </row>
    <row r="76" spans="1:17" ht="15" thickBot="1"/>
    <row r="77" spans="1:17" ht="15.75" customHeight="1" thickBot="1">
      <c r="A77" s="555" t="s">
        <v>117</v>
      </c>
      <c r="B77" s="556"/>
      <c r="C77" s="557"/>
      <c r="D77" s="236"/>
    </row>
    <row r="78" spans="1:17">
      <c r="A78" s="232"/>
      <c r="B78" s="208"/>
      <c r="C78" s="217" t="s">
        <v>118</v>
      </c>
      <c r="D78" s="233" t="s">
        <v>119</v>
      </c>
    </row>
    <row r="79" spans="1:17">
      <c r="A79" s="142" t="s">
        <v>120</v>
      </c>
      <c r="B79" s="27"/>
      <c r="C79" s="247">
        <v>60</v>
      </c>
      <c r="D79" s="379">
        <v>60</v>
      </c>
    </row>
    <row r="80" spans="1:17">
      <c r="A80" s="142" t="s">
        <v>121</v>
      </c>
      <c r="B80" s="27"/>
      <c r="C80" s="247" t="s">
        <v>122</v>
      </c>
      <c r="D80" s="380" t="s">
        <v>122</v>
      </c>
      <c r="G80" s="139"/>
      <c r="H80" s="139"/>
    </row>
    <row r="81" spans="1:15" ht="15" thickBot="1">
      <c r="A81" s="234" t="s">
        <v>123</v>
      </c>
      <c r="B81" s="235"/>
      <c r="C81" s="248" t="s">
        <v>122</v>
      </c>
      <c r="D81" s="380" t="s">
        <v>122</v>
      </c>
      <c r="G81" s="139"/>
      <c r="H81" s="139"/>
    </row>
    <row r="83" spans="1:15" ht="15" thickBot="1"/>
    <row r="84" spans="1:15" ht="31.5" customHeight="1" thickBot="1">
      <c r="A84" s="67" t="s">
        <v>124</v>
      </c>
      <c r="B84" s="68"/>
      <c r="C84" s="68"/>
      <c r="D84" s="68"/>
      <c r="E84" s="68"/>
      <c r="F84" s="68"/>
      <c r="G84" s="328" t="s">
        <v>125</v>
      </c>
      <c r="H84" s="329"/>
      <c r="I84" s="330"/>
      <c r="J84" s="330"/>
      <c r="K84" s="331"/>
      <c r="L84" s="69"/>
      <c r="M84" s="54"/>
      <c r="N84" s="54"/>
      <c r="O84" s="54"/>
    </row>
    <row r="85" spans="1:15" ht="18">
      <c r="A85" s="70"/>
      <c r="B85" s="69"/>
      <c r="C85" s="69"/>
      <c r="D85" s="69"/>
      <c r="E85" s="69"/>
      <c r="F85" s="69"/>
      <c r="G85" s="69"/>
      <c r="H85" s="69"/>
      <c r="I85" s="69"/>
      <c r="J85" s="71"/>
      <c r="K85" s="71"/>
      <c r="L85" s="69"/>
      <c r="M85" s="54"/>
      <c r="N85" s="54"/>
      <c r="O85" s="54"/>
    </row>
    <row r="86" spans="1:15" ht="18">
      <c r="A86" s="70" t="s">
        <v>126</v>
      </c>
      <c r="B86" s="69"/>
      <c r="C86" s="69"/>
      <c r="D86" s="69"/>
      <c r="E86" s="69"/>
      <c r="F86" s="69"/>
      <c r="G86" s="69"/>
      <c r="H86" s="69"/>
      <c r="I86" s="69"/>
      <c r="J86" s="71"/>
      <c r="K86" s="71"/>
      <c r="L86" s="69"/>
      <c r="M86" s="54"/>
      <c r="N86" s="54"/>
      <c r="O86" s="54"/>
    </row>
    <row r="87" spans="1:15" ht="15" thickBot="1">
      <c r="B87" s="72"/>
      <c r="C87" s="72"/>
      <c r="D87" s="72"/>
      <c r="E87" s="72"/>
      <c r="F87" s="72"/>
      <c r="H87" s="72"/>
    </row>
    <row r="88" spans="1:15" ht="28.9">
      <c r="A88" s="553"/>
      <c r="B88" s="554"/>
      <c r="C88" s="73" t="s">
        <v>127</v>
      </c>
      <c r="D88" s="74" t="s">
        <v>128</v>
      </c>
      <c r="E88" s="190" t="s">
        <v>129</v>
      </c>
      <c r="F88" s="191" t="s">
        <v>130</v>
      </c>
      <c r="G88" s="332"/>
      <c r="H88" s="333"/>
    </row>
    <row r="89" spans="1:15">
      <c r="A89" s="558" t="s">
        <v>131</v>
      </c>
      <c r="B89" s="559"/>
      <c r="C89" s="124">
        <v>0</v>
      </c>
      <c r="D89" s="124">
        <v>0</v>
      </c>
      <c r="E89" s="124">
        <v>0</v>
      </c>
      <c r="F89" s="75">
        <v>0</v>
      </c>
      <c r="G89" s="332"/>
      <c r="H89" s="333"/>
    </row>
    <row r="90" spans="1:15" ht="15" thickBot="1">
      <c r="A90" s="563" t="s">
        <v>132</v>
      </c>
      <c r="B90" s="564"/>
      <c r="C90" s="124">
        <v>0</v>
      </c>
      <c r="D90" s="124">
        <v>0</v>
      </c>
      <c r="E90" s="124">
        <v>0</v>
      </c>
      <c r="F90" s="124">
        <v>0</v>
      </c>
      <c r="G90" s="332"/>
      <c r="H90" s="333"/>
    </row>
    <row r="91" spans="1:15">
      <c r="A91" s="558" t="s">
        <v>133</v>
      </c>
      <c r="B91" s="559"/>
      <c r="C91" s="124">
        <v>0</v>
      </c>
      <c r="D91" s="124">
        <v>0</v>
      </c>
      <c r="E91" s="124">
        <v>0</v>
      </c>
      <c r="F91" s="75">
        <f>SUM(C91:E91)</f>
        <v>0</v>
      </c>
      <c r="G91" s="138"/>
      <c r="H91" s="149"/>
      <c r="I91" s="149"/>
    </row>
    <row r="92" spans="1:15" ht="15" thickBot="1">
      <c r="A92" s="563" t="s">
        <v>134</v>
      </c>
      <c r="B92" s="564"/>
      <c r="C92" s="125">
        <v>0</v>
      </c>
      <c r="D92" s="125">
        <v>0</v>
      </c>
      <c r="E92" s="125">
        <v>0</v>
      </c>
      <c r="F92" s="76">
        <f>SUM(C92:E92)</f>
        <v>0</v>
      </c>
      <c r="G92" s="138"/>
    </row>
    <row r="95" spans="1:15" ht="18">
      <c r="A95" s="70" t="s">
        <v>135</v>
      </c>
    </row>
    <row r="96" spans="1:15" ht="15" thickBot="1"/>
    <row r="97" spans="1:8">
      <c r="A97" s="279" t="s">
        <v>136</v>
      </c>
      <c r="B97" s="189" t="s">
        <v>137</v>
      </c>
      <c r="C97" s="189" t="s">
        <v>138</v>
      </c>
      <c r="D97" s="77" t="s">
        <v>139</v>
      </c>
      <c r="H97" s="333"/>
    </row>
    <row r="98" spans="1:8" ht="15" thickBot="1">
      <c r="A98" s="209" t="s">
        <v>140</v>
      </c>
      <c r="B98" s="124">
        <v>5</v>
      </c>
      <c r="C98" s="124">
        <v>5</v>
      </c>
      <c r="D98" s="124">
        <f>B98-C98</f>
        <v>0</v>
      </c>
      <c r="H98" s="333"/>
    </row>
    <row r="99" spans="1:8" ht="15" thickBot="1">
      <c r="A99" s="209" t="s">
        <v>141</v>
      </c>
      <c r="B99" s="366">
        <v>2</v>
      </c>
      <c r="C99" s="124">
        <v>2</v>
      </c>
      <c r="D99" s="124">
        <v>0</v>
      </c>
      <c r="H99" s="333"/>
    </row>
    <row r="100" spans="1:8" ht="15" thickBot="1">
      <c r="A100" s="209" t="s">
        <v>142</v>
      </c>
      <c r="B100" s="366">
        <v>17</v>
      </c>
      <c r="C100" s="124">
        <v>17</v>
      </c>
      <c r="D100" s="124">
        <v>0</v>
      </c>
      <c r="E100" s="128"/>
      <c r="F100" s="334"/>
      <c r="H100" s="149"/>
    </row>
    <row r="101" spans="1:8">
      <c r="B101" s="335"/>
      <c r="C101" s="335"/>
      <c r="D101" s="335"/>
    </row>
    <row r="102" spans="1:8" ht="18">
      <c r="A102" s="70" t="s">
        <v>143</v>
      </c>
    </row>
    <row r="103" spans="1:8" ht="15" thickBot="1"/>
    <row r="104" spans="1:8" ht="28.9">
      <c r="A104" s="226"/>
      <c r="B104" s="305" t="s">
        <v>144</v>
      </c>
      <c r="C104" s="305" t="s">
        <v>145</v>
      </c>
      <c r="D104" s="305" t="s">
        <v>146</v>
      </c>
      <c r="E104" s="306" t="s">
        <v>147</v>
      </c>
      <c r="F104" s="307" t="s">
        <v>148</v>
      </c>
      <c r="G104" s="131"/>
      <c r="H104" s="333"/>
    </row>
    <row r="105" spans="1:8" ht="15" thickBot="1">
      <c r="A105" s="308" t="s">
        <v>149</v>
      </c>
      <c r="B105" s="280">
        <v>22</v>
      </c>
      <c r="C105" s="281">
        <v>22</v>
      </c>
      <c r="D105" s="281">
        <v>22</v>
      </c>
      <c r="E105" s="281">
        <v>22</v>
      </c>
      <c r="F105" s="281">
        <v>22</v>
      </c>
      <c r="G105" s="150"/>
      <c r="H105" s="138"/>
    </row>
    <row r="106" spans="1:8" ht="15" thickBot="1">
      <c r="A106" s="309" t="s">
        <v>150</v>
      </c>
      <c r="B106" s="354">
        <v>5</v>
      </c>
      <c r="C106" s="281">
        <v>5</v>
      </c>
      <c r="D106" s="281">
        <v>5</v>
      </c>
      <c r="E106" s="281">
        <v>5</v>
      </c>
      <c r="F106" s="310">
        <v>5</v>
      </c>
      <c r="G106" s="150"/>
      <c r="H106" s="138"/>
    </row>
    <row r="108" spans="1:8" ht="18">
      <c r="A108" s="70" t="s">
        <v>151</v>
      </c>
    </row>
    <row r="109" spans="1:8" ht="15" thickBot="1"/>
    <row r="110" spans="1:8" ht="27.75" customHeight="1">
      <c r="A110" s="226"/>
      <c r="B110" s="290" t="s">
        <v>152</v>
      </c>
      <c r="C110" s="290" t="s">
        <v>153</v>
      </c>
      <c r="D110" s="291" t="s">
        <v>154</v>
      </c>
    </row>
    <row r="111" spans="1:8" ht="27.75" customHeight="1">
      <c r="A111" s="292" t="s">
        <v>155</v>
      </c>
      <c r="B111" s="124">
        <v>0</v>
      </c>
      <c r="C111" s="126">
        <v>0</v>
      </c>
      <c r="D111" s="293">
        <v>0</v>
      </c>
    </row>
    <row r="112" spans="1:8" ht="27.75" customHeight="1">
      <c r="A112" s="292" t="s">
        <v>156</v>
      </c>
      <c r="B112" s="124">
        <v>35</v>
      </c>
      <c r="C112" s="126">
        <v>35</v>
      </c>
      <c r="D112" s="293">
        <f>B112-C112</f>
        <v>0</v>
      </c>
    </row>
    <row r="113" spans="1:13">
      <c r="A113" s="292" t="s">
        <v>157</v>
      </c>
      <c r="B113" s="124"/>
      <c r="C113" s="126"/>
      <c r="D113" s="293">
        <f t="shared" ref="D113:D114" si="1">B113-C113</f>
        <v>0</v>
      </c>
    </row>
    <row r="114" spans="1:13" ht="15" thickBot="1">
      <c r="A114" s="294" t="s">
        <v>158</v>
      </c>
      <c r="B114" s="295">
        <v>7</v>
      </c>
      <c r="C114" s="296">
        <v>7</v>
      </c>
      <c r="D114" s="297">
        <f t="shared" si="1"/>
        <v>0</v>
      </c>
    </row>
    <row r="116" spans="1:13" ht="18">
      <c r="A116" s="70" t="s">
        <v>159</v>
      </c>
    </row>
    <row r="117" spans="1:13" ht="15" thickBot="1"/>
    <row r="118" spans="1:13">
      <c r="A118" s="226"/>
      <c r="B118" s="174" t="s">
        <v>41</v>
      </c>
      <c r="C118" s="174" t="s">
        <v>42</v>
      </c>
      <c r="D118" s="174" t="s">
        <v>26</v>
      </c>
      <c r="E118" s="174" t="s">
        <v>43</v>
      </c>
      <c r="F118" s="174" t="s">
        <v>44</v>
      </c>
      <c r="G118" s="174" t="s">
        <v>45</v>
      </c>
      <c r="H118" s="174" t="s">
        <v>46</v>
      </c>
      <c r="I118" s="174" t="s">
        <v>47</v>
      </c>
      <c r="J118" s="174" t="s">
        <v>48</v>
      </c>
      <c r="K118" s="174" t="s">
        <v>49</v>
      </c>
      <c r="L118" s="174" t="s">
        <v>50</v>
      </c>
      <c r="M118" s="298" t="s">
        <v>51</v>
      </c>
    </row>
    <row r="119" spans="1:13" ht="15" customHeight="1">
      <c r="A119" s="227" t="s">
        <v>160</v>
      </c>
      <c r="B119" s="453">
        <v>1718389.82</v>
      </c>
      <c r="C119" s="286">
        <v>4934758.51</v>
      </c>
      <c r="D119" s="286">
        <v>7558222.8504614541</v>
      </c>
      <c r="E119" s="166"/>
      <c r="F119" s="166"/>
      <c r="G119" s="166"/>
      <c r="H119" s="166"/>
      <c r="I119" s="166"/>
      <c r="J119" s="166"/>
      <c r="K119" s="166"/>
      <c r="L119" s="166"/>
      <c r="M119" s="299"/>
    </row>
    <row r="120" spans="1:13" ht="15" customHeight="1">
      <c r="A120" s="227" t="s">
        <v>161</v>
      </c>
      <c r="B120" s="454">
        <v>2445797</v>
      </c>
      <c r="C120" s="286">
        <v>4134253.8999999994</v>
      </c>
      <c r="D120" s="286">
        <v>313996.26</v>
      </c>
      <c r="E120" s="166"/>
      <c r="F120" s="166"/>
      <c r="G120" s="166"/>
      <c r="H120" s="166"/>
      <c r="I120" s="166"/>
      <c r="J120" s="166"/>
      <c r="K120" s="166"/>
      <c r="L120" s="166"/>
      <c r="M120" s="299"/>
    </row>
    <row r="121" spans="1:13" ht="15" customHeight="1">
      <c r="A121" s="227" t="s">
        <v>162</v>
      </c>
      <c r="B121" s="454">
        <v>1718390</v>
      </c>
      <c r="C121" s="286">
        <v>4934758.5100000007</v>
      </c>
      <c r="D121" s="286">
        <v>7033684.7400000002</v>
      </c>
      <c r="E121" s="166"/>
      <c r="F121" s="166"/>
      <c r="G121" s="166"/>
      <c r="H121" s="166"/>
      <c r="I121" s="166"/>
      <c r="J121" s="166"/>
      <c r="K121" s="166"/>
      <c r="L121" s="166"/>
      <c r="M121" s="299"/>
    </row>
    <row r="122" spans="1:13" ht="15" customHeight="1">
      <c r="A122" s="228" t="s">
        <v>163</v>
      </c>
      <c r="B122" s="287">
        <f>B119</f>
        <v>1718389.82</v>
      </c>
      <c r="C122" s="287">
        <f>B122+C119</f>
        <v>6653148.3300000001</v>
      </c>
      <c r="D122" s="287">
        <f>C122+D119</f>
        <v>14211371.180461455</v>
      </c>
      <c r="E122" s="287"/>
      <c r="F122" s="287"/>
      <c r="G122" s="167"/>
      <c r="H122" s="167"/>
      <c r="I122" s="167"/>
      <c r="J122" s="167"/>
      <c r="K122" s="167"/>
      <c r="L122" s="167"/>
      <c r="M122" s="300"/>
    </row>
    <row r="123" spans="1:13" ht="15" customHeight="1">
      <c r="A123" s="228" t="s">
        <v>164</v>
      </c>
      <c r="B123" s="287">
        <f>B120</f>
        <v>2445797</v>
      </c>
      <c r="C123" s="287">
        <f>C120</f>
        <v>4134253.8999999994</v>
      </c>
      <c r="D123" s="287">
        <f>D120</f>
        <v>313996.26</v>
      </c>
      <c r="E123" s="287"/>
      <c r="F123" s="167"/>
      <c r="G123" s="167"/>
      <c r="H123" s="167"/>
      <c r="I123" s="167"/>
      <c r="J123" s="167"/>
      <c r="K123" s="167"/>
      <c r="L123" s="167"/>
      <c r="M123" s="300"/>
    </row>
    <row r="124" spans="1:13">
      <c r="A124" s="301" t="s">
        <v>165</v>
      </c>
      <c r="B124" s="302">
        <f>B121</f>
        <v>1718390</v>
      </c>
      <c r="C124" s="302">
        <f>B121+C121</f>
        <v>6653148.5100000007</v>
      </c>
      <c r="D124" s="302">
        <f>C121+D121+B121</f>
        <v>13686833.25</v>
      </c>
      <c r="E124" s="302"/>
      <c r="F124" s="167"/>
      <c r="G124" s="303"/>
      <c r="H124" s="303"/>
      <c r="I124" s="303"/>
      <c r="J124" s="303"/>
      <c r="K124" s="303"/>
      <c r="L124" s="303"/>
      <c r="M124" s="304"/>
    </row>
    <row r="125" spans="1:13">
      <c r="I125" s="78"/>
      <c r="J125" s="336"/>
      <c r="L125" s="79"/>
    </row>
    <row r="126" spans="1:13">
      <c r="A126" t="s">
        <v>166</v>
      </c>
      <c r="I126" s="78"/>
      <c r="J126" s="336"/>
      <c r="L126" s="79"/>
    </row>
    <row r="127" spans="1:13">
      <c r="I127" s="78"/>
      <c r="J127" s="79"/>
      <c r="L127" s="79"/>
    </row>
    <row r="129" spans="1:11" ht="18">
      <c r="A129" s="70" t="s">
        <v>167</v>
      </c>
    </row>
    <row r="130" spans="1:11" ht="138">
      <c r="A130" s="311" t="s">
        <v>168</v>
      </c>
      <c r="B130" s="312" t="s">
        <v>169</v>
      </c>
      <c r="C130" s="313" t="s">
        <v>170</v>
      </c>
      <c r="D130" s="313" t="s">
        <v>171</v>
      </c>
      <c r="E130" s="314" t="s">
        <v>172</v>
      </c>
      <c r="F130" s="312" t="s">
        <v>173</v>
      </c>
      <c r="G130" s="602" t="s">
        <v>174</v>
      </c>
      <c r="H130" s="603"/>
      <c r="I130" s="313" t="s">
        <v>175</v>
      </c>
      <c r="J130" s="419" t="s">
        <v>176</v>
      </c>
      <c r="K130" s="416" t="s">
        <v>177</v>
      </c>
    </row>
    <row r="131" spans="1:11">
      <c r="A131" s="371"/>
      <c r="B131" s="372"/>
      <c r="C131" s="373"/>
      <c r="D131" s="373"/>
      <c r="E131" s="374"/>
      <c r="F131" s="372"/>
      <c r="G131" s="463" t="s">
        <v>13</v>
      </c>
      <c r="H131" s="375" t="s">
        <v>178</v>
      </c>
      <c r="I131" s="373"/>
      <c r="J131" s="420"/>
      <c r="K131" s="416"/>
    </row>
    <row r="132" spans="1:11">
      <c r="A132" s="604" t="s">
        <v>140</v>
      </c>
      <c r="B132" s="507" t="s">
        <v>179</v>
      </c>
      <c r="C132" s="508">
        <v>2</v>
      </c>
      <c r="D132" s="509">
        <f t="shared" ref="D132:D137" si="2">IF(ISBLANK(C132),"",C132*30)</f>
        <v>60</v>
      </c>
      <c r="E132" s="510">
        <v>58</v>
      </c>
      <c r="F132" s="511">
        <f t="shared" ref="F132:F138" si="3">E132*D132</f>
        <v>3480</v>
      </c>
      <c r="G132" s="511">
        <v>41000</v>
      </c>
      <c r="H132" s="512"/>
      <c r="I132" s="513">
        <f>G132/F132</f>
        <v>11.781609195402298</v>
      </c>
      <c r="J132" s="514">
        <v>3</v>
      </c>
      <c r="K132" s="417">
        <f>IF(AND(I132&gt;0,J132&gt;0),I132-J132,"")</f>
        <v>8.7816091954022983</v>
      </c>
    </row>
    <row r="133" spans="1:11">
      <c r="A133" s="604"/>
      <c r="B133" s="507" t="s">
        <v>180</v>
      </c>
      <c r="C133" s="508">
        <v>2</v>
      </c>
      <c r="D133" s="509">
        <f t="shared" si="2"/>
        <v>60</v>
      </c>
      <c r="E133" s="510">
        <f>14+30</f>
        <v>44</v>
      </c>
      <c r="F133" s="511">
        <f t="shared" si="3"/>
        <v>2640</v>
      </c>
      <c r="G133" s="511">
        <v>25387</v>
      </c>
      <c r="H133" s="512"/>
      <c r="I133" s="513">
        <f t="shared" ref="I133:I139" si="4">G133/F133</f>
        <v>9.6162878787878796</v>
      </c>
      <c r="J133" s="514">
        <v>3</v>
      </c>
      <c r="K133" s="417">
        <f t="shared" ref="K133:K139" si="5">IF(AND(I133&gt;0,J133&gt;0),I133-J133,"")</f>
        <v>6.6162878787878796</v>
      </c>
    </row>
    <row r="134" spans="1:11">
      <c r="A134" s="604"/>
      <c r="B134" s="507" t="s">
        <v>181</v>
      </c>
      <c r="C134" s="508">
        <v>4</v>
      </c>
      <c r="D134" s="509">
        <f t="shared" si="2"/>
        <v>120</v>
      </c>
      <c r="E134" s="510">
        <v>7</v>
      </c>
      <c r="F134" s="511">
        <f t="shared" si="3"/>
        <v>840</v>
      </c>
      <c r="G134" s="511">
        <v>3120</v>
      </c>
      <c r="H134" s="512"/>
      <c r="I134" s="513">
        <f t="shared" si="4"/>
        <v>3.7142857142857144</v>
      </c>
      <c r="J134" s="514">
        <v>3</v>
      </c>
      <c r="K134" s="417">
        <f t="shared" si="5"/>
        <v>0.71428571428571441</v>
      </c>
    </row>
    <row r="135" spans="1:11">
      <c r="A135" s="604"/>
      <c r="B135" s="507" t="s">
        <v>182</v>
      </c>
      <c r="C135" s="508">
        <v>1</v>
      </c>
      <c r="D135" s="509">
        <f t="shared" si="2"/>
        <v>30</v>
      </c>
      <c r="E135" s="510">
        <f>13+150+30</f>
        <v>193</v>
      </c>
      <c r="F135" s="511">
        <f t="shared" si="3"/>
        <v>5790</v>
      </c>
      <c r="G135" s="511">
        <v>74399</v>
      </c>
      <c r="H135" s="512"/>
      <c r="I135" s="513">
        <f>(G135+H135)/F135</f>
        <v>12.849568221070811</v>
      </c>
      <c r="J135" s="514">
        <v>3</v>
      </c>
      <c r="K135" s="418">
        <f t="shared" si="5"/>
        <v>9.8495682210708111</v>
      </c>
    </row>
    <row r="136" spans="1:11">
      <c r="A136" s="604"/>
      <c r="B136" s="507" t="s">
        <v>183</v>
      </c>
      <c r="C136" s="508">
        <v>1</v>
      </c>
      <c r="D136" s="509">
        <f t="shared" si="2"/>
        <v>30</v>
      </c>
      <c r="E136" s="510">
        <v>391</v>
      </c>
      <c r="F136" s="511">
        <f t="shared" si="3"/>
        <v>11730</v>
      </c>
      <c r="G136" s="511">
        <v>19870</v>
      </c>
      <c r="H136" s="515">
        <v>75530</v>
      </c>
      <c r="I136" s="513">
        <f>(G136+H136)/F136</f>
        <v>8.132992327365729</v>
      </c>
      <c r="J136" s="514">
        <v>3</v>
      </c>
      <c r="K136" s="418">
        <f t="shared" si="5"/>
        <v>5.132992327365729</v>
      </c>
    </row>
    <row r="137" spans="1:11">
      <c r="A137" s="604"/>
      <c r="B137" s="507" t="s">
        <v>184</v>
      </c>
      <c r="C137" s="516">
        <v>1</v>
      </c>
      <c r="D137" s="509">
        <f t="shared" si="2"/>
        <v>30</v>
      </c>
      <c r="E137" s="510">
        <v>28</v>
      </c>
      <c r="F137" s="511">
        <f t="shared" si="3"/>
        <v>840</v>
      </c>
      <c r="G137" s="511">
        <v>6938</v>
      </c>
      <c r="H137" s="511"/>
      <c r="I137" s="513">
        <f t="shared" si="4"/>
        <v>8.2595238095238095</v>
      </c>
      <c r="J137" s="514">
        <v>3</v>
      </c>
      <c r="K137" s="418">
        <f t="shared" si="5"/>
        <v>5.2595238095238095</v>
      </c>
    </row>
    <row r="138" spans="1:11">
      <c r="A138" s="604"/>
      <c r="B138" s="507" t="s">
        <v>185</v>
      </c>
      <c r="C138" s="516">
        <v>5</v>
      </c>
      <c r="D138" s="509">
        <f>IF(ISBLANK(C138),"",C138*30)</f>
        <v>150</v>
      </c>
      <c r="E138" s="510">
        <v>61</v>
      </c>
      <c r="F138" s="511">
        <f t="shared" si="3"/>
        <v>9150</v>
      </c>
      <c r="G138" s="511">
        <v>46531</v>
      </c>
      <c r="H138" s="511"/>
      <c r="I138" s="513">
        <f t="shared" si="4"/>
        <v>5.0853551912568307</v>
      </c>
      <c r="J138" s="514">
        <v>3</v>
      </c>
      <c r="K138" s="417">
        <f t="shared" si="5"/>
        <v>2.0853551912568307</v>
      </c>
    </row>
    <row r="139" spans="1:11">
      <c r="A139" s="604"/>
      <c r="B139" s="507" t="s">
        <v>186</v>
      </c>
      <c r="C139" s="516">
        <v>1</v>
      </c>
      <c r="D139" s="509">
        <f>IF(ISBLANK(C139),"",C139*30)</f>
        <v>30</v>
      </c>
      <c r="E139" s="509">
        <v>90</v>
      </c>
      <c r="F139" s="511">
        <f>E139*D139</f>
        <v>2700</v>
      </c>
      <c r="G139" s="511">
        <v>53455</v>
      </c>
      <c r="H139" s="511"/>
      <c r="I139" s="513">
        <f t="shared" si="4"/>
        <v>19.798148148148147</v>
      </c>
      <c r="J139" s="514">
        <v>3</v>
      </c>
      <c r="K139" s="417">
        <f t="shared" si="5"/>
        <v>16.798148148148147</v>
      </c>
    </row>
    <row r="140" spans="1:11">
      <c r="A140" s="604"/>
      <c r="B140" s="507" t="s">
        <v>187</v>
      </c>
      <c r="C140" s="516">
        <v>1</v>
      </c>
      <c r="D140" s="509">
        <v>30</v>
      </c>
      <c r="E140" s="509">
        <v>190</v>
      </c>
      <c r="F140" s="511">
        <f t="shared" ref="F140:F144" si="6">E140*D140</f>
        <v>5700</v>
      </c>
      <c r="G140" s="511">
        <v>17820</v>
      </c>
      <c r="H140" s="515">
        <v>27898</v>
      </c>
      <c r="I140" s="513">
        <f>(G140+H140)/F140</f>
        <v>8.0207017543859642</v>
      </c>
      <c r="J140" s="514">
        <v>3</v>
      </c>
      <c r="K140" s="417">
        <f t="shared" ref="K140:K144" si="7">IF(AND(I140&gt;0,J140&gt;0),I140-J140,"")</f>
        <v>5.0207017543859642</v>
      </c>
    </row>
    <row r="141" spans="1:11">
      <c r="A141" s="604"/>
      <c r="B141" s="507" t="s">
        <v>188</v>
      </c>
      <c r="C141" s="516">
        <v>1</v>
      </c>
      <c r="D141" s="509">
        <v>30</v>
      </c>
      <c r="E141" s="509">
        <v>4987</v>
      </c>
      <c r="F141" s="511">
        <f>E141*D141</f>
        <v>149610</v>
      </c>
      <c r="G141" s="511">
        <v>627050</v>
      </c>
      <c r="H141" s="515">
        <v>1618218</v>
      </c>
      <c r="I141" s="513">
        <f>(G141+H141)/F141</f>
        <v>15.007472762515874</v>
      </c>
      <c r="J141" s="514">
        <v>3</v>
      </c>
      <c r="K141" s="417">
        <f t="shared" si="7"/>
        <v>12.007472762515874</v>
      </c>
    </row>
    <row r="142" spans="1:11">
      <c r="A142" s="604"/>
      <c r="B142" s="517" t="s">
        <v>189</v>
      </c>
      <c r="C142" s="516">
        <v>1</v>
      </c>
      <c r="D142" s="509">
        <v>30</v>
      </c>
      <c r="E142" s="509">
        <v>28</v>
      </c>
      <c r="F142" s="511">
        <f>E142*D142</f>
        <v>840</v>
      </c>
      <c r="G142" s="511">
        <v>15420</v>
      </c>
      <c r="H142" s="511"/>
      <c r="I142" s="513">
        <f>G142/F142</f>
        <v>18.357142857142858</v>
      </c>
      <c r="J142" s="514">
        <v>3</v>
      </c>
      <c r="K142" s="417">
        <f>IF(AND(I142&gt;0,J142&gt;0),I142-J142,"")</f>
        <v>15.357142857142858</v>
      </c>
    </row>
    <row r="143" spans="1:11">
      <c r="A143" s="604"/>
      <c r="B143" s="517" t="s">
        <v>190</v>
      </c>
      <c r="C143" s="516">
        <v>2</v>
      </c>
      <c r="D143" s="509">
        <f>IF(ISBLANK(C143),"",C143*30)</f>
        <v>60</v>
      </c>
      <c r="E143" s="509">
        <v>20</v>
      </c>
      <c r="F143" s="511">
        <f>E143*D143</f>
        <v>1200</v>
      </c>
      <c r="G143" s="511">
        <v>12480</v>
      </c>
      <c r="H143" s="511"/>
      <c r="I143" s="513">
        <f>G143/F143</f>
        <v>10.4</v>
      </c>
      <c r="J143" s="514">
        <v>3</v>
      </c>
      <c r="K143" s="417">
        <f>IF(AND(I143&gt;0,J143&gt;0),I143-J143,"")</f>
        <v>7.4</v>
      </c>
    </row>
    <row r="144" spans="1:11">
      <c r="A144" s="605"/>
      <c r="B144" s="517" t="s">
        <v>191</v>
      </c>
      <c r="C144" s="516">
        <v>4</v>
      </c>
      <c r="D144" s="509">
        <f>IF(ISBLANK(C144),"",C144*30)</f>
        <v>120</v>
      </c>
      <c r="E144" s="509">
        <v>38</v>
      </c>
      <c r="F144" s="511">
        <f t="shared" si="6"/>
        <v>4560</v>
      </c>
      <c r="G144" s="518">
        <v>67170</v>
      </c>
      <c r="H144" s="518"/>
      <c r="I144" s="519">
        <f t="shared" ref="I144" si="8">G144/F144</f>
        <v>14.730263157894736</v>
      </c>
      <c r="J144" s="514">
        <v>3</v>
      </c>
      <c r="K144" s="417">
        <f t="shared" si="7"/>
        <v>11.730263157894736</v>
      </c>
    </row>
    <row r="145" spans="1:11">
      <c r="A145" s="606" t="s">
        <v>141</v>
      </c>
      <c r="B145" s="399" t="s">
        <v>192</v>
      </c>
      <c r="C145" s="481">
        <v>1</v>
      </c>
      <c r="D145" s="482">
        <v>26</v>
      </c>
      <c r="E145" s="483">
        <v>0</v>
      </c>
      <c r="F145" s="484">
        <f>C145*D145*E145</f>
        <v>0</v>
      </c>
      <c r="G145" s="485">
        <v>0</v>
      </c>
      <c r="H145" s="486"/>
      <c r="I145" s="487">
        <v>0</v>
      </c>
      <c r="J145" s="488">
        <v>0</v>
      </c>
      <c r="K145" s="489">
        <v>0</v>
      </c>
    </row>
    <row r="146" spans="1:11">
      <c r="A146" s="607"/>
      <c r="B146" s="400" t="s">
        <v>193</v>
      </c>
      <c r="C146" s="490">
        <v>1</v>
      </c>
      <c r="D146" s="491">
        <v>26</v>
      </c>
      <c r="E146" s="483">
        <v>0</v>
      </c>
      <c r="F146" s="484">
        <f t="shared" ref="F146:F160" si="9">C146*D146*E146</f>
        <v>0</v>
      </c>
      <c r="G146" s="485">
        <v>0</v>
      </c>
      <c r="H146" s="486"/>
      <c r="I146" s="487">
        <v>0</v>
      </c>
      <c r="J146" s="488">
        <v>0</v>
      </c>
      <c r="K146" s="492">
        <v>0</v>
      </c>
    </row>
    <row r="147" spans="1:11">
      <c r="A147" s="607"/>
      <c r="B147" s="400" t="s">
        <v>194</v>
      </c>
      <c r="C147" s="490">
        <v>2</v>
      </c>
      <c r="D147" s="491">
        <v>26</v>
      </c>
      <c r="E147" s="483">
        <v>0</v>
      </c>
      <c r="F147" s="484">
        <v>0</v>
      </c>
      <c r="G147" s="485">
        <v>0</v>
      </c>
      <c r="H147" s="486"/>
      <c r="I147" s="487">
        <v>0</v>
      </c>
      <c r="J147" s="488">
        <v>0</v>
      </c>
      <c r="K147" s="492">
        <v>0</v>
      </c>
    </row>
    <row r="148" spans="1:11">
      <c r="A148" s="607"/>
      <c r="B148" s="400" t="s">
        <v>195</v>
      </c>
      <c r="C148" s="490">
        <v>2</v>
      </c>
      <c r="D148" s="491">
        <v>30</v>
      </c>
      <c r="E148" s="483">
        <v>23</v>
      </c>
      <c r="F148" s="484">
        <f t="shared" si="9"/>
        <v>1380</v>
      </c>
      <c r="G148" s="485"/>
      <c r="H148" s="486">
        <v>2238</v>
      </c>
      <c r="I148" s="487">
        <f t="shared" ref="I148:I153" si="10">(G148+H148)/F148</f>
        <v>1.6217391304347826</v>
      </c>
      <c r="J148" s="488">
        <v>3</v>
      </c>
      <c r="K148" s="492">
        <f t="shared" ref="K148:K162" si="11">I148-J148</f>
        <v>-1.3782608695652174</v>
      </c>
    </row>
    <row r="149" spans="1:11">
      <c r="A149" s="607"/>
      <c r="B149" s="400" t="s">
        <v>196</v>
      </c>
      <c r="C149" s="490">
        <v>3</v>
      </c>
      <c r="D149" s="491">
        <v>30</v>
      </c>
      <c r="E149" s="483">
        <v>677</v>
      </c>
      <c r="F149" s="484">
        <f t="shared" si="9"/>
        <v>60930</v>
      </c>
      <c r="G149" s="485"/>
      <c r="H149" s="486">
        <v>351354</v>
      </c>
      <c r="I149" s="487">
        <f t="shared" si="10"/>
        <v>5.7665189561792225</v>
      </c>
      <c r="J149" s="488">
        <v>3</v>
      </c>
      <c r="K149" s="492">
        <f t="shared" si="11"/>
        <v>2.7665189561792225</v>
      </c>
    </row>
    <row r="150" spans="1:11">
      <c r="A150" s="607"/>
      <c r="B150" s="400" t="s">
        <v>197</v>
      </c>
      <c r="C150" s="490">
        <v>4</v>
      </c>
      <c r="D150" s="491">
        <v>30</v>
      </c>
      <c r="E150" s="483">
        <v>74</v>
      </c>
      <c r="F150" s="484">
        <f t="shared" si="9"/>
        <v>8880</v>
      </c>
      <c r="G150" s="485"/>
      <c r="H150" s="486"/>
      <c r="I150" s="487">
        <f t="shared" si="10"/>
        <v>0</v>
      </c>
      <c r="J150" s="488">
        <v>3</v>
      </c>
      <c r="K150" s="492">
        <f t="shared" si="11"/>
        <v>-3</v>
      </c>
    </row>
    <row r="151" spans="1:11">
      <c r="A151" s="607"/>
      <c r="B151" s="400" t="s">
        <v>198</v>
      </c>
      <c r="C151" s="490">
        <v>2</v>
      </c>
      <c r="D151" s="491">
        <v>30</v>
      </c>
      <c r="E151" s="483">
        <v>7</v>
      </c>
      <c r="F151" s="484">
        <f t="shared" si="9"/>
        <v>420</v>
      </c>
      <c r="G151" s="485">
        <v>207</v>
      </c>
      <c r="H151" s="486"/>
      <c r="I151" s="487">
        <f t="shared" si="10"/>
        <v>0.49285714285714288</v>
      </c>
      <c r="J151" s="488">
        <v>3</v>
      </c>
      <c r="K151" s="492">
        <f t="shared" si="11"/>
        <v>-2.5071428571428571</v>
      </c>
    </row>
    <row r="152" spans="1:11">
      <c r="A152" s="607"/>
      <c r="B152" s="400" t="s">
        <v>199</v>
      </c>
      <c r="C152" s="490">
        <v>4</v>
      </c>
      <c r="D152" s="491">
        <v>30</v>
      </c>
      <c r="E152" s="483">
        <v>551</v>
      </c>
      <c r="F152" s="484">
        <f t="shared" si="9"/>
        <v>66120</v>
      </c>
      <c r="G152" s="485"/>
      <c r="H152" s="486">
        <v>375647</v>
      </c>
      <c r="I152" s="487">
        <f t="shared" si="10"/>
        <v>5.6812915910465822</v>
      </c>
      <c r="J152" s="488">
        <v>3</v>
      </c>
      <c r="K152" s="492">
        <f t="shared" si="11"/>
        <v>2.6812915910465822</v>
      </c>
    </row>
    <row r="153" spans="1:11">
      <c r="A153" s="607"/>
      <c r="B153" s="400" t="s">
        <v>200</v>
      </c>
      <c r="C153" s="490">
        <v>1</v>
      </c>
      <c r="D153" s="491">
        <v>30</v>
      </c>
      <c r="E153" s="483">
        <v>155</v>
      </c>
      <c r="F153" s="484">
        <f t="shared" si="9"/>
        <v>4650</v>
      </c>
      <c r="G153" s="485">
        <v>51923</v>
      </c>
      <c r="H153" s="486"/>
      <c r="I153" s="487">
        <f t="shared" si="10"/>
        <v>11.166236559139785</v>
      </c>
      <c r="J153" s="488">
        <v>3</v>
      </c>
      <c r="K153" s="492">
        <f t="shared" si="11"/>
        <v>8.1662365591397847</v>
      </c>
    </row>
    <row r="154" spans="1:11">
      <c r="A154" s="607"/>
      <c r="B154" s="401" t="s">
        <v>201</v>
      </c>
      <c r="C154" s="490">
        <v>2</v>
      </c>
      <c r="D154" s="491">
        <v>30</v>
      </c>
      <c r="E154" s="483">
        <v>0</v>
      </c>
      <c r="F154" s="484">
        <f t="shared" si="9"/>
        <v>0</v>
      </c>
      <c r="G154" s="485"/>
      <c r="H154" s="486"/>
      <c r="I154" s="487">
        <v>0</v>
      </c>
      <c r="J154" s="488">
        <v>3</v>
      </c>
      <c r="K154" s="492">
        <f>I154-J154</f>
        <v>-3</v>
      </c>
    </row>
    <row r="155" spans="1:11">
      <c r="A155" s="607"/>
      <c r="B155" s="401" t="s">
        <v>202</v>
      </c>
      <c r="C155" s="490">
        <v>3</v>
      </c>
      <c r="D155" s="491">
        <v>30</v>
      </c>
      <c r="E155" s="483">
        <v>0</v>
      </c>
      <c r="F155" s="484">
        <f t="shared" si="9"/>
        <v>0</v>
      </c>
      <c r="G155" s="485"/>
      <c r="H155" s="486"/>
      <c r="I155" s="487">
        <v>0</v>
      </c>
      <c r="J155" s="488">
        <v>3</v>
      </c>
      <c r="K155" s="492">
        <f t="shared" si="11"/>
        <v>-3</v>
      </c>
    </row>
    <row r="156" spans="1:11">
      <c r="A156" s="607"/>
      <c r="B156" s="402" t="s">
        <v>203</v>
      </c>
      <c r="C156" s="490">
        <v>1</v>
      </c>
      <c r="D156" s="491">
        <v>30</v>
      </c>
      <c r="E156" s="483">
        <v>32</v>
      </c>
      <c r="F156" s="484">
        <f t="shared" si="9"/>
        <v>960</v>
      </c>
      <c r="G156" s="485">
        <v>113045</v>
      </c>
      <c r="H156" s="486"/>
      <c r="I156" s="487">
        <f t="shared" ref="I156:I162" si="12">(G156+H156)/F156</f>
        <v>117.75520833333333</v>
      </c>
      <c r="J156" s="488">
        <v>3</v>
      </c>
      <c r="K156" s="492">
        <f t="shared" si="11"/>
        <v>114.75520833333333</v>
      </c>
    </row>
    <row r="157" spans="1:11">
      <c r="A157" s="607"/>
      <c r="B157" s="403" t="s">
        <v>204</v>
      </c>
      <c r="C157" s="493">
        <v>5</v>
      </c>
      <c r="D157" s="491">
        <v>30</v>
      </c>
      <c r="E157" s="483">
        <v>67</v>
      </c>
      <c r="F157" s="484">
        <f t="shared" si="9"/>
        <v>10050</v>
      </c>
      <c r="G157" s="485"/>
      <c r="H157" s="486"/>
      <c r="I157" s="487">
        <f t="shared" si="12"/>
        <v>0</v>
      </c>
      <c r="J157" s="488">
        <v>3</v>
      </c>
      <c r="K157" s="492">
        <f t="shared" si="11"/>
        <v>-3</v>
      </c>
    </row>
    <row r="158" spans="1:11">
      <c r="A158" s="607"/>
      <c r="B158" s="403" t="s">
        <v>205</v>
      </c>
      <c r="C158" s="493">
        <v>1</v>
      </c>
      <c r="D158" s="491">
        <v>30</v>
      </c>
      <c r="E158" s="483">
        <v>716</v>
      </c>
      <c r="F158" s="484">
        <f t="shared" si="9"/>
        <v>21480</v>
      </c>
      <c r="G158" s="485">
        <v>565458</v>
      </c>
      <c r="H158" s="486"/>
      <c r="I158" s="487">
        <f t="shared" si="12"/>
        <v>26.324860335195531</v>
      </c>
      <c r="J158" s="488">
        <v>3</v>
      </c>
      <c r="K158" s="492">
        <f t="shared" si="11"/>
        <v>23.324860335195531</v>
      </c>
    </row>
    <row r="159" spans="1:11">
      <c r="A159" s="607"/>
      <c r="B159" s="403" t="s">
        <v>206</v>
      </c>
      <c r="C159" s="493">
        <v>4</v>
      </c>
      <c r="D159" s="491">
        <v>30</v>
      </c>
      <c r="E159" s="494">
        <v>23</v>
      </c>
      <c r="F159" s="484">
        <f t="shared" si="9"/>
        <v>2760</v>
      </c>
      <c r="G159" s="495"/>
      <c r="H159" s="486">
        <v>6540</v>
      </c>
      <c r="I159" s="487">
        <f t="shared" si="12"/>
        <v>2.3695652173913042</v>
      </c>
      <c r="J159" s="488">
        <v>3</v>
      </c>
      <c r="K159" s="492">
        <f t="shared" si="11"/>
        <v>-0.63043478260869579</v>
      </c>
    </row>
    <row r="160" spans="1:11">
      <c r="A160" s="607"/>
      <c r="B160" s="403" t="s">
        <v>207</v>
      </c>
      <c r="C160" s="493">
        <v>1</v>
      </c>
      <c r="D160" s="491">
        <v>30</v>
      </c>
      <c r="E160" s="494">
        <v>538</v>
      </c>
      <c r="F160" s="484">
        <f t="shared" si="9"/>
        <v>16140</v>
      </c>
      <c r="G160" s="495">
        <v>427727</v>
      </c>
      <c r="H160" s="486"/>
      <c r="I160" s="487">
        <f t="shared" si="12"/>
        <v>26.501053283767039</v>
      </c>
      <c r="J160" s="488">
        <v>3</v>
      </c>
      <c r="K160" s="492">
        <f t="shared" si="11"/>
        <v>23.501053283767039</v>
      </c>
    </row>
    <row r="161" spans="1:16">
      <c r="A161" s="607"/>
      <c r="B161" s="403" t="s">
        <v>208</v>
      </c>
      <c r="C161" s="493">
        <v>1</v>
      </c>
      <c r="D161" s="496">
        <v>26</v>
      </c>
      <c r="E161" s="497">
        <v>667</v>
      </c>
      <c r="F161" s="498">
        <f>C161*D161*E161</f>
        <v>17342</v>
      </c>
      <c r="G161" s="495">
        <v>448446</v>
      </c>
      <c r="H161" s="486"/>
      <c r="I161" s="487">
        <f t="shared" si="12"/>
        <v>25.858955137815709</v>
      </c>
      <c r="J161" s="499">
        <v>3</v>
      </c>
      <c r="K161" s="500">
        <f t="shared" si="11"/>
        <v>22.858955137815709</v>
      </c>
    </row>
    <row r="162" spans="1:16">
      <c r="A162" s="607"/>
      <c r="B162" s="404" t="s">
        <v>209</v>
      </c>
      <c r="C162" s="501">
        <v>4</v>
      </c>
      <c r="D162" s="502">
        <v>26</v>
      </c>
      <c r="E162" s="503">
        <v>210</v>
      </c>
      <c r="F162" s="504">
        <f>C162*D162*E162</f>
        <v>21840</v>
      </c>
      <c r="G162" s="495">
        <v>565333</v>
      </c>
      <c r="H162" s="486"/>
      <c r="I162" s="487">
        <f t="shared" si="12"/>
        <v>25.885210622710623</v>
      </c>
      <c r="J162" s="505">
        <v>3</v>
      </c>
      <c r="K162" s="506">
        <f t="shared" si="11"/>
        <v>22.885210622710623</v>
      </c>
    </row>
    <row r="166" spans="1:16" ht="15" thickBot="1">
      <c r="H166" t="str">
        <f>IF(AND(F166&gt;0,G166&gt;0),G166/F166,"")</f>
        <v/>
      </c>
    </row>
    <row r="167" spans="1:16" ht="18.600000000000001" thickBot="1">
      <c r="A167" s="117" t="s">
        <v>210</v>
      </c>
      <c r="B167" s="80"/>
      <c r="C167" s="80"/>
      <c r="D167" s="81"/>
      <c r="E167" s="81"/>
      <c r="F167" s="81"/>
      <c r="G167" s="120"/>
      <c r="H167" s="118"/>
      <c r="I167" s="159"/>
      <c r="J167" s="249" t="s">
        <v>211</v>
      </c>
      <c r="K167" s="250"/>
      <c r="L167" s="251"/>
      <c r="M167" s="251"/>
      <c r="N167" s="251"/>
      <c r="O167" s="252"/>
    </row>
    <row r="168" spans="1:16" ht="15" thickBot="1"/>
    <row r="169" spans="1:16" ht="26.45">
      <c r="A169" s="367" t="s">
        <v>212</v>
      </c>
      <c r="B169" s="153" t="s">
        <v>213</v>
      </c>
      <c r="C169" s="192" t="s">
        <v>214</v>
      </c>
      <c r="D169" s="119"/>
      <c r="E169" s="182" t="s">
        <v>41</v>
      </c>
      <c r="F169" s="182" t="s">
        <v>42</v>
      </c>
      <c r="G169" s="182" t="s">
        <v>26</v>
      </c>
      <c r="H169" s="182" t="s">
        <v>43</v>
      </c>
      <c r="I169" s="182" t="s">
        <v>44</v>
      </c>
      <c r="J169" s="182" t="s">
        <v>45</v>
      </c>
      <c r="K169" s="182" t="s">
        <v>46</v>
      </c>
      <c r="L169" s="182" t="s">
        <v>47</v>
      </c>
      <c r="M169" s="182" t="s">
        <v>48</v>
      </c>
      <c r="N169" s="182" t="s">
        <v>49</v>
      </c>
      <c r="O169" s="182" t="s">
        <v>50</v>
      </c>
      <c r="P169" s="3"/>
    </row>
    <row r="170" spans="1:16" ht="39.75" customHeight="1">
      <c r="A170" s="539" t="s">
        <v>215</v>
      </c>
      <c r="B170" s="544" t="s">
        <v>216</v>
      </c>
      <c r="C170" s="591" t="s">
        <v>217</v>
      </c>
      <c r="D170" s="253" t="s">
        <v>218</v>
      </c>
      <c r="E170" s="409">
        <v>0.7</v>
      </c>
      <c r="F170" s="409">
        <v>0.72</v>
      </c>
      <c r="G170" s="409">
        <v>0.8</v>
      </c>
      <c r="H170" s="254"/>
      <c r="I170" s="254"/>
      <c r="J170" s="254"/>
      <c r="K170" s="254"/>
      <c r="L170" s="255"/>
      <c r="M170" s="256"/>
      <c r="N170" s="256"/>
      <c r="O170" s="257"/>
      <c r="P170" s="3"/>
    </row>
    <row r="171" spans="1:16" ht="33" customHeight="1">
      <c r="A171" s="540"/>
      <c r="B171" s="544"/>
      <c r="C171" s="591"/>
      <c r="D171" s="253" t="s">
        <v>219</v>
      </c>
      <c r="E171" s="409">
        <v>0.68</v>
      </c>
      <c r="F171" s="464">
        <v>0.69520000000000004</v>
      </c>
      <c r="G171" s="464">
        <v>0.79320000000000002</v>
      </c>
      <c r="H171" s="254"/>
      <c r="I171" s="254"/>
      <c r="J171" s="254"/>
      <c r="K171" s="254"/>
      <c r="L171" s="255"/>
      <c r="M171" s="256"/>
      <c r="N171" s="256"/>
      <c r="O171" s="257"/>
      <c r="P171" s="3"/>
    </row>
    <row r="172" spans="1:16" ht="48" customHeight="1">
      <c r="A172" s="539" t="s">
        <v>220</v>
      </c>
      <c r="B172" s="547" t="s">
        <v>216</v>
      </c>
      <c r="C172" s="592" t="s">
        <v>217</v>
      </c>
      <c r="D172" s="258" t="s">
        <v>218</v>
      </c>
      <c r="E172" s="409">
        <v>0.9</v>
      </c>
      <c r="F172" s="409">
        <v>0.9</v>
      </c>
      <c r="G172" s="409">
        <v>0.9</v>
      </c>
      <c r="H172" s="398"/>
      <c r="I172" s="398"/>
      <c r="J172" s="260"/>
      <c r="K172" s="260"/>
      <c r="L172" s="261"/>
      <c r="M172" s="262"/>
      <c r="N172" s="262"/>
      <c r="O172" s="263"/>
      <c r="P172" s="3"/>
    </row>
    <row r="173" spans="1:16" ht="34.5" customHeight="1">
      <c r="A173" s="540"/>
      <c r="B173" s="547"/>
      <c r="C173" s="592"/>
      <c r="D173" s="258" t="s">
        <v>219</v>
      </c>
      <c r="E173" s="409">
        <v>0.88</v>
      </c>
      <c r="F173" s="409">
        <v>0.92</v>
      </c>
      <c r="G173" s="409">
        <v>0.89039999999999997</v>
      </c>
      <c r="H173" s="398"/>
      <c r="I173" s="398"/>
      <c r="J173" s="261"/>
      <c r="K173" s="261"/>
      <c r="L173" s="261"/>
      <c r="M173" s="262"/>
      <c r="N173" s="262"/>
      <c r="O173" s="263"/>
      <c r="P173" s="3"/>
    </row>
    <row r="174" spans="1:16" ht="42" customHeight="1">
      <c r="A174" s="539" t="s">
        <v>221</v>
      </c>
      <c r="B174" s="544" t="s">
        <v>216</v>
      </c>
      <c r="C174" s="591" t="s">
        <v>217</v>
      </c>
      <c r="D174" s="253" t="s">
        <v>218</v>
      </c>
      <c r="E174" s="409">
        <v>0.72</v>
      </c>
      <c r="F174" s="409">
        <v>0.81330000000000002</v>
      </c>
      <c r="G174" s="409">
        <v>0.9</v>
      </c>
      <c r="H174" s="255"/>
      <c r="I174" s="407"/>
      <c r="J174" s="254"/>
      <c r="K174" s="254"/>
      <c r="L174" s="255"/>
      <c r="M174" s="256"/>
      <c r="N174" s="256"/>
      <c r="O174" s="257"/>
      <c r="P174" s="3"/>
    </row>
    <row r="175" spans="1:16" ht="38.25" customHeight="1">
      <c r="A175" s="540"/>
      <c r="B175" s="544"/>
      <c r="C175" s="591"/>
      <c r="D175" s="253" t="s">
        <v>219</v>
      </c>
      <c r="E175" s="409">
        <v>0.54</v>
      </c>
      <c r="F175" s="465">
        <v>0.57469999999999999</v>
      </c>
      <c r="G175" s="465">
        <v>0.57750000000000001</v>
      </c>
      <c r="H175" s="255"/>
      <c r="I175" s="407"/>
      <c r="J175" s="254"/>
      <c r="K175" s="254"/>
      <c r="L175" s="255"/>
      <c r="M175" s="256"/>
      <c r="N175" s="256"/>
      <c r="O175" s="257"/>
      <c r="P175" s="3"/>
    </row>
    <row r="176" spans="1:16" ht="39.75" customHeight="1">
      <c r="A176" s="539" t="s">
        <v>222</v>
      </c>
      <c r="B176" s="547" t="s">
        <v>216</v>
      </c>
      <c r="C176" s="592" t="s">
        <v>217</v>
      </c>
      <c r="D176" s="258" t="s">
        <v>218</v>
      </c>
      <c r="E176" s="409">
        <v>0.75</v>
      </c>
      <c r="F176" s="409">
        <v>0.75</v>
      </c>
      <c r="G176" s="409">
        <v>0.8</v>
      </c>
      <c r="H176" s="266"/>
      <c r="I176" s="266"/>
      <c r="J176" s="264"/>
      <c r="K176" s="265"/>
      <c r="L176" s="265"/>
      <c r="M176" s="265"/>
      <c r="N176" s="266"/>
      <c r="O176" s="267"/>
      <c r="P176" s="3"/>
    </row>
    <row r="177" spans="1:16" ht="39.75" customHeight="1">
      <c r="A177" s="540"/>
      <c r="B177" s="547"/>
      <c r="C177" s="592"/>
      <c r="D177" s="258" t="s">
        <v>219</v>
      </c>
      <c r="E177" s="409">
        <v>0.53</v>
      </c>
      <c r="F177" s="464">
        <v>0.54200000000000004</v>
      </c>
      <c r="G177" s="464">
        <v>0.48609999999999998</v>
      </c>
      <c r="H177" s="266"/>
      <c r="I177" s="266"/>
      <c r="J177" s="264"/>
      <c r="K177" s="264"/>
      <c r="L177" s="265"/>
      <c r="M177" s="265"/>
      <c r="N177" s="266"/>
      <c r="O177" s="267"/>
      <c r="P177" s="3"/>
    </row>
    <row r="178" spans="1:16" ht="39.75" customHeight="1">
      <c r="A178" s="539" t="s">
        <v>223</v>
      </c>
      <c r="B178" s="544" t="s">
        <v>216</v>
      </c>
      <c r="C178" s="591" t="s">
        <v>217</v>
      </c>
      <c r="D178" s="253" t="s">
        <v>218</v>
      </c>
      <c r="E178" s="409">
        <v>0.71</v>
      </c>
      <c r="F178" s="465">
        <v>0.70630000000000004</v>
      </c>
      <c r="G178" s="465">
        <v>0.70630000000000004</v>
      </c>
      <c r="H178" s="270"/>
      <c r="I178" s="270"/>
      <c r="J178" s="268"/>
      <c r="K178" s="268"/>
      <c r="L178" s="269"/>
      <c r="M178" s="270"/>
      <c r="N178" s="270"/>
      <c r="O178" s="271"/>
      <c r="P178" s="3"/>
    </row>
    <row r="179" spans="1:16" ht="45" customHeight="1">
      <c r="A179" s="540"/>
      <c r="B179" s="544"/>
      <c r="C179" s="591"/>
      <c r="D179" s="253" t="s">
        <v>219</v>
      </c>
      <c r="E179" s="409">
        <v>0.7</v>
      </c>
      <c r="F179" s="465">
        <v>0.74680000000000002</v>
      </c>
      <c r="G179" s="465">
        <v>1.1123000000000001</v>
      </c>
      <c r="H179" s="270"/>
      <c r="I179" s="270"/>
      <c r="J179" s="268"/>
      <c r="K179" s="268"/>
      <c r="L179" s="269"/>
      <c r="M179" s="270"/>
      <c r="N179" s="270"/>
      <c r="O179" s="271"/>
      <c r="P179" s="3"/>
    </row>
    <row r="180" spans="1:16" ht="39" customHeight="1">
      <c r="A180" s="539" t="s">
        <v>224</v>
      </c>
      <c r="B180" s="547" t="s">
        <v>216</v>
      </c>
      <c r="C180" s="592" t="s">
        <v>217</v>
      </c>
      <c r="D180" s="258" t="s">
        <v>218</v>
      </c>
      <c r="E180" s="409">
        <v>0.7</v>
      </c>
      <c r="F180" s="465">
        <v>0.77429999999999999</v>
      </c>
      <c r="G180" s="465">
        <v>0.80249999999999999</v>
      </c>
      <c r="H180" s="266"/>
      <c r="I180" s="266"/>
      <c r="J180" s="264"/>
      <c r="K180" s="264"/>
      <c r="L180" s="264"/>
      <c r="M180" s="266"/>
      <c r="N180" s="266"/>
      <c r="O180" s="272"/>
      <c r="P180" s="3"/>
    </row>
    <row r="181" spans="1:16" ht="43.5" customHeight="1">
      <c r="A181" s="540"/>
      <c r="B181" s="547"/>
      <c r="C181" s="592"/>
      <c r="D181" s="258" t="s">
        <v>219</v>
      </c>
      <c r="E181" s="409">
        <v>0.63</v>
      </c>
      <c r="F181" s="465">
        <v>0.65110000000000001</v>
      </c>
      <c r="G181" s="465">
        <v>0.81840000000000002</v>
      </c>
      <c r="H181" s="266"/>
      <c r="I181" s="266"/>
      <c r="J181" s="259"/>
      <c r="K181" s="259"/>
      <c r="L181" s="264"/>
      <c r="M181" s="266"/>
      <c r="N181" s="266"/>
      <c r="O181" s="272"/>
      <c r="P181" s="3"/>
    </row>
    <row r="182" spans="1:16" ht="40.5" customHeight="1">
      <c r="A182" s="539" t="s">
        <v>225</v>
      </c>
      <c r="B182" s="544" t="s">
        <v>226</v>
      </c>
      <c r="C182" s="591" t="s">
        <v>217</v>
      </c>
      <c r="D182" s="253" t="s">
        <v>218</v>
      </c>
      <c r="E182" s="409">
        <v>0.74</v>
      </c>
      <c r="F182" s="465">
        <v>0.76919999999999999</v>
      </c>
      <c r="G182" s="465">
        <v>0.8</v>
      </c>
      <c r="H182" s="270"/>
      <c r="I182" s="270"/>
      <c r="J182" s="268"/>
      <c r="K182" s="268"/>
      <c r="L182" s="269"/>
      <c r="M182" s="270"/>
      <c r="N182" s="270"/>
      <c r="O182" s="271"/>
      <c r="P182" s="3"/>
    </row>
    <row r="183" spans="1:16" ht="51" customHeight="1">
      <c r="A183" s="540"/>
      <c r="B183" s="544"/>
      <c r="C183" s="591"/>
      <c r="D183" s="253" t="s">
        <v>219</v>
      </c>
      <c r="E183" s="409" t="s">
        <v>227</v>
      </c>
      <c r="F183" s="465">
        <v>0.85589999999999999</v>
      </c>
      <c r="G183" s="465">
        <v>0.93630000000000002</v>
      </c>
      <c r="H183" s="270"/>
      <c r="I183" s="270"/>
      <c r="J183" s="268"/>
      <c r="K183" s="268"/>
      <c r="L183" s="269"/>
      <c r="M183" s="270"/>
      <c r="N183" s="270"/>
      <c r="O183" s="268"/>
      <c r="P183" s="3"/>
    </row>
    <row r="184" spans="1:16" ht="41.25" customHeight="1">
      <c r="A184" s="539" t="s">
        <v>228</v>
      </c>
      <c r="B184" s="547" t="s">
        <v>226</v>
      </c>
      <c r="C184" s="592" t="s">
        <v>217</v>
      </c>
      <c r="D184" s="258" t="s">
        <v>218</v>
      </c>
      <c r="E184" s="409" t="s">
        <v>229</v>
      </c>
      <c r="F184" s="465">
        <v>0.63039999999999996</v>
      </c>
      <c r="G184" s="465">
        <v>0.71040000000000003</v>
      </c>
      <c r="H184" s="266"/>
      <c r="I184" s="266"/>
      <c r="J184" s="264"/>
      <c r="K184" s="259"/>
      <c r="L184" s="264"/>
      <c r="M184" s="266"/>
      <c r="N184" s="266"/>
      <c r="O184" s="259"/>
      <c r="P184" s="3"/>
    </row>
    <row r="185" spans="1:16" ht="46.5" customHeight="1">
      <c r="A185" s="540"/>
      <c r="B185" s="547"/>
      <c r="C185" s="592"/>
      <c r="D185" s="258" t="s">
        <v>219</v>
      </c>
      <c r="E185" s="409" t="s">
        <v>230</v>
      </c>
      <c r="F185" s="465">
        <v>0.64410000000000001</v>
      </c>
      <c r="G185" s="465">
        <v>0.7077</v>
      </c>
      <c r="H185" s="266"/>
      <c r="I185" s="266"/>
      <c r="J185" s="264"/>
      <c r="K185" s="264"/>
      <c r="L185" s="264"/>
      <c r="M185" s="266"/>
      <c r="N185" s="266"/>
      <c r="O185" s="264"/>
      <c r="P185" s="3"/>
    </row>
    <row r="186" spans="1:16" ht="36.75" customHeight="1">
      <c r="A186" s="539" t="s">
        <v>231</v>
      </c>
      <c r="B186" s="544" t="s">
        <v>226</v>
      </c>
      <c r="C186" s="610" t="s">
        <v>217</v>
      </c>
      <c r="D186" s="253" t="s">
        <v>218</v>
      </c>
      <c r="E186" s="409" t="s">
        <v>232</v>
      </c>
      <c r="F186" s="465">
        <v>0.63349999999999995</v>
      </c>
      <c r="G186" s="465">
        <v>0.70389999999999997</v>
      </c>
      <c r="H186" s="270"/>
      <c r="I186" s="270"/>
      <c r="J186" s="268"/>
      <c r="K186" s="268"/>
      <c r="L186" s="269"/>
      <c r="M186" s="270"/>
      <c r="N186" s="270"/>
      <c r="O186" s="268"/>
      <c r="P186" s="3"/>
    </row>
    <row r="187" spans="1:16" ht="38.25" customHeight="1">
      <c r="A187" s="540"/>
      <c r="B187" s="544"/>
      <c r="C187" s="610"/>
      <c r="D187" s="253" t="s">
        <v>219</v>
      </c>
      <c r="E187" s="409" t="s">
        <v>233</v>
      </c>
      <c r="F187" s="465">
        <v>0.54100000000000004</v>
      </c>
      <c r="G187" s="465">
        <v>0.65749999999999997</v>
      </c>
      <c r="H187" s="270"/>
      <c r="I187" s="270"/>
      <c r="J187" s="268"/>
      <c r="K187" s="268"/>
      <c r="L187" s="269"/>
      <c r="M187" s="270"/>
      <c r="N187" s="270"/>
      <c r="O187" s="268"/>
      <c r="P187" s="3"/>
    </row>
    <row r="188" spans="1:16" ht="42.75" customHeight="1">
      <c r="A188" s="539" t="s">
        <v>234</v>
      </c>
      <c r="B188" s="547" t="s">
        <v>226</v>
      </c>
      <c r="C188" s="592" t="s">
        <v>217</v>
      </c>
      <c r="D188" s="258" t="s">
        <v>218</v>
      </c>
      <c r="E188" s="409" t="s">
        <v>232</v>
      </c>
      <c r="F188" s="409">
        <v>0.6</v>
      </c>
      <c r="G188" s="409">
        <v>0.71009999999999995</v>
      </c>
      <c r="H188" s="266"/>
      <c r="I188" s="266"/>
      <c r="J188" s="264"/>
      <c r="K188" s="264"/>
      <c r="L188" s="264"/>
      <c r="M188" s="266"/>
      <c r="N188" s="266"/>
      <c r="O188" s="264"/>
      <c r="P188" s="3"/>
    </row>
    <row r="189" spans="1:16" ht="39.75" customHeight="1">
      <c r="A189" s="540"/>
      <c r="B189" s="547"/>
      <c r="C189" s="592"/>
      <c r="D189" s="258" t="s">
        <v>219</v>
      </c>
      <c r="E189" s="409" t="s">
        <v>235</v>
      </c>
      <c r="F189" s="465">
        <v>0.6099</v>
      </c>
      <c r="G189" s="465">
        <v>0.62080000000000002</v>
      </c>
      <c r="H189" s="266"/>
      <c r="I189" s="266"/>
      <c r="J189" s="264"/>
      <c r="K189" s="264"/>
      <c r="L189" s="264"/>
      <c r="M189" s="266"/>
      <c r="N189" s="266"/>
      <c r="O189" s="264"/>
      <c r="P189" s="3"/>
    </row>
    <row r="190" spans="1:16" ht="41.25" customHeight="1">
      <c r="A190" s="539" t="s">
        <v>236</v>
      </c>
      <c r="B190" s="544" t="s">
        <v>216</v>
      </c>
      <c r="C190" s="610" t="s">
        <v>237</v>
      </c>
      <c r="D190" s="253" t="s">
        <v>218</v>
      </c>
      <c r="E190" s="409">
        <v>1</v>
      </c>
      <c r="F190" s="409">
        <v>1</v>
      </c>
      <c r="G190" s="409">
        <v>1</v>
      </c>
      <c r="H190" s="265"/>
      <c r="I190" s="265"/>
      <c r="J190" s="268"/>
      <c r="K190" s="268"/>
      <c r="L190" s="269"/>
      <c r="M190" s="273"/>
      <c r="N190" s="273"/>
      <c r="O190" s="268"/>
      <c r="P190" s="3"/>
    </row>
    <row r="191" spans="1:16" ht="21" customHeight="1">
      <c r="A191" s="540"/>
      <c r="B191" s="544"/>
      <c r="C191" s="610"/>
      <c r="D191" s="253" t="s">
        <v>219</v>
      </c>
      <c r="E191" s="409" t="s">
        <v>238</v>
      </c>
      <c r="F191" s="409">
        <v>0.98</v>
      </c>
      <c r="G191" s="409">
        <v>1.74</v>
      </c>
      <c r="H191" s="265"/>
      <c r="I191" s="265"/>
      <c r="J191" s="268"/>
      <c r="K191" s="268"/>
      <c r="L191" s="269"/>
      <c r="M191" s="273"/>
      <c r="N191" s="269"/>
      <c r="O191" s="268"/>
      <c r="P191" s="3"/>
    </row>
    <row r="192" spans="1:16" ht="19.5" customHeight="1">
      <c r="A192" s="608" t="s">
        <v>239</v>
      </c>
      <c r="B192" s="547" t="s">
        <v>226</v>
      </c>
      <c r="C192" s="592" t="s">
        <v>217</v>
      </c>
      <c r="D192" s="258" t="s">
        <v>218</v>
      </c>
      <c r="E192" s="409" t="s">
        <v>240</v>
      </c>
      <c r="F192" s="409">
        <v>0.95</v>
      </c>
      <c r="G192" s="409">
        <v>0.96</v>
      </c>
      <c r="H192" s="265"/>
      <c r="I192" s="265"/>
      <c r="J192" s="264"/>
      <c r="K192" s="264"/>
      <c r="L192" s="264"/>
      <c r="M192" s="265"/>
      <c r="N192" s="265"/>
      <c r="O192" s="264"/>
      <c r="P192" s="3"/>
    </row>
    <row r="193" spans="1:16" ht="33.75" customHeight="1">
      <c r="A193" s="609"/>
      <c r="B193" s="547"/>
      <c r="C193" s="592"/>
      <c r="D193" s="258" t="s">
        <v>219</v>
      </c>
      <c r="E193" s="409" t="s">
        <v>241</v>
      </c>
      <c r="F193" s="465">
        <v>0.96530000000000005</v>
      </c>
      <c r="G193" s="465">
        <v>0.99129999999999996</v>
      </c>
      <c r="H193" s="265"/>
      <c r="I193" s="265"/>
      <c r="J193" s="264"/>
      <c r="K193" s="264"/>
      <c r="L193" s="264"/>
      <c r="M193" s="264"/>
      <c r="N193" s="264"/>
      <c r="O193" s="264"/>
      <c r="P193" s="3"/>
    </row>
    <row r="194" spans="1:16">
      <c r="E194" s="446"/>
    </row>
    <row r="195" spans="1:16" ht="16.149999999999999" thickBot="1">
      <c r="A195" s="154"/>
      <c r="E195" s="446"/>
    </row>
    <row r="196" spans="1:16" ht="26.45">
      <c r="A196" t="s">
        <v>242</v>
      </c>
      <c r="B196" s="153" t="s">
        <v>213</v>
      </c>
      <c r="C196" s="192" t="s">
        <v>214</v>
      </c>
      <c r="D196" s="119"/>
      <c r="E196" s="447" t="s">
        <v>41</v>
      </c>
      <c r="F196" s="182" t="s">
        <v>42</v>
      </c>
      <c r="G196" s="182" t="s">
        <v>26</v>
      </c>
      <c r="H196" s="182" t="s">
        <v>43</v>
      </c>
      <c r="I196" s="182" t="s">
        <v>44</v>
      </c>
      <c r="J196" s="182" t="s">
        <v>45</v>
      </c>
      <c r="K196" s="182" t="s">
        <v>46</v>
      </c>
      <c r="L196" s="182" t="s">
        <v>47</v>
      </c>
      <c r="M196" s="182" t="s">
        <v>48</v>
      </c>
      <c r="N196" s="182" t="s">
        <v>49</v>
      </c>
      <c r="O196" s="182" t="s">
        <v>50</v>
      </c>
    </row>
    <row r="197" spans="1:16" ht="30" customHeight="1">
      <c r="A197" s="532" t="str">
        <f>IF(ISBLANK(A170),"",(A170))</f>
        <v>KP-1d⁽ᴹ⁾ Процент ЛУИН, охваченных программами по профилактике ВИЧ - минимальный пакет услуг</v>
      </c>
      <c r="B197" s="593" t="str">
        <f>IF(ISBLANK(B170),"",(B170))</f>
        <v>Топ 10</v>
      </c>
      <c r="C197" s="597" t="str">
        <f>IF(ISBLANK(C170),"",(C170))</f>
        <v>с текущим грантом</v>
      </c>
      <c r="D197" s="253" t="s">
        <v>218</v>
      </c>
      <c r="E197" s="448">
        <v>0.7</v>
      </c>
      <c r="F197" s="468">
        <v>0.72</v>
      </c>
      <c r="G197" s="468">
        <v>0.8</v>
      </c>
      <c r="H197" s="410"/>
      <c r="I197" s="410"/>
      <c r="J197" s="274"/>
      <c r="K197" s="274"/>
      <c r="L197" s="275"/>
      <c r="M197" s="275"/>
      <c r="N197" s="275"/>
      <c r="O197" s="275"/>
    </row>
    <row r="198" spans="1:16">
      <c r="A198" s="533"/>
      <c r="B198" s="593"/>
      <c r="C198" s="597"/>
      <c r="D198" s="253" t="s">
        <v>219</v>
      </c>
      <c r="E198" s="448">
        <v>0.68</v>
      </c>
      <c r="F198" s="468">
        <v>0.69520000000000004</v>
      </c>
      <c r="G198" s="468">
        <v>0.79320000000000002</v>
      </c>
      <c r="H198" s="410"/>
      <c r="I198" s="410"/>
      <c r="J198" s="274"/>
      <c r="K198" s="274"/>
      <c r="L198" s="275"/>
      <c r="M198" s="275"/>
      <c r="N198" s="275"/>
      <c r="O198" s="275"/>
    </row>
    <row r="199" spans="1:16">
      <c r="A199" s="534" t="str">
        <f>IF(ISBLANK(A172),"",(A172))</f>
        <v>HTS-5 Процент людей с впервые выявленным ВИЧ, начавших АРТ</v>
      </c>
      <c r="B199" s="594" t="str">
        <f>IF(ISBLANK(B172),"",(B172))</f>
        <v>Топ 10</v>
      </c>
      <c r="C199" s="595" t="str">
        <f>IF(ISBLANK(C172),"",(C172))</f>
        <v>с текущим грантом</v>
      </c>
      <c r="D199" s="258" t="s">
        <v>218</v>
      </c>
      <c r="E199" s="449">
        <v>0.9</v>
      </c>
      <c r="F199" s="469">
        <v>0.9</v>
      </c>
      <c r="G199" s="468">
        <v>0.9</v>
      </c>
      <c r="H199" s="410"/>
      <c r="I199" s="411"/>
      <c r="J199" s="276"/>
      <c r="K199" s="276"/>
      <c r="L199" s="277"/>
      <c r="M199" s="277"/>
      <c r="N199" s="277"/>
      <c r="O199" s="277"/>
    </row>
    <row r="200" spans="1:16">
      <c r="A200" s="535"/>
      <c r="B200" s="594"/>
      <c r="C200" s="595"/>
      <c r="D200" s="258" t="s">
        <v>219</v>
      </c>
      <c r="E200" s="449">
        <v>0.88</v>
      </c>
      <c r="F200" s="469">
        <v>0.92</v>
      </c>
      <c r="G200" s="468">
        <v>0.89</v>
      </c>
      <c r="H200" s="412"/>
      <c r="I200" s="411"/>
      <c r="J200" s="276"/>
      <c r="K200" s="276"/>
      <c r="L200" s="277"/>
      <c r="M200" s="277"/>
      <c r="N200" s="277"/>
      <c r="O200" s="277"/>
    </row>
    <row r="201" spans="1:16" ht="25.5" customHeight="1">
      <c r="A201" s="536" t="str">
        <f>IF(ISBLANK(A174),"",(A174))</f>
        <v>TCS-1.1⁽ᴹ⁾ Процент людей, получающих АРТ, среди всех людей, живущих с ВИЧ, на конец отчетного периода</v>
      </c>
      <c r="B201" s="593" t="str">
        <f>IF(ISBLANK(B174),"",(B174))</f>
        <v>Топ 10</v>
      </c>
      <c r="C201" s="597" t="str">
        <f>IF(ISBLANK(C174),"",(C174))</f>
        <v>с текущим грантом</v>
      </c>
      <c r="D201" s="278" t="s">
        <v>218</v>
      </c>
      <c r="E201" s="448">
        <v>0.72</v>
      </c>
      <c r="F201" s="468">
        <v>0.81330000000000002</v>
      </c>
      <c r="G201" s="468">
        <v>0.9</v>
      </c>
      <c r="H201" s="274"/>
      <c r="I201" s="413"/>
      <c r="J201" s="274"/>
      <c r="K201" s="274"/>
      <c r="L201" s="275"/>
      <c r="M201" s="275"/>
      <c r="N201" s="275"/>
      <c r="O201" s="275"/>
    </row>
    <row r="202" spans="1:16">
      <c r="A202" s="533"/>
      <c r="B202" s="596"/>
      <c r="C202" s="598"/>
      <c r="D202" s="253" t="s">
        <v>219</v>
      </c>
      <c r="E202" s="467">
        <v>0.54</v>
      </c>
      <c r="F202" s="468">
        <v>0.57469999999999999</v>
      </c>
      <c r="G202" s="468">
        <v>0.57750000000000001</v>
      </c>
      <c r="H202" s="274"/>
      <c r="I202" s="413"/>
      <c r="J202" s="274"/>
      <c r="K202" s="274"/>
      <c r="L202" s="275"/>
      <c r="M202" s="275"/>
      <c r="N202" s="275"/>
      <c r="O202" s="275"/>
    </row>
    <row r="203" spans="1:16">
      <c r="F203" t="str">
        <f>IF(AND(D203&gt;0,E203&gt;0),E203/D203,"")</f>
        <v/>
      </c>
      <c r="G203" s="69"/>
      <c r="H203" s="69"/>
    </row>
    <row r="204" spans="1:16" ht="18.600000000000001" thickBot="1">
      <c r="A204" s="289" t="s">
        <v>243</v>
      </c>
      <c r="B204" s="81"/>
      <c r="C204" s="81"/>
      <c r="D204" s="81"/>
      <c r="E204" s="120"/>
      <c r="F204" s="118"/>
      <c r="G204" s="159"/>
      <c r="H204" s="337" t="s">
        <v>211</v>
      </c>
      <c r="I204" s="338"/>
      <c r="J204" s="339"/>
      <c r="K204" s="339"/>
      <c r="L204" s="339"/>
      <c r="M204" s="340"/>
    </row>
    <row r="205" spans="1:16" ht="15" thickBot="1"/>
    <row r="206" spans="1:16" ht="39.75" customHeight="1">
      <c r="A206" s="367" t="s">
        <v>212</v>
      </c>
      <c r="B206" s="153" t="s">
        <v>213</v>
      </c>
      <c r="C206" s="192" t="s">
        <v>214</v>
      </c>
      <c r="D206" s="119"/>
      <c r="E206" s="182" t="s">
        <v>244</v>
      </c>
      <c r="F206" s="182" t="s">
        <v>245</v>
      </c>
      <c r="G206" s="182" t="s">
        <v>26</v>
      </c>
      <c r="H206" s="182" t="s">
        <v>43</v>
      </c>
      <c r="I206" s="408" t="s">
        <v>44</v>
      </c>
      <c r="J206" s="182" t="s">
        <v>45</v>
      </c>
      <c r="K206" s="182" t="s">
        <v>46</v>
      </c>
      <c r="L206" s="182" t="s">
        <v>47</v>
      </c>
      <c r="M206" s="182" t="s">
        <v>48</v>
      </c>
      <c r="N206" s="182" t="s">
        <v>49</v>
      </c>
      <c r="O206" s="182" t="s">
        <v>50</v>
      </c>
      <c r="P206" s="3"/>
    </row>
    <row r="207" spans="1:16" ht="40.5" customHeight="1">
      <c r="A207" s="369" t="s">
        <v>246</v>
      </c>
      <c r="B207" s="544" t="s">
        <v>226</v>
      </c>
      <c r="C207" s="545" t="s">
        <v>247</v>
      </c>
      <c r="D207" s="341" t="s">
        <v>218</v>
      </c>
      <c r="E207" s="436">
        <v>0.97</v>
      </c>
      <c r="F207" s="438">
        <v>0.98</v>
      </c>
      <c r="G207" s="288">
        <v>0.99</v>
      </c>
      <c r="H207" s="288"/>
      <c r="I207" s="288"/>
      <c r="J207" s="133"/>
      <c r="K207" s="133"/>
      <c r="L207" s="133"/>
      <c r="M207" s="133"/>
      <c r="N207" s="133"/>
      <c r="O207" s="133"/>
      <c r="P207" s="3"/>
    </row>
    <row r="208" spans="1:16" ht="23.25" customHeight="1">
      <c r="A208" s="370"/>
      <c r="B208" s="544"/>
      <c r="C208" s="546"/>
      <c r="D208" s="341" t="s">
        <v>248</v>
      </c>
      <c r="E208" s="436">
        <v>0.94</v>
      </c>
      <c r="F208" s="436">
        <v>0.95</v>
      </c>
      <c r="G208" s="288">
        <v>0.95</v>
      </c>
      <c r="H208" s="133"/>
      <c r="I208" s="133"/>
      <c r="J208" s="133"/>
      <c r="K208" s="133"/>
      <c r="L208" s="133"/>
      <c r="M208" s="133"/>
      <c r="N208" s="133"/>
      <c r="O208" s="133"/>
      <c r="P208" s="3"/>
    </row>
    <row r="209" spans="1:16" ht="48" customHeight="1">
      <c r="A209" s="537" t="s">
        <v>249</v>
      </c>
      <c r="B209" s="547" t="s">
        <v>216</v>
      </c>
      <c r="C209" s="550" t="s">
        <v>247</v>
      </c>
      <c r="D209" s="341" t="s">
        <v>218</v>
      </c>
      <c r="E209" s="437">
        <v>1697</v>
      </c>
      <c r="F209" s="437">
        <v>1832</v>
      </c>
      <c r="G209" s="134">
        <v>1850</v>
      </c>
      <c r="H209" s="134"/>
      <c r="I209" s="229"/>
      <c r="J209" s="134"/>
      <c r="K209" s="134"/>
      <c r="L209" s="134"/>
      <c r="M209" s="134"/>
      <c r="N209" s="134"/>
      <c r="O209" s="134"/>
      <c r="P209" s="3"/>
    </row>
    <row r="210" spans="1:16" ht="15.75" customHeight="1">
      <c r="A210" s="538"/>
      <c r="B210" s="547"/>
      <c r="C210" s="551"/>
      <c r="D210" s="342" t="s">
        <v>248</v>
      </c>
      <c r="E210" s="437">
        <v>914</v>
      </c>
      <c r="F210" s="437">
        <v>858</v>
      </c>
      <c r="G210" s="152">
        <v>768</v>
      </c>
      <c r="H210" s="152"/>
      <c r="I210" s="152"/>
      <c r="J210" s="152"/>
      <c r="K210" s="152"/>
      <c r="L210" s="152"/>
      <c r="M210" s="134"/>
      <c r="N210" s="134"/>
      <c r="O210" s="134"/>
      <c r="P210" s="3"/>
    </row>
    <row r="211" spans="1:16" ht="38.25" customHeight="1">
      <c r="A211" s="369" t="s">
        <v>250</v>
      </c>
      <c r="B211" s="544" t="s">
        <v>226</v>
      </c>
      <c r="C211" s="545" t="s">
        <v>247</v>
      </c>
      <c r="D211" s="341" t="s">
        <v>218</v>
      </c>
      <c r="E211" s="437">
        <v>1612</v>
      </c>
      <c r="F211" s="437">
        <v>1832</v>
      </c>
      <c r="G211" s="134">
        <v>1850</v>
      </c>
      <c r="H211" s="134"/>
      <c r="I211" s="229"/>
      <c r="J211" s="133"/>
      <c r="K211" s="133"/>
      <c r="L211" s="133"/>
      <c r="M211" s="133"/>
      <c r="N211" s="133"/>
      <c r="O211" s="133"/>
      <c r="P211" s="3"/>
    </row>
    <row r="212" spans="1:16" ht="39.75" customHeight="1">
      <c r="A212" s="368"/>
      <c r="B212" s="544"/>
      <c r="C212" s="546"/>
      <c r="D212" s="341" t="s">
        <v>248</v>
      </c>
      <c r="E212" s="437">
        <v>934</v>
      </c>
      <c r="F212" s="437">
        <v>904</v>
      </c>
      <c r="G212" s="210">
        <v>776</v>
      </c>
      <c r="H212" s="210"/>
      <c r="I212" s="210"/>
      <c r="J212" s="133"/>
      <c r="K212" s="133"/>
      <c r="L212" s="133"/>
      <c r="M212" s="133"/>
      <c r="N212" s="133"/>
      <c r="O212" s="133"/>
      <c r="P212" s="3"/>
    </row>
    <row r="213" spans="1:16" ht="39.75" customHeight="1">
      <c r="A213" s="537" t="s">
        <v>251</v>
      </c>
      <c r="B213" s="547" t="s">
        <v>216</v>
      </c>
      <c r="C213" s="550" t="s">
        <v>247</v>
      </c>
      <c r="D213" s="341" t="s">
        <v>218</v>
      </c>
      <c r="E213" s="436">
        <v>0.72</v>
      </c>
      <c r="F213" s="438">
        <v>0.75</v>
      </c>
      <c r="G213" s="288">
        <v>0.8</v>
      </c>
      <c r="H213" s="288"/>
      <c r="I213" s="288"/>
      <c r="J213" s="210"/>
      <c r="K213" s="210"/>
      <c r="L213" s="210"/>
      <c r="M213" s="210"/>
      <c r="N213" s="210"/>
      <c r="O213" s="210"/>
      <c r="P213" s="3"/>
    </row>
    <row r="214" spans="1:16" ht="39.75" customHeight="1">
      <c r="A214" s="538"/>
      <c r="B214" s="547"/>
      <c r="C214" s="551"/>
      <c r="D214" s="341" t="s">
        <v>248</v>
      </c>
      <c r="E214" s="436">
        <v>0.79</v>
      </c>
      <c r="F214" s="438">
        <v>0.86699999999999999</v>
      </c>
      <c r="G214" s="288">
        <v>0.86</v>
      </c>
      <c r="H214" s="288"/>
      <c r="I214" s="288"/>
      <c r="J214" s="210"/>
      <c r="K214" s="210"/>
      <c r="L214" s="210"/>
      <c r="M214" s="210"/>
      <c r="N214" s="210"/>
      <c r="O214" s="210"/>
      <c r="P214" s="3"/>
    </row>
    <row r="215" spans="1:16" ht="35.25" customHeight="1">
      <c r="A215" s="526" t="s">
        <v>252</v>
      </c>
      <c r="B215" s="544" t="s">
        <v>253</v>
      </c>
      <c r="C215" s="545"/>
      <c r="D215" s="341" t="s">
        <v>218</v>
      </c>
      <c r="E215" s="438">
        <v>0.23</v>
      </c>
      <c r="F215" s="438">
        <v>0.31</v>
      </c>
      <c r="G215" s="438">
        <v>0.45</v>
      </c>
      <c r="H215" s="211"/>
      <c r="I215" s="211"/>
      <c r="J215" s="211"/>
      <c r="K215" s="211"/>
      <c r="L215" s="211"/>
      <c r="M215" s="211"/>
      <c r="N215" s="211"/>
      <c r="O215" s="211"/>
      <c r="P215" s="3"/>
    </row>
    <row r="216" spans="1:16" ht="39" customHeight="1">
      <c r="A216" s="527"/>
      <c r="B216" s="544"/>
      <c r="C216" s="546"/>
      <c r="D216" s="342" t="s">
        <v>248</v>
      </c>
      <c r="E216" s="462">
        <v>0.18</v>
      </c>
      <c r="F216" s="462">
        <v>0.17299999999999999</v>
      </c>
      <c r="G216" s="462">
        <v>0.2</v>
      </c>
      <c r="H216" s="211"/>
      <c r="I216" s="211"/>
      <c r="J216" s="211"/>
      <c r="K216" s="211"/>
      <c r="L216" s="211"/>
      <c r="M216" s="211"/>
      <c r="N216" s="211"/>
      <c r="O216" s="211"/>
      <c r="P216" s="3"/>
    </row>
    <row r="217" spans="1:16" ht="43.5" customHeight="1">
      <c r="A217" s="526" t="s">
        <v>254</v>
      </c>
      <c r="B217" s="584" t="s">
        <v>253</v>
      </c>
      <c r="C217" s="550"/>
      <c r="D217" s="341" t="s">
        <v>218</v>
      </c>
      <c r="E217" s="436" t="s">
        <v>255</v>
      </c>
      <c r="F217" s="436" t="s">
        <v>255</v>
      </c>
      <c r="G217" s="288" t="s">
        <v>255</v>
      </c>
      <c r="H217" s="288"/>
      <c r="I217" s="288"/>
      <c r="J217" s="212"/>
      <c r="K217" s="212"/>
      <c r="L217" s="212"/>
      <c r="M217" s="212"/>
      <c r="N217" s="212"/>
      <c r="O217" s="238"/>
      <c r="P217" s="3"/>
    </row>
    <row r="218" spans="1:16" ht="40.5" customHeight="1">
      <c r="A218" s="527"/>
      <c r="B218" s="585"/>
      <c r="C218" s="551"/>
      <c r="D218" s="341" t="s">
        <v>256</v>
      </c>
      <c r="E218" s="436" t="s">
        <v>257</v>
      </c>
      <c r="F218" s="436" t="s">
        <v>258</v>
      </c>
      <c r="G218" s="288" t="s">
        <v>259</v>
      </c>
      <c r="H218" s="288"/>
      <c r="I218" s="288"/>
      <c r="J218" s="210"/>
      <c r="K218" s="210"/>
      <c r="L218" s="210"/>
      <c r="M218" s="212"/>
      <c r="N218" s="212"/>
      <c r="O218" s="212"/>
      <c r="P218" s="3"/>
    </row>
    <row r="219" spans="1:16" ht="20.25" customHeight="1"/>
    <row r="220" spans="1:16">
      <c r="A220" t="s">
        <v>242</v>
      </c>
    </row>
    <row r="221" spans="1:16" ht="4.5" customHeight="1" thickBot="1"/>
    <row r="222" spans="1:16" ht="16.149999999999999" hidden="1" thickBot="1">
      <c r="A222" s="154"/>
    </row>
    <row r="223" spans="1:16" ht="72" customHeight="1">
      <c r="A223" s="27"/>
      <c r="B223" s="406" t="s">
        <v>213</v>
      </c>
      <c r="C223" s="192" t="s">
        <v>214</v>
      </c>
      <c r="D223" s="119"/>
      <c r="E223" s="182" t="str">
        <f t="shared" ref="E223:O223" si="13">B30</f>
        <v>P1</v>
      </c>
      <c r="F223" s="182" t="str">
        <f t="shared" si="13"/>
        <v>P2</v>
      </c>
      <c r="G223" s="182" t="str">
        <f t="shared" si="13"/>
        <v>P3</v>
      </c>
      <c r="H223" s="182" t="str">
        <f t="shared" si="13"/>
        <v>P4</v>
      </c>
      <c r="I223" s="182" t="str">
        <f t="shared" si="13"/>
        <v>P5</v>
      </c>
      <c r="J223" s="182" t="str">
        <f t="shared" si="13"/>
        <v>P6</v>
      </c>
      <c r="K223" s="182" t="str">
        <f t="shared" si="13"/>
        <v>P7</v>
      </c>
      <c r="L223" s="182" t="str">
        <f t="shared" si="13"/>
        <v>P8</v>
      </c>
      <c r="M223" s="182" t="str">
        <f t="shared" si="13"/>
        <v>P9</v>
      </c>
      <c r="N223" s="182" t="str">
        <f t="shared" si="13"/>
        <v>P10</v>
      </c>
      <c r="O223" s="182" t="str">
        <f t="shared" si="13"/>
        <v>P11</v>
      </c>
    </row>
    <row r="224" spans="1:16" ht="47.25" customHeight="1">
      <c r="A224" s="528" t="str">
        <f>A207</f>
        <v>MDR TB-6: Процент ТБ пациентов с результатом ТЛЧ как минимум к рифампицину среди общего количества зарегистрированных (новых и ранее леченных) случаев том же году.</v>
      </c>
      <c r="B224" s="576" t="str">
        <f>IF(ISBLANK(B207),"",(B207))</f>
        <v xml:space="preserve"> Топ 10</v>
      </c>
      <c r="C224" s="578" t="str">
        <f>IF(ISBLANK(C207),"",(C207))</f>
        <v>да</v>
      </c>
      <c r="D224" s="341" t="s">
        <v>218</v>
      </c>
      <c r="E224" s="439">
        <f t="shared" ref="E224:O224" si="14">E207</f>
        <v>0.97</v>
      </c>
      <c r="F224" s="439">
        <f t="shared" si="14"/>
        <v>0.98</v>
      </c>
      <c r="G224" s="439">
        <f t="shared" si="14"/>
        <v>0.99</v>
      </c>
      <c r="H224" s="343">
        <f t="shared" si="14"/>
        <v>0</v>
      </c>
      <c r="I224" s="343">
        <f t="shared" si="14"/>
        <v>0</v>
      </c>
      <c r="J224" s="343">
        <f t="shared" si="14"/>
        <v>0</v>
      </c>
      <c r="K224" s="343">
        <f t="shared" si="14"/>
        <v>0</v>
      </c>
      <c r="L224" s="343">
        <f t="shared" si="14"/>
        <v>0</v>
      </c>
      <c r="M224" s="343">
        <f t="shared" si="14"/>
        <v>0</v>
      </c>
      <c r="N224" s="343">
        <f t="shared" si="14"/>
        <v>0</v>
      </c>
      <c r="O224" s="343">
        <f t="shared" si="14"/>
        <v>0</v>
      </c>
    </row>
    <row r="225" spans="1:15">
      <c r="A225" s="529"/>
      <c r="B225" s="582"/>
      <c r="C225" s="583"/>
      <c r="D225" s="344" t="s">
        <v>248</v>
      </c>
      <c r="E225" s="439">
        <f t="shared" ref="E225:H229" si="15">E208</f>
        <v>0.94</v>
      </c>
      <c r="F225" s="439">
        <f>F208</f>
        <v>0.95</v>
      </c>
      <c r="G225" s="439">
        <f t="shared" si="15"/>
        <v>0.95</v>
      </c>
      <c r="H225" s="343">
        <f t="shared" si="15"/>
        <v>0</v>
      </c>
      <c r="I225" s="343">
        <f t="shared" ref="I225:O229" si="16">I208</f>
        <v>0</v>
      </c>
      <c r="J225" s="343">
        <f t="shared" si="16"/>
        <v>0</v>
      </c>
      <c r="K225" s="343">
        <f t="shared" si="16"/>
        <v>0</v>
      </c>
      <c r="L225" s="343">
        <f t="shared" si="16"/>
        <v>0</v>
      </c>
      <c r="M225" s="343">
        <f t="shared" si="16"/>
        <v>0</v>
      </c>
      <c r="N225" s="343">
        <f t="shared" si="16"/>
        <v>0</v>
      </c>
      <c r="O225" s="343">
        <f t="shared" si="16"/>
        <v>0</v>
      </c>
    </row>
    <row r="226" spans="1:15" ht="25.5" customHeight="1">
      <c r="A226" s="530" t="str">
        <f>A209</f>
        <v xml:space="preserve">MDR TB-2: Количество бактериологически подтвержденных зарегистрированных ЛУ-ТБ случаев (РУ-ТБ и/или МЛУ-ТБ)		</v>
      </c>
      <c r="B226" s="586" t="str">
        <f>IF(ISBLANK(B209),"",(B209))</f>
        <v>Топ 10</v>
      </c>
      <c r="C226" s="580" t="str">
        <f>IF(ISBLANK(C209),"",(C209))</f>
        <v>да</v>
      </c>
      <c r="D226" s="342" t="s">
        <v>218</v>
      </c>
      <c r="E226" s="440">
        <f t="shared" si="15"/>
        <v>1697</v>
      </c>
      <c r="F226" s="440">
        <f>F209</f>
        <v>1832</v>
      </c>
      <c r="G226" s="345">
        <f t="shared" si="15"/>
        <v>1850</v>
      </c>
      <c r="H226" s="345">
        <f>H209</f>
        <v>0</v>
      </c>
      <c r="I226" s="345">
        <f t="shared" si="16"/>
        <v>0</v>
      </c>
      <c r="J226" s="345">
        <f t="shared" si="16"/>
        <v>0</v>
      </c>
      <c r="K226" s="345">
        <f t="shared" si="16"/>
        <v>0</v>
      </c>
      <c r="L226" s="345">
        <f t="shared" si="16"/>
        <v>0</v>
      </c>
      <c r="M226" s="345">
        <f t="shared" si="16"/>
        <v>0</v>
      </c>
      <c r="N226" s="345">
        <f t="shared" si="16"/>
        <v>0</v>
      </c>
      <c r="O226" s="345">
        <f t="shared" si="16"/>
        <v>0</v>
      </c>
    </row>
    <row r="227" spans="1:15">
      <c r="A227" s="531"/>
      <c r="B227" s="587"/>
      <c r="C227" s="581"/>
      <c r="D227" s="342" t="s">
        <v>248</v>
      </c>
      <c r="E227" s="440">
        <f t="shared" si="15"/>
        <v>914</v>
      </c>
      <c r="F227" s="440">
        <f t="shared" si="15"/>
        <v>858</v>
      </c>
      <c r="G227" s="345">
        <f t="shared" si="15"/>
        <v>768</v>
      </c>
      <c r="H227" s="345">
        <f t="shared" si="15"/>
        <v>0</v>
      </c>
      <c r="I227" s="345">
        <f t="shared" si="16"/>
        <v>0</v>
      </c>
      <c r="J227" s="345">
        <f t="shared" si="16"/>
        <v>0</v>
      </c>
      <c r="K227" s="345">
        <f t="shared" si="16"/>
        <v>0</v>
      </c>
      <c r="L227" s="345">
        <f t="shared" si="16"/>
        <v>0</v>
      </c>
      <c r="M227" s="345">
        <f t="shared" si="16"/>
        <v>0</v>
      </c>
      <c r="N227" s="345">
        <f t="shared" si="16"/>
        <v>0</v>
      </c>
      <c r="O227" s="345">
        <f t="shared" si="16"/>
        <v>0</v>
      </c>
    </row>
    <row r="228" spans="1:15" ht="58.5" customHeight="1">
      <c r="A228" s="528" t="str">
        <f>A211</f>
        <v>MDR TB-3: Количество случаев с РУ/МЛУ ТБ, начавших лечение препаратами второго ряда</v>
      </c>
      <c r="B228" s="576" t="str">
        <f>IF(ISBLANK(B211),"",(B211))</f>
        <v xml:space="preserve"> Топ 10</v>
      </c>
      <c r="C228" s="578" t="str">
        <f>IF(ISBLANK(C211),"",(C211))</f>
        <v>да</v>
      </c>
      <c r="D228" s="346" t="s">
        <v>218</v>
      </c>
      <c r="E228" s="441">
        <f t="shared" si="15"/>
        <v>1612</v>
      </c>
      <c r="F228" s="441">
        <f t="shared" si="15"/>
        <v>1832</v>
      </c>
      <c r="G228" s="343">
        <f t="shared" si="15"/>
        <v>1850</v>
      </c>
      <c r="H228" s="347">
        <f t="shared" si="15"/>
        <v>0</v>
      </c>
      <c r="I228" s="343">
        <f t="shared" si="16"/>
        <v>0</v>
      </c>
      <c r="J228" s="343">
        <f t="shared" si="16"/>
        <v>0</v>
      </c>
      <c r="K228" s="343">
        <f t="shared" si="16"/>
        <v>0</v>
      </c>
      <c r="L228" s="343">
        <f t="shared" si="16"/>
        <v>0</v>
      </c>
      <c r="M228" s="343">
        <f t="shared" si="16"/>
        <v>0</v>
      </c>
      <c r="N228" s="343">
        <f t="shared" si="16"/>
        <v>0</v>
      </c>
      <c r="O228" s="343">
        <f t="shared" si="16"/>
        <v>0</v>
      </c>
    </row>
    <row r="229" spans="1:15" ht="15" thickBot="1">
      <c r="A229" s="529"/>
      <c r="B229" s="577"/>
      <c r="C229" s="579"/>
      <c r="D229" s="348" t="s">
        <v>248</v>
      </c>
      <c r="E229" s="442">
        <f t="shared" si="15"/>
        <v>934</v>
      </c>
      <c r="F229" s="442">
        <f t="shared" si="15"/>
        <v>904</v>
      </c>
      <c r="G229" s="349">
        <f t="shared" si="15"/>
        <v>776</v>
      </c>
      <c r="H229" s="350">
        <f t="shared" si="15"/>
        <v>0</v>
      </c>
      <c r="I229" s="343">
        <f t="shared" si="16"/>
        <v>0</v>
      </c>
      <c r="J229" s="343">
        <f t="shared" si="16"/>
        <v>0</v>
      </c>
      <c r="K229" s="343">
        <f t="shared" si="16"/>
        <v>0</v>
      </c>
      <c r="L229" s="343">
        <f t="shared" si="16"/>
        <v>0</v>
      </c>
      <c r="M229" s="343">
        <f t="shared" si="16"/>
        <v>0</v>
      </c>
      <c r="N229" s="343">
        <f t="shared" si="16"/>
        <v>0</v>
      </c>
      <c r="O229" s="343">
        <f t="shared" si="16"/>
        <v>0</v>
      </c>
    </row>
    <row r="232" spans="1:15" ht="14.25" customHeight="1"/>
    <row r="237" spans="1:15">
      <c r="G237" t="s">
        <v>260</v>
      </c>
    </row>
  </sheetData>
  <mergeCells count="106">
    <mergeCell ref="A192:A193"/>
    <mergeCell ref="B190:B191"/>
    <mergeCell ref="C190:C191"/>
    <mergeCell ref="B184:B185"/>
    <mergeCell ref="C184:C185"/>
    <mergeCell ref="B186:B187"/>
    <mergeCell ref="C186:C187"/>
    <mergeCell ref="B188:B189"/>
    <mergeCell ref="C188:C189"/>
    <mergeCell ref="A184:A185"/>
    <mergeCell ref="A186:A187"/>
    <mergeCell ref="A188:A189"/>
    <mergeCell ref="A190:A191"/>
    <mergeCell ref="N31:N34"/>
    <mergeCell ref="B172:B173"/>
    <mergeCell ref="C172:C173"/>
    <mergeCell ref="G130:H130"/>
    <mergeCell ref="B170:B171"/>
    <mergeCell ref="C170:C171"/>
    <mergeCell ref="A132:A144"/>
    <mergeCell ref="A145:A162"/>
    <mergeCell ref="A170:A171"/>
    <mergeCell ref="A172:A173"/>
    <mergeCell ref="B209:B210"/>
    <mergeCell ref="E64:H64"/>
    <mergeCell ref="C178:C179"/>
    <mergeCell ref="B180:B181"/>
    <mergeCell ref="C174:C175"/>
    <mergeCell ref="B176:B177"/>
    <mergeCell ref="C176:C177"/>
    <mergeCell ref="C180:C181"/>
    <mergeCell ref="B182:B183"/>
    <mergeCell ref="C182:C183"/>
    <mergeCell ref="B174:B175"/>
    <mergeCell ref="B178:B179"/>
    <mergeCell ref="A89:B89"/>
    <mergeCell ref="A90:B90"/>
    <mergeCell ref="B207:B208"/>
    <mergeCell ref="C207:C208"/>
    <mergeCell ref="C192:C193"/>
    <mergeCell ref="B197:B198"/>
    <mergeCell ref="B199:B200"/>
    <mergeCell ref="C199:C200"/>
    <mergeCell ref="B201:B202"/>
    <mergeCell ref="C201:C202"/>
    <mergeCell ref="C197:C198"/>
    <mergeCell ref="B192:B193"/>
    <mergeCell ref="B228:B229"/>
    <mergeCell ref="C228:C229"/>
    <mergeCell ref="C226:C227"/>
    <mergeCell ref="B224:B225"/>
    <mergeCell ref="C224:C225"/>
    <mergeCell ref="C215:C216"/>
    <mergeCell ref="C217:C218"/>
    <mergeCell ref="B217:B218"/>
    <mergeCell ref="B215:B216"/>
    <mergeCell ref="B226:B227"/>
    <mergeCell ref="B1:C1"/>
    <mergeCell ref="B8:C8"/>
    <mergeCell ref="A14:I14"/>
    <mergeCell ref="B6:C6"/>
    <mergeCell ref="D6:E6"/>
    <mergeCell ref="H6:I6"/>
    <mergeCell ref="H8:I8"/>
    <mergeCell ref="B10:C10"/>
    <mergeCell ref="D12:E12"/>
    <mergeCell ref="F12:I12"/>
    <mergeCell ref="A2:I2"/>
    <mergeCell ref="B4:C4"/>
    <mergeCell ref="D4:E4"/>
    <mergeCell ref="D10:E10"/>
    <mergeCell ref="B12:C12"/>
    <mergeCell ref="A174:A175"/>
    <mergeCell ref="A176:A177"/>
    <mergeCell ref="A178:A179"/>
    <mergeCell ref="A180:A181"/>
    <mergeCell ref="A182:A183"/>
    <mergeCell ref="F10:I10"/>
    <mergeCell ref="B211:B212"/>
    <mergeCell ref="C211:C212"/>
    <mergeCell ref="B213:B214"/>
    <mergeCell ref="A18:B18"/>
    <mergeCell ref="C213:C214"/>
    <mergeCell ref="A26:B26"/>
    <mergeCell ref="A88:B88"/>
    <mergeCell ref="A77:C77"/>
    <mergeCell ref="A91:B91"/>
    <mergeCell ref="A29:M29"/>
    <mergeCell ref="A92:B92"/>
    <mergeCell ref="G16:H16"/>
    <mergeCell ref="C24:D24"/>
    <mergeCell ref="F24:G24"/>
    <mergeCell ref="H24:I24"/>
    <mergeCell ref="C18:E18"/>
    <mergeCell ref="A21:I21"/>
    <mergeCell ref="C209:C210"/>
    <mergeCell ref="A217:A218"/>
    <mergeCell ref="A215:A216"/>
    <mergeCell ref="A224:A225"/>
    <mergeCell ref="A226:A227"/>
    <mergeCell ref="A228:A229"/>
    <mergeCell ref="A197:A198"/>
    <mergeCell ref="A199:A200"/>
    <mergeCell ref="A201:A202"/>
    <mergeCell ref="A209:A210"/>
    <mergeCell ref="A213:A214"/>
  </mergeCells>
  <phoneticPr fontId="30" type="noConversion"/>
  <conditionalFormatting sqref="A32 E32:G32 A34">
    <cfRule type="expression" dxfId="40" priority="28" stopIfTrue="1">
      <formula>+AND(A31&gt;=#REF!,A31&lt;=#REF!)</formula>
    </cfRule>
  </conditionalFormatting>
  <conditionalFormatting sqref="B12:C12">
    <cfRule type="cellIs" dxfId="39" priority="34" stopIfTrue="1" operator="equal">
      <formula>"C"</formula>
    </cfRule>
    <cfRule type="cellIs" dxfId="38" priority="35" stopIfTrue="1" operator="equal">
      <formula>"B2"</formula>
    </cfRule>
    <cfRule type="cellIs" dxfId="37" priority="36" stopIfTrue="1" operator="equal">
      <formula>"B1"</formula>
    </cfRule>
  </conditionalFormatting>
  <conditionalFormatting sqref="B33:D33">
    <cfRule type="expression" dxfId="36" priority="12" stopIfTrue="1">
      <formula>+AND(B32&gt;=#REF!,B32&lt;=#REF!)</formula>
    </cfRule>
  </conditionalFormatting>
  <conditionalFormatting sqref="B30:M30 B118:M118">
    <cfRule type="cellIs" dxfId="35" priority="32" stopIfTrue="1" operator="equal">
      <formula>$B$16</formula>
    </cfRule>
  </conditionalFormatting>
  <conditionalFormatting sqref="B34:M34">
    <cfRule type="expression" dxfId="34" priority="13" stopIfTrue="1">
      <formula>+AND(B32&gt;=#REF!,B32&lt;=#REF!)</formula>
    </cfRule>
  </conditionalFormatting>
  <conditionalFormatting sqref="D32 E33:M33">
    <cfRule type="expression" dxfId="33" priority="3" stopIfTrue="1">
      <formula>+AND(D31&gt;=#REF!,D31&lt;=#REF!)</formula>
    </cfRule>
  </conditionalFormatting>
  <conditionalFormatting sqref="E64:H64">
    <cfRule type="expression" dxfId="32" priority="17" stopIfTrue="1">
      <formula>LEFT($E$64,3)="Все"</formula>
    </cfRule>
  </conditionalFormatting>
  <conditionalFormatting sqref="E169:O169">
    <cfRule type="cellIs" dxfId="31" priority="43" stopIfTrue="1" operator="equal">
      <formula>$B$16</formula>
    </cfRule>
  </conditionalFormatting>
  <conditionalFormatting sqref="E196:O223">
    <cfRule type="cellIs" dxfId="30" priority="6" stopIfTrue="1" operator="equal">
      <formula>$B$16</formula>
    </cfRule>
  </conditionalFormatting>
  <dataValidations count="9">
    <dataValidation type="list" allowBlank="1" showInputMessage="1" showErrorMessage="1" sqref="F6 IW161 SS161 ACO161 AMK161 AWG161 BGC161 BPY161 BZU161 CJQ161 CTM161 DDI161 DNE161 DXA161 EGW161 EQS161 FAO161 FKK161 FUG161 GEC161 GNY161 GXU161 HHQ161 HRM161 IBI161 ILE161 IVA161 JEW161 JOS161 JYO161 KIK161 KSG161 LCC161 LLY161 LVU161 MFQ161 MPM161 MZI161 NJE161 NTA161 OCW161 OMS161 OWO161 PGK161 PQG161 QAC161 QJY161 QTU161 RDQ161 RNM161 RXI161 SHE161 SRA161 TAW161 TKS161 TUO161 UEK161 UOG161 UYC161 VHY161 VRU161 WBQ161 WLM161 WVI161" xr:uid="{00000000-0002-0000-0200-000000000000}">
      <formula1>Component</formula1>
    </dataValidation>
    <dataValidation type="list" allowBlank="1" showInputMessage="1" showErrorMessage="1" sqref="B16" xr:uid="{00000000-0002-0000-0200-000001000000}">
      <formula1>PERIOD</formula1>
    </dataValidation>
    <dataValidation type="list" allowBlank="1" showInputMessage="1" showErrorMessage="1" sqref="F10:I10" xr:uid="{00000000-0002-0000-0200-000002000000}">
      <formula1>LFA</formula1>
    </dataValidation>
    <dataValidation type="list" allowBlank="1" showInputMessage="1" showErrorMessage="1" sqref="B12:C12" xr:uid="{00000000-0002-0000-0200-000003000000}">
      <formula1>Rating</formula1>
    </dataValidation>
    <dataValidation type="list" allowBlank="1" showInputMessage="1" showErrorMessage="1" sqref="H8:I8" xr:uid="{00000000-0002-0000-0200-000004000000}">
      <formula1>Phase</formula1>
    </dataValidation>
    <dataValidation type="list" allowBlank="1" showInputMessage="1" showErrorMessage="1" sqref="F8" xr:uid="{00000000-0002-0000-0200-000005000000}">
      <formula1>Round</formula1>
    </dataValidation>
    <dataValidation type="list" allowBlank="1" showInputMessage="1" showErrorMessage="1" sqref="C26" xr:uid="{00000000-0002-0000-0200-000006000000}">
      <formula1>Currency</formula1>
    </dataValidation>
    <dataValidation type="list" allowBlank="1" showInputMessage="1" showErrorMessage="1" sqref="B145:B162 ST141:ST160 ACP141:ACP160 AML141:AML160 AWH141:AWH160 BGD141:BGD160 BPZ141:BPZ160 BZV141:BZV160 CJR141:CJR160 CTN141:CTN160 DDJ141:DDJ160 DNF141:DNF160 DXB141:DXB160 EGX141:EGX160 EQT141:EQT160 FAP141:FAP160 FKL141:FKL160 FUH141:FUH160 GED141:GED160 GNZ141:GNZ160 GXV141:GXV160 HHR141:HHR160 HRN141:HRN160 IBJ141:IBJ160 ILF141:ILF160 IVB141:IVB160 JEX141:JEX160 JOT141:JOT160 JYP141:JYP160 KIL141:KIL160 KSH141:KSH160 LCD141:LCD160 LLZ141:LLZ160 LVV141:LVV160 MFR141:MFR160 MPN141:MPN160 MZJ141:MZJ160 NJF141:NJF160 NTB141:NTB160 OCX141:OCX160 OMT141:OMT160 OWP141:OWP160 PGL141:PGL160 PQH141:PQH160 QAD141:QAD160 QJZ141:QJZ160 QTV141:QTV160 RDR141:RDR160 RNN141:RNN160 RXJ141:RXJ160 SHF141:SHF160 SRB141:SRB160 TAX141:TAX160 TKT141:TKT160 TUP141:TUP160 UEL141:UEL160 UOH141:UOH160 UYD141:UYD160 VHZ141:VHZ160 VRV141:VRV160 WBR141:WBR160 WLN141:WLN160 WVJ141:WVJ160 IX141:IX160 WVK138:WVK140 IY138:IY140 SU138:SU140 ACQ138:ACQ140 AMM138:AMM140 AWI138:AWI140 BGE138:BGE140 BQA138:BQA140 BZW138:BZW140 CJS138:CJS140 CTO138:CTO140 DDK138:DDK140 DNG138:DNG140 DXC138:DXC140 EGY138:EGY140 EQU138:EQU140 FAQ138:FAQ140 FKM138:FKM140 FUI138:FUI140 GEE138:GEE140 GOA138:GOA140 GXW138:GXW140 HHS138:HHS140 HRO138:HRO140 IBK138:IBK140 ILG138:ILG140 IVC138:IVC140 JEY138:JEY140 JOU138:JOU140 JYQ138:JYQ140 KIM138:KIM140 KSI138:KSI140 LCE138:LCE140 LMA138:LMA140 LVW138:LVW140 MFS138:MFS140 MPO138:MPO140 MZK138:MZK140 NJG138:NJG140 NTC138:NTC140 OCY138:OCY140 OMU138:OMU140 OWQ138:OWQ140 PGM138:PGM140 PQI138:PQI140 QAE138:QAE140 QKA138:QKA140 QTW138:QTW140 RDS138:RDS140 RNO138:RNO140 RXK138:RXK140 SHG138:SHG140 SRC138:SRC140 TAY138:TAY140 TKU138:TKU140 TUQ138:TUQ140 UEM138:UEM140 UOI138:UOI140 UYE138:UYE140 VIA138:VIA140 VRW138:VRW140 WBS138:WBS140 WLO138:WLO140" xr:uid="{00000000-0002-0000-0200-000007000000}">
      <formula1>мва</formula1>
    </dataValidation>
    <dataValidation type="list" allowBlank="1" showInputMessage="1" showErrorMessage="1" sqref="WVJ161:WVJ164 IX161:IX164 ST161:ST164 ACP161:ACP164 AML161:AML164 AWH161:AWH164 BGD161:BGD164 BPZ161:BPZ164 BZV161:BZV164 CJR161:CJR164 CTN161:CTN164 DDJ161:DDJ164 DNF161:DNF164 DXB161:DXB164 EGX161:EGX164 EQT161:EQT164 FAP161:FAP164 FKL161:FKL164 FUH161:FUH164 GED161:GED164 GNZ161:GNZ164 GXV161:GXV164 HHR161:HHR164 HRN161:HRN164 IBJ161:IBJ164 ILF161:ILF164 IVB161:IVB164 JEX161:JEX164 JOT161:JOT164 JYP161:JYP164 KIL161:KIL164 KSH161:KSH164 LCD161:LCD164 LLZ161:LLZ164 LVV161:LVV164 MFR161:MFR164 MPN161:MPN164 MZJ161:MZJ164 NJF161:NJF164 NTB161:NTB164 OCX161:OCX164 OMT161:OMT164 OWP161:OWP164 PGL161:PGL164 PQH161:PQH164 QAD161:QAD164 QJZ161:QJZ164 QTV161:QTV164 RDR161:RDR164 RNN161:RNN164 RXJ161:RXJ164 SHF161:SHF164 SRB161:SRB164 TAX161:TAX164 TKT161:TKT164 TUP161:TUP164 UEL161:UEL164 UOH161:UOH164 UYD161:UYD164 VHZ161:VHZ164 VRV161:VRV164 WBR161:WBR164 WLN161:WLN164 B137:B144" xr:uid="{00000000-0002-0000-0200-000008000000}">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65" max="16383" man="1"/>
  </rowBreaks>
  <ignoredErrors>
    <ignoredError sqref="B224 E223:I223 J223:O223"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76"/>
  <sheetViews>
    <sheetView showGridLines="0" zoomScale="60" zoomScaleNormal="60" workbookViewId="0">
      <pane ySplit="2" topLeftCell="E11" activePane="bottomLeft" state="frozen"/>
      <selection pane="bottomLeft" activeCell="E11" sqref="E11:I11"/>
      <selection activeCell="E22" sqref="E22"/>
    </sheetView>
  </sheetViews>
  <sheetFormatPr defaultColWidth="11" defaultRowHeight="14.45"/>
  <cols>
    <col min="1" max="1" width="2.7109375" customWidth="1"/>
    <col min="2" max="2" width="21.42578125" customWidth="1"/>
    <col min="3" max="3" width="11.42578125" customWidth="1"/>
    <col min="4" max="4" width="4.5703125" customWidth="1"/>
    <col min="5" max="5" width="16.42578125" customWidth="1"/>
    <col min="6" max="6" width="15.7109375" customWidth="1"/>
    <col min="7" max="7" width="37.28515625" customWidth="1"/>
    <col min="8" max="8" width="17.28515625" customWidth="1"/>
    <col min="9" max="9" width="44.28515625" customWidth="1"/>
    <col min="10" max="10" width="14.28515625" customWidth="1"/>
    <col min="11" max="11" width="16" customWidth="1"/>
    <col min="12" max="12" width="20.42578125" customWidth="1"/>
    <col min="13" max="13" width="49.42578125" customWidth="1"/>
    <col min="14" max="14" width="2.5703125" customWidth="1"/>
    <col min="15" max="15" width="3" customWidth="1"/>
    <col min="16" max="16" width="2.5703125" customWidth="1"/>
    <col min="17" max="17" width="16.28515625" customWidth="1"/>
    <col min="18" max="18" width="28" customWidth="1"/>
    <col min="19" max="19" width="26.7109375" customWidth="1"/>
    <col min="20" max="20" width="14.7109375" customWidth="1"/>
    <col min="21" max="21" width="16" customWidth="1"/>
    <col min="22" max="22" width="11.42578125" hidden="1" customWidth="1"/>
    <col min="23" max="23" width="15.5703125" customWidth="1"/>
    <col min="24" max="24" width="11.42578125" customWidth="1"/>
    <col min="25" max="25" width="2.28515625" customWidth="1"/>
    <col min="26" max="26" width="1.28515625" customWidth="1"/>
    <col min="27" max="27" width="3.28515625" customWidth="1"/>
    <col min="28" max="28" width="17" customWidth="1"/>
    <col min="29" max="29" width="15" customWidth="1"/>
    <col min="30" max="30" width="11.42578125" customWidth="1"/>
    <col min="31" max="31" width="13.5703125" customWidth="1"/>
    <col min="32" max="32" width="16.71093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5" ht="34.5" customHeight="1"/>
    <row r="2" spans="2:15" ht="36" customHeight="1">
      <c r="B2" s="708" t="str">
        <f>+"Панель показателей: "&amp;" "&amp;+IF('Ввод данных'!B4="Выберите","",'Ввод данных'!B4&amp;" - ")&amp;+IF('Ввод данных'!F6="Выберите","",'Ввод данных'!F6)</f>
        <v>Панель показателей:  Кыргызстан - ВИЧ/СПИД/ТБ</v>
      </c>
      <c r="C2" s="708"/>
      <c r="D2" s="708"/>
      <c r="E2" s="708"/>
      <c r="F2" s="708"/>
      <c r="G2" s="708"/>
      <c r="H2" s="708"/>
      <c r="I2" s="708"/>
      <c r="J2" s="708"/>
      <c r="K2" s="708"/>
      <c r="L2" s="708"/>
      <c r="M2" s="708"/>
    </row>
    <row r="3" spans="2:15" ht="15.75" customHeight="1">
      <c r="B3" s="105"/>
      <c r="C3" s="105"/>
      <c r="D3" s="105"/>
      <c r="E3" s="105"/>
      <c r="F3" s="105"/>
      <c r="G3" s="105"/>
      <c r="H3" s="105"/>
      <c r="I3" s="105"/>
      <c r="J3" s="105"/>
      <c r="K3" s="106"/>
      <c r="L3" s="106"/>
    </row>
    <row r="5" spans="2:15" ht="23.45">
      <c r="B5" s="692" t="s">
        <v>261</v>
      </c>
      <c r="C5" s="692"/>
      <c r="D5" s="692"/>
      <c r="E5" s="692"/>
      <c r="F5" s="692"/>
      <c r="G5" s="692"/>
      <c r="H5" s="692"/>
      <c r="I5" s="692"/>
      <c r="J5" s="692"/>
      <c r="K5" s="692"/>
      <c r="L5" s="692"/>
      <c r="M5" s="692"/>
      <c r="N5" s="692"/>
      <c r="O5" s="692"/>
    </row>
    <row r="7" spans="2:15" s="28" customFormat="1" ht="21">
      <c r="B7" s="709" t="s">
        <v>262</v>
      </c>
      <c r="C7" s="710"/>
      <c r="D7" s="711"/>
      <c r="E7" s="709" t="s">
        <v>263</v>
      </c>
      <c r="F7" s="710"/>
      <c r="G7" s="710"/>
      <c r="H7" s="710"/>
      <c r="I7" s="711"/>
      <c r="J7" s="709" t="s">
        <v>264</v>
      </c>
      <c r="K7" s="710"/>
      <c r="L7" s="711"/>
      <c r="M7" s="709" t="s">
        <v>265</v>
      </c>
      <c r="N7" s="710"/>
      <c r="O7" s="711"/>
    </row>
    <row r="8" spans="2:15" ht="89.65" customHeight="1">
      <c r="B8" s="677" t="str">
        <f>+'Ввод данных'!A27</f>
        <v>F1: Бюджет и выплаты Глобальным фондом</v>
      </c>
      <c r="C8" s="715"/>
      <c r="D8" s="716"/>
      <c r="E8" s="712" t="s">
        <v>266</v>
      </c>
      <c r="F8" s="713"/>
      <c r="G8" s="713"/>
      <c r="H8" s="713"/>
      <c r="I8" s="714"/>
      <c r="J8" s="703" t="s">
        <v>267</v>
      </c>
      <c r="K8" s="704"/>
      <c r="L8" s="705"/>
      <c r="M8" s="703" t="s">
        <v>268</v>
      </c>
      <c r="N8" s="704"/>
      <c r="O8" s="705"/>
    </row>
    <row r="9" spans="2:15" ht="85.15" customHeight="1">
      <c r="B9" s="665" t="str">
        <f>+'Ввод данных'!A36</f>
        <v>F2: Бюджет и фактические расходы согласно задачам гранта</v>
      </c>
      <c r="C9" s="717"/>
      <c r="D9" s="718"/>
      <c r="E9" s="668" t="s">
        <v>269</v>
      </c>
      <c r="F9" s="669"/>
      <c r="G9" s="669"/>
      <c r="H9" s="669"/>
      <c r="I9" s="670"/>
      <c r="J9" s="703" t="s">
        <v>270</v>
      </c>
      <c r="K9" s="704"/>
      <c r="L9" s="705"/>
      <c r="M9" s="703" t="s">
        <v>268</v>
      </c>
      <c r="N9" s="704"/>
      <c r="O9" s="705"/>
    </row>
    <row r="10" spans="2:15" ht="229.5" customHeight="1">
      <c r="B10" s="665" t="str">
        <f>+'Ввод данных'!A66</f>
        <v>F3: Выплаты и расходы</v>
      </c>
      <c r="C10" s="717"/>
      <c r="D10" s="718"/>
      <c r="E10" s="668" t="s">
        <v>271</v>
      </c>
      <c r="F10" s="669"/>
      <c r="G10" s="669"/>
      <c r="H10" s="669"/>
      <c r="I10" s="670"/>
      <c r="J10" s="703" t="s">
        <v>272</v>
      </c>
      <c r="K10" s="704"/>
      <c r="L10" s="705"/>
      <c r="M10" s="703" t="s">
        <v>273</v>
      </c>
      <c r="N10" s="704"/>
      <c r="O10" s="705"/>
    </row>
    <row r="11" spans="2:15" ht="271.14999999999998" customHeight="1">
      <c r="B11" s="665" t="str">
        <f>+'Ввод данных'!A75</f>
        <v>F4: Последний отчетный и платежный цикл ОР</v>
      </c>
      <c r="C11" s="666"/>
      <c r="D11" s="667"/>
      <c r="E11" s="668" t="s">
        <v>274</v>
      </c>
      <c r="F11" s="669"/>
      <c r="G11" s="669"/>
      <c r="H11" s="669"/>
      <c r="I11" s="670"/>
      <c r="J11" s="703" t="s">
        <v>275</v>
      </c>
      <c r="K11" s="704"/>
      <c r="L11" s="705"/>
      <c r="M11" s="703" t="s">
        <v>276</v>
      </c>
      <c r="N11" s="704"/>
      <c r="O11" s="705"/>
    </row>
    <row r="12" spans="2:15">
      <c r="B12" s="720"/>
      <c r="C12" s="720"/>
      <c r="D12" s="720"/>
      <c r="E12" s="706"/>
      <c r="F12" s="706"/>
      <c r="G12" s="706"/>
      <c r="H12" s="706"/>
      <c r="I12" s="706"/>
      <c r="J12" s="706"/>
      <c r="K12" s="706"/>
      <c r="L12" s="706"/>
      <c r="M12" s="706"/>
      <c r="N12" s="706"/>
      <c r="O12" s="706"/>
    </row>
    <row r="13" spans="2:15">
      <c r="B13" s="719"/>
      <c r="C13" s="719"/>
      <c r="D13" s="719"/>
      <c r="E13" s="707"/>
      <c r="F13" s="707"/>
      <c r="G13" s="707"/>
      <c r="H13" s="707"/>
      <c r="I13" s="707"/>
      <c r="J13" s="707"/>
      <c r="K13" s="707"/>
      <c r="L13" s="707"/>
      <c r="M13" s="707"/>
      <c r="N13" s="707"/>
      <c r="O13" s="707"/>
    </row>
    <row r="14" spans="2:15">
      <c r="B14" s="719"/>
      <c r="C14" s="719"/>
      <c r="D14" s="719"/>
      <c r="E14" s="707"/>
      <c r="F14" s="707"/>
      <c r="G14" s="707"/>
      <c r="H14" s="707"/>
      <c r="I14" s="707"/>
      <c r="J14" s="707"/>
      <c r="K14" s="707"/>
      <c r="L14" s="707"/>
      <c r="M14" s="707"/>
      <c r="N14" s="707"/>
      <c r="O14" s="707"/>
    </row>
    <row r="15" spans="2:15">
      <c r="B15" s="719"/>
      <c r="C15" s="719"/>
      <c r="D15" s="719"/>
      <c r="E15" s="707"/>
      <c r="F15" s="707"/>
      <c r="G15" s="707"/>
      <c r="H15" s="707"/>
      <c r="I15" s="707"/>
      <c r="J15" s="707"/>
      <c r="K15" s="707"/>
      <c r="L15" s="707"/>
      <c r="M15" s="707"/>
      <c r="N15" s="707"/>
      <c r="O15" s="707"/>
    </row>
    <row r="16" spans="2:15" ht="23.45">
      <c r="B16" s="702" t="s">
        <v>277</v>
      </c>
      <c r="C16" s="702"/>
      <c r="D16" s="702"/>
      <c r="E16" s="702"/>
      <c r="F16" s="702"/>
      <c r="G16" s="702"/>
      <c r="H16" s="702"/>
      <c r="I16" s="702"/>
      <c r="J16" s="702"/>
      <c r="K16" s="702"/>
      <c r="L16" s="702"/>
      <c r="M16" s="702"/>
      <c r="N16" s="702"/>
      <c r="O16" s="702"/>
    </row>
    <row r="17" spans="1:15">
      <c r="B17" s="427"/>
      <c r="C17" s="427"/>
      <c r="D17" s="427"/>
      <c r="E17" s="427"/>
      <c r="F17" s="427"/>
      <c r="G17" s="427"/>
      <c r="H17" s="427"/>
      <c r="I17" s="427"/>
      <c r="J17" s="427"/>
      <c r="K17" s="427"/>
      <c r="L17" s="427"/>
      <c r="M17" s="427"/>
      <c r="N17" s="427"/>
      <c r="O17" s="427"/>
    </row>
    <row r="18" spans="1:15" ht="21">
      <c r="B18" s="699" t="s">
        <v>262</v>
      </c>
      <c r="C18" s="700"/>
      <c r="D18" s="701"/>
      <c r="E18" s="699" t="s">
        <v>263</v>
      </c>
      <c r="F18" s="700"/>
      <c r="G18" s="700"/>
      <c r="H18" s="700"/>
      <c r="I18" s="701"/>
      <c r="J18" s="699" t="s">
        <v>264</v>
      </c>
      <c r="K18" s="700"/>
      <c r="L18" s="701"/>
      <c r="M18" s="699" t="s">
        <v>278</v>
      </c>
      <c r="N18" s="700"/>
      <c r="O18" s="701"/>
    </row>
    <row r="19" spans="1:15" ht="79.5" customHeight="1">
      <c r="B19" s="677" t="str">
        <f>+'Ввод данных'!A86</f>
        <v>M1: Статус Предварительных условий (ПУ) и Действий с установленным сроком исполнения (ДУС)</v>
      </c>
      <c r="C19" s="678"/>
      <c r="D19" s="679"/>
      <c r="E19" s="668" t="s">
        <v>279</v>
      </c>
      <c r="F19" s="732"/>
      <c r="G19" s="732"/>
      <c r="H19" s="732"/>
      <c r="I19" s="733"/>
      <c r="J19" s="662" t="s">
        <v>280</v>
      </c>
      <c r="K19" s="663"/>
      <c r="L19" s="664"/>
      <c r="M19" s="662" t="s">
        <v>281</v>
      </c>
      <c r="N19" s="663"/>
      <c r="O19" s="664"/>
    </row>
    <row r="20" spans="1:15" ht="82.5" customHeight="1">
      <c r="B20" s="665" t="str">
        <f>+'Ввод данных'!A95</f>
        <v>M2: Статус ключевых руководящих должностей в структуре ОР</v>
      </c>
      <c r="C20" s="666"/>
      <c r="D20" s="667"/>
      <c r="E20" s="668" t="s">
        <v>282</v>
      </c>
      <c r="F20" s="669"/>
      <c r="G20" s="669"/>
      <c r="H20" s="669"/>
      <c r="I20" s="670"/>
      <c r="J20" s="662" t="s">
        <v>283</v>
      </c>
      <c r="K20" s="663"/>
      <c r="L20" s="664"/>
      <c r="M20" s="662" t="s">
        <v>284</v>
      </c>
      <c r="N20" s="663"/>
      <c r="O20" s="664"/>
    </row>
    <row r="21" spans="1:15" ht="148.5" customHeight="1">
      <c r="B21" s="677" t="str">
        <f>+'Ввод данных'!A102</f>
        <v xml:space="preserve">M3: Контрактные соглашения (СР) </v>
      </c>
      <c r="C21" s="678"/>
      <c r="D21" s="679"/>
      <c r="E21" s="662" t="s">
        <v>285</v>
      </c>
      <c r="F21" s="669"/>
      <c r="G21" s="669"/>
      <c r="H21" s="669"/>
      <c r="I21" s="670"/>
      <c r="J21" s="662" t="s">
        <v>286</v>
      </c>
      <c r="K21" s="663"/>
      <c r="L21" s="664"/>
      <c r="M21" s="662" t="s">
        <v>287</v>
      </c>
      <c r="N21" s="663"/>
      <c r="O21" s="664"/>
    </row>
    <row r="22" spans="1:15" ht="57.75" customHeight="1">
      <c r="B22" s="677" t="str">
        <f>+'Ввод данных'!A108</f>
        <v>M4: Количество полных отчетов, полученных к установленному сроку</v>
      </c>
      <c r="C22" s="678"/>
      <c r="D22" s="679"/>
      <c r="E22" s="662" t="s">
        <v>288</v>
      </c>
      <c r="F22" s="663"/>
      <c r="G22" s="663"/>
      <c r="H22" s="663"/>
      <c r="I22" s="664"/>
      <c r="J22" s="662" t="s">
        <v>289</v>
      </c>
      <c r="K22" s="663"/>
      <c r="L22" s="664"/>
      <c r="M22" s="662" t="s">
        <v>290</v>
      </c>
      <c r="N22" s="663"/>
      <c r="O22" s="664"/>
    </row>
    <row r="23" spans="1:15" ht="157.5" customHeight="1">
      <c r="B23" s="680" t="str">
        <f>'Ввод данных'!A116</f>
        <v>M5: Бюджет и закупки товаров медицинского назначения, медицинского оборудования,  лекарственных средств и фармацевтических препаратов</v>
      </c>
      <c r="C23" s="681"/>
      <c r="D23" s="682"/>
      <c r="E23" s="689" t="s">
        <v>291</v>
      </c>
      <c r="F23" s="690"/>
      <c r="G23" s="690"/>
      <c r="H23" s="690"/>
      <c r="I23" s="691"/>
      <c r="J23" s="721" t="s">
        <v>292</v>
      </c>
      <c r="K23" s="722"/>
      <c r="L23" s="723"/>
      <c r="M23" s="721" t="s">
        <v>293</v>
      </c>
      <c r="N23" s="722"/>
      <c r="O23" s="723"/>
    </row>
    <row r="24" spans="1:15" ht="72.75" customHeight="1">
      <c r="B24" s="683"/>
      <c r="C24" s="684"/>
      <c r="D24" s="685"/>
      <c r="E24" s="674" t="s">
        <v>294</v>
      </c>
      <c r="F24" s="675"/>
      <c r="G24" s="675"/>
      <c r="H24" s="675"/>
      <c r="I24" s="676"/>
      <c r="J24" s="724"/>
      <c r="K24" s="725"/>
      <c r="L24" s="726"/>
      <c r="M24" s="724"/>
      <c r="N24" s="725"/>
      <c r="O24" s="726"/>
    </row>
    <row r="25" spans="1:15" ht="173.25" customHeight="1">
      <c r="B25" s="677" t="str">
        <f>+'Ввод данных'!A129</f>
        <v>M6: Разница между текущим и резервным запасами</v>
      </c>
      <c r="C25" s="678"/>
      <c r="D25" s="679"/>
      <c r="E25" s="671" t="s">
        <v>295</v>
      </c>
      <c r="F25" s="672"/>
      <c r="G25" s="672"/>
      <c r="H25" s="672"/>
      <c r="I25" s="673"/>
      <c r="J25" s="671" t="s">
        <v>296</v>
      </c>
      <c r="K25" s="730"/>
      <c r="L25" s="731"/>
      <c r="M25" s="727" t="s">
        <v>297</v>
      </c>
      <c r="N25" s="728"/>
      <c r="O25" s="729"/>
    </row>
    <row r="27" spans="1:15" hidden="1"/>
    <row r="29" spans="1:15" ht="18" hidden="1">
      <c r="B29" s="121"/>
    </row>
    <row r="30" spans="1:15" ht="23.45">
      <c r="B30" s="692" t="s">
        <v>212</v>
      </c>
      <c r="C30" s="692"/>
      <c r="D30" s="692"/>
      <c r="E30" s="692"/>
      <c r="F30" s="692"/>
      <c r="G30" s="692"/>
      <c r="H30" s="692"/>
      <c r="I30" s="692"/>
      <c r="J30" s="692"/>
      <c r="K30" s="692"/>
      <c r="L30" s="692"/>
      <c r="M30" s="692"/>
      <c r="N30" s="692"/>
      <c r="O30" s="692"/>
    </row>
    <row r="32" spans="1:15" ht="28.5" customHeight="1">
      <c r="A32" s="19"/>
      <c r="B32" s="693" t="s">
        <v>298</v>
      </c>
      <c r="C32" s="694"/>
      <c r="D32" s="695"/>
      <c r="E32" s="696" t="s">
        <v>299</v>
      </c>
      <c r="F32" s="697"/>
      <c r="G32" s="697"/>
      <c r="H32" s="697"/>
      <c r="I32" s="698"/>
      <c r="J32" s="696" t="s">
        <v>264</v>
      </c>
      <c r="K32" s="697"/>
      <c r="L32" s="698"/>
      <c r="M32" s="696" t="s">
        <v>265</v>
      </c>
      <c r="N32" s="697"/>
      <c r="O32" s="698"/>
    </row>
    <row r="33" spans="1:19" ht="101.25" customHeight="1">
      <c r="A33" s="19"/>
      <c r="B33" s="650" t="s">
        <v>215</v>
      </c>
      <c r="C33" s="651"/>
      <c r="D33" s="652"/>
      <c r="E33" s="611" t="s">
        <v>300</v>
      </c>
      <c r="F33" s="640"/>
      <c r="G33" s="640"/>
      <c r="H33" s="640"/>
      <c r="I33" s="641"/>
      <c r="J33" s="614" t="s">
        <v>301</v>
      </c>
      <c r="K33" s="621"/>
      <c r="L33" s="622"/>
      <c r="M33" s="614" t="s">
        <v>302</v>
      </c>
      <c r="N33" s="621"/>
      <c r="O33" s="622"/>
    </row>
    <row r="34" spans="1:19" ht="61.5" customHeight="1">
      <c r="A34" s="19"/>
      <c r="B34" s="617" t="s">
        <v>220</v>
      </c>
      <c r="C34" s="617"/>
      <c r="D34" s="617"/>
      <c r="E34" s="618" t="s">
        <v>303</v>
      </c>
      <c r="F34" s="619"/>
      <c r="G34" s="619"/>
      <c r="H34" s="619"/>
      <c r="I34" s="620"/>
      <c r="J34" s="614" t="s">
        <v>304</v>
      </c>
      <c r="K34" s="621"/>
      <c r="L34" s="622"/>
      <c r="M34" s="614" t="s">
        <v>305</v>
      </c>
      <c r="N34" s="621"/>
      <c r="O34" s="622"/>
    </row>
    <row r="35" spans="1:19" ht="90" customHeight="1">
      <c r="A35" s="19"/>
      <c r="B35" s="642" t="s">
        <v>221</v>
      </c>
      <c r="C35" s="643"/>
      <c r="D35" s="644"/>
      <c r="E35" s="611" t="s">
        <v>306</v>
      </c>
      <c r="F35" s="640"/>
      <c r="G35" s="640"/>
      <c r="H35" s="640"/>
      <c r="I35" s="641"/>
      <c r="J35" s="614" t="s">
        <v>307</v>
      </c>
      <c r="K35" s="621"/>
      <c r="L35" s="622"/>
      <c r="M35" s="614" t="s">
        <v>305</v>
      </c>
      <c r="N35" s="621"/>
      <c r="O35" s="622"/>
    </row>
    <row r="36" spans="1:19" ht="157.5" customHeight="1">
      <c r="A36" s="19"/>
      <c r="B36" s="647" t="s">
        <v>222</v>
      </c>
      <c r="C36" s="648"/>
      <c r="D36" s="649"/>
      <c r="E36" s="614" t="s">
        <v>308</v>
      </c>
      <c r="F36" s="621"/>
      <c r="G36" s="621"/>
      <c r="H36" s="621"/>
      <c r="I36" s="622"/>
      <c r="J36" s="614" t="s">
        <v>309</v>
      </c>
      <c r="K36" s="621"/>
      <c r="L36" s="622"/>
      <c r="M36" s="614" t="s">
        <v>310</v>
      </c>
      <c r="N36" s="621"/>
      <c r="O36" s="622"/>
      <c r="Q36" s="740"/>
      <c r="R36" s="741"/>
      <c r="S36" s="742"/>
    </row>
    <row r="37" spans="1:19" ht="108.75" customHeight="1">
      <c r="A37" s="19"/>
      <c r="B37" s="650" t="s">
        <v>223</v>
      </c>
      <c r="C37" s="651"/>
      <c r="D37" s="652"/>
      <c r="E37" s="611" t="s">
        <v>311</v>
      </c>
      <c r="F37" s="645"/>
      <c r="G37" s="645"/>
      <c r="H37" s="645"/>
      <c r="I37" s="646"/>
      <c r="J37" s="614" t="s">
        <v>312</v>
      </c>
      <c r="K37" s="621"/>
      <c r="L37" s="622"/>
      <c r="M37" s="614" t="s">
        <v>302</v>
      </c>
      <c r="N37" s="621"/>
      <c r="O37" s="622"/>
    </row>
    <row r="38" spans="1:19" ht="90" customHeight="1">
      <c r="A38" s="19"/>
      <c r="B38" s="650" t="s">
        <v>224</v>
      </c>
      <c r="C38" s="651"/>
      <c r="D38" s="652"/>
      <c r="E38" s="653" t="s">
        <v>313</v>
      </c>
      <c r="F38" s="654"/>
      <c r="G38" s="654"/>
      <c r="H38" s="654"/>
      <c r="I38" s="655"/>
      <c r="J38" s="614" t="s">
        <v>314</v>
      </c>
      <c r="K38" s="621"/>
      <c r="L38" s="622"/>
      <c r="M38" s="614" t="s">
        <v>302</v>
      </c>
      <c r="N38" s="621"/>
      <c r="O38" s="622"/>
    </row>
    <row r="39" spans="1:19" ht="87" customHeight="1">
      <c r="A39" s="19"/>
      <c r="B39" s="650" t="s">
        <v>225</v>
      </c>
      <c r="C39" s="651"/>
      <c r="D39" s="652"/>
      <c r="E39" s="743" t="s">
        <v>315</v>
      </c>
      <c r="F39" s="744"/>
      <c r="G39" s="744"/>
      <c r="H39" s="744"/>
      <c r="I39" s="745"/>
      <c r="J39" s="614" t="s">
        <v>316</v>
      </c>
      <c r="K39" s="621"/>
      <c r="L39" s="622"/>
      <c r="M39" s="614" t="s">
        <v>317</v>
      </c>
      <c r="N39" s="621"/>
      <c r="O39" s="622"/>
    </row>
    <row r="40" spans="1:19" ht="101.1" customHeight="1">
      <c r="A40" s="19"/>
      <c r="B40" s="642" t="s">
        <v>228</v>
      </c>
      <c r="C40" s="746"/>
      <c r="D40" s="747"/>
      <c r="E40" s="611" t="s">
        <v>318</v>
      </c>
      <c r="F40" s="645"/>
      <c r="G40" s="645"/>
      <c r="H40" s="645"/>
      <c r="I40" s="646"/>
      <c r="J40" s="614" t="s">
        <v>319</v>
      </c>
      <c r="K40" s="621"/>
      <c r="L40" s="622"/>
      <c r="M40" s="614" t="s">
        <v>302</v>
      </c>
      <c r="N40" s="621"/>
      <c r="O40" s="622"/>
    </row>
    <row r="41" spans="1:19" ht="96" customHeight="1">
      <c r="A41" s="19"/>
      <c r="B41" s="642" t="s">
        <v>231</v>
      </c>
      <c r="C41" s="746"/>
      <c r="D41" s="747"/>
      <c r="E41" s="611" t="s">
        <v>320</v>
      </c>
      <c r="F41" s="645"/>
      <c r="G41" s="645"/>
      <c r="H41" s="645"/>
      <c r="I41" s="646"/>
      <c r="J41" s="614" t="s">
        <v>321</v>
      </c>
      <c r="K41" s="621"/>
      <c r="L41" s="622"/>
      <c r="M41" s="614" t="s">
        <v>302</v>
      </c>
      <c r="N41" s="621"/>
      <c r="O41" s="622"/>
    </row>
    <row r="42" spans="1:19" ht="102.6" customHeight="1">
      <c r="A42" s="19"/>
      <c r="B42" s="642" t="s">
        <v>234</v>
      </c>
      <c r="C42" s="643"/>
      <c r="D42" s="644"/>
      <c r="E42" s="611" t="s">
        <v>322</v>
      </c>
      <c r="F42" s="645"/>
      <c r="G42" s="645"/>
      <c r="H42" s="645"/>
      <c r="I42" s="646"/>
      <c r="J42" s="614" t="s">
        <v>323</v>
      </c>
      <c r="K42" s="621"/>
      <c r="L42" s="622"/>
      <c r="M42" s="614" t="s">
        <v>302</v>
      </c>
      <c r="N42" s="621"/>
      <c r="O42" s="622"/>
    </row>
    <row r="43" spans="1:19" ht="203.25" customHeight="1">
      <c r="A43" s="19"/>
      <c r="B43" s="642" t="s">
        <v>236</v>
      </c>
      <c r="C43" s="643"/>
      <c r="D43" s="644"/>
      <c r="E43" s="611" t="s">
        <v>324</v>
      </c>
      <c r="F43" s="645"/>
      <c r="G43" s="645"/>
      <c r="H43" s="645"/>
      <c r="I43" s="646"/>
      <c r="J43" s="614" t="s">
        <v>325</v>
      </c>
      <c r="K43" s="621"/>
      <c r="L43" s="622"/>
      <c r="M43" s="614" t="s">
        <v>305</v>
      </c>
      <c r="N43" s="621"/>
      <c r="O43" s="622"/>
    </row>
    <row r="44" spans="1:19" ht="84.75" customHeight="1">
      <c r="A44" s="19"/>
      <c r="B44" s="642" t="s">
        <v>326</v>
      </c>
      <c r="C44" s="643"/>
      <c r="D44" s="644"/>
      <c r="E44" s="611" t="s">
        <v>327</v>
      </c>
      <c r="F44" s="640"/>
      <c r="G44" s="640"/>
      <c r="H44" s="640"/>
      <c r="I44" s="641"/>
      <c r="J44" s="614" t="s">
        <v>328</v>
      </c>
      <c r="K44" s="621"/>
      <c r="L44" s="622"/>
      <c r="M44" s="614" t="s">
        <v>329</v>
      </c>
      <c r="N44" s="621"/>
      <c r="O44" s="622"/>
    </row>
    <row r="45" spans="1:19" ht="27" customHeight="1">
      <c r="A45" s="19"/>
      <c r="B45" s="734" t="s">
        <v>330</v>
      </c>
      <c r="C45" s="735"/>
      <c r="D45" s="736"/>
      <c r="E45" s="626" t="s">
        <v>299</v>
      </c>
      <c r="F45" s="627"/>
      <c r="G45" s="627"/>
      <c r="H45" s="627"/>
      <c r="I45" s="628"/>
      <c r="J45" s="626" t="s">
        <v>331</v>
      </c>
      <c r="K45" s="627"/>
      <c r="L45" s="628"/>
      <c r="M45" s="626" t="s">
        <v>265</v>
      </c>
      <c r="N45" s="627"/>
      <c r="O45" s="628"/>
    </row>
    <row r="46" spans="1:19" ht="93.4" customHeight="1">
      <c r="A46" s="19"/>
      <c r="B46" s="686" t="s">
        <v>246</v>
      </c>
      <c r="C46" s="687"/>
      <c r="D46" s="688"/>
      <c r="E46" s="614" t="s">
        <v>332</v>
      </c>
      <c r="F46" s="657"/>
      <c r="G46" s="657"/>
      <c r="H46" s="657"/>
      <c r="I46" s="658"/>
      <c r="J46" s="614" t="s">
        <v>333</v>
      </c>
      <c r="K46" s="621"/>
      <c r="L46" s="622"/>
      <c r="M46" s="614" t="s">
        <v>334</v>
      </c>
      <c r="N46" s="621"/>
      <c r="O46" s="622"/>
    </row>
    <row r="47" spans="1:19" ht="79.150000000000006" customHeight="1">
      <c r="A47" s="19"/>
      <c r="B47" s="686" t="s">
        <v>335</v>
      </c>
      <c r="C47" s="687"/>
      <c r="D47" s="688"/>
      <c r="E47" s="614" t="s">
        <v>336</v>
      </c>
      <c r="F47" s="657"/>
      <c r="G47" s="657"/>
      <c r="H47" s="657"/>
      <c r="I47" s="658"/>
      <c r="J47" s="614" t="s">
        <v>337</v>
      </c>
      <c r="K47" s="621"/>
      <c r="L47" s="622"/>
      <c r="M47" s="614" t="s">
        <v>338</v>
      </c>
      <c r="N47" s="621"/>
      <c r="O47" s="622"/>
    </row>
    <row r="48" spans="1:19" ht="69" customHeight="1">
      <c r="A48" s="19"/>
      <c r="B48" s="656" t="s">
        <v>339</v>
      </c>
      <c r="C48" s="657"/>
      <c r="D48" s="658"/>
      <c r="E48" s="614" t="s">
        <v>340</v>
      </c>
      <c r="F48" s="621"/>
      <c r="G48" s="621"/>
      <c r="H48" s="621"/>
      <c r="I48" s="622"/>
      <c r="J48" s="614" t="s">
        <v>337</v>
      </c>
      <c r="K48" s="621"/>
      <c r="L48" s="622"/>
      <c r="M48" s="614" t="s">
        <v>341</v>
      </c>
      <c r="N48" s="621"/>
      <c r="O48" s="622"/>
    </row>
    <row r="49" spans="1:15" ht="106.9" customHeight="1">
      <c r="A49" s="19"/>
      <c r="B49" s="656" t="s">
        <v>251</v>
      </c>
      <c r="C49" s="657"/>
      <c r="D49" s="658"/>
      <c r="E49" s="614" t="s">
        <v>342</v>
      </c>
      <c r="F49" s="621"/>
      <c r="G49" s="621"/>
      <c r="H49" s="621"/>
      <c r="I49" s="622"/>
      <c r="J49" s="614" t="s">
        <v>343</v>
      </c>
      <c r="K49" s="621"/>
      <c r="L49" s="622"/>
      <c r="M49" s="614" t="s">
        <v>344</v>
      </c>
      <c r="N49" s="621"/>
      <c r="O49" s="622"/>
    </row>
    <row r="50" spans="1:15" ht="142.5" customHeight="1">
      <c r="A50" s="19"/>
      <c r="B50" s="656" t="s">
        <v>345</v>
      </c>
      <c r="C50" s="657"/>
      <c r="D50" s="658"/>
      <c r="E50" s="737" t="s">
        <v>346</v>
      </c>
      <c r="F50" s="738"/>
      <c r="G50" s="738"/>
      <c r="H50" s="738"/>
      <c r="I50" s="739"/>
      <c r="J50" s="659" t="s">
        <v>347</v>
      </c>
      <c r="K50" s="660"/>
      <c r="L50" s="661"/>
      <c r="M50" s="614" t="s">
        <v>348</v>
      </c>
      <c r="N50" s="621"/>
      <c r="O50" s="622"/>
    </row>
    <row r="51" spans="1:15" ht="183.4" customHeight="1">
      <c r="A51" s="19"/>
      <c r="B51" s="656" t="s">
        <v>254</v>
      </c>
      <c r="C51" s="657"/>
      <c r="D51" s="658"/>
      <c r="E51" s="614" t="s">
        <v>349</v>
      </c>
      <c r="F51" s="621"/>
      <c r="G51" s="621"/>
      <c r="H51" s="621"/>
      <c r="I51" s="622"/>
      <c r="J51" s="614"/>
      <c r="K51" s="621"/>
      <c r="L51" s="622"/>
      <c r="M51" s="614" t="s">
        <v>350</v>
      </c>
      <c r="N51" s="621"/>
      <c r="O51" s="622"/>
    </row>
    <row r="52" spans="1:15" ht="2.25" hidden="1" customHeight="1">
      <c r="A52" s="19"/>
      <c r="B52" s="632"/>
      <c r="C52" s="638"/>
      <c r="D52" s="639"/>
      <c r="E52" s="614"/>
      <c r="F52" s="621"/>
      <c r="G52" s="621"/>
      <c r="H52" s="621"/>
      <c r="I52" s="622"/>
      <c r="J52" s="614"/>
      <c r="K52" s="621"/>
      <c r="L52" s="622"/>
      <c r="M52" s="614"/>
      <c r="N52" s="621"/>
      <c r="O52" s="622"/>
    </row>
    <row r="53" spans="1:15" ht="27" customHeight="1">
      <c r="A53" s="19"/>
      <c r="B53" s="632"/>
      <c r="C53" s="638"/>
      <c r="D53" s="639"/>
      <c r="E53" s="611"/>
      <c r="F53" s="640"/>
      <c r="G53" s="640"/>
      <c r="H53" s="640"/>
      <c r="I53" s="641"/>
      <c r="J53" s="614"/>
      <c r="K53" s="621"/>
      <c r="L53" s="622"/>
      <c r="M53" s="614"/>
      <c r="N53" s="621"/>
      <c r="O53" s="622"/>
    </row>
    <row r="54" spans="1:15" ht="14.25" customHeight="1">
      <c r="A54" s="19"/>
      <c r="B54" s="632"/>
      <c r="C54" s="633"/>
      <c r="D54" s="634"/>
      <c r="E54" s="611"/>
      <c r="F54" s="612"/>
      <c r="G54" s="612"/>
      <c r="H54" s="612"/>
      <c r="I54" s="613"/>
      <c r="J54" s="614"/>
      <c r="K54" s="615"/>
      <c r="L54" s="616"/>
      <c r="M54" s="428"/>
      <c r="N54" s="429"/>
      <c r="O54" s="430"/>
    </row>
    <row r="55" spans="1:15" ht="119.25" hidden="1" customHeight="1">
      <c r="A55" s="19"/>
      <c r="B55" s="632"/>
      <c r="C55" s="633"/>
      <c r="D55" s="634"/>
      <c r="E55" s="611"/>
      <c r="F55" s="612"/>
      <c r="G55" s="612"/>
      <c r="H55" s="612"/>
      <c r="I55" s="613"/>
      <c r="J55" s="614"/>
      <c r="K55" s="615"/>
      <c r="L55" s="616"/>
      <c r="M55" s="614"/>
      <c r="N55" s="615"/>
      <c r="O55" s="616"/>
    </row>
    <row r="56" spans="1:15" ht="88.5" hidden="1" customHeight="1">
      <c r="A56" s="19"/>
      <c r="B56" s="632"/>
      <c r="C56" s="633"/>
      <c r="D56" s="634"/>
      <c r="E56" s="611"/>
      <c r="F56" s="612"/>
      <c r="G56" s="612"/>
      <c r="H56" s="612"/>
      <c r="I56" s="613"/>
      <c r="J56" s="614"/>
      <c r="K56" s="615"/>
      <c r="L56" s="616"/>
      <c r="M56" s="428"/>
      <c r="N56" s="429"/>
      <c r="O56" s="430"/>
    </row>
    <row r="57" spans="1:15" ht="30" customHeight="1">
      <c r="B57" s="629" t="s">
        <v>351</v>
      </c>
      <c r="C57" s="630"/>
      <c r="D57" s="631"/>
      <c r="E57" s="626" t="s">
        <v>263</v>
      </c>
      <c r="F57" s="627"/>
      <c r="G57" s="627"/>
      <c r="H57" s="627"/>
      <c r="I57" s="628"/>
      <c r="J57" s="626" t="s">
        <v>264</v>
      </c>
      <c r="K57" s="627"/>
      <c r="L57" s="628"/>
      <c r="M57" s="626" t="s">
        <v>265</v>
      </c>
      <c r="N57" s="627"/>
      <c r="O57" s="628"/>
    </row>
    <row r="58" spans="1:15" ht="33.75" customHeight="1">
      <c r="B58" s="431"/>
      <c r="C58" s="426"/>
      <c r="D58" s="426"/>
      <c r="E58" s="432"/>
      <c r="F58" s="433"/>
      <c r="G58" s="433"/>
      <c r="H58" s="433"/>
      <c r="I58" s="433"/>
      <c r="J58" s="432"/>
      <c r="K58" s="432"/>
      <c r="L58" s="434"/>
      <c r="M58" s="435"/>
      <c r="N58" s="432"/>
      <c r="O58" s="434"/>
    </row>
    <row r="59" spans="1:15" ht="15.75" customHeight="1">
      <c r="B59" s="635" t="s">
        <v>352</v>
      </c>
      <c r="C59" s="636"/>
      <c r="D59" s="636"/>
      <c r="E59" s="636"/>
      <c r="F59" s="636"/>
      <c r="G59" s="636"/>
      <c r="H59" s="636"/>
      <c r="I59" s="636"/>
      <c r="J59" s="636"/>
      <c r="K59" s="636"/>
      <c r="L59" s="637"/>
      <c r="M59" s="623" t="s">
        <v>353</v>
      </c>
      <c r="N59" s="624"/>
      <c r="O59" s="625"/>
    </row>
    <row r="60" spans="1:15">
      <c r="D60" s="107"/>
    </row>
    <row r="62" spans="1:15">
      <c r="D62" s="107"/>
    </row>
    <row r="63" spans="1:15">
      <c r="D63" s="107"/>
    </row>
    <row r="76" spans="1:1">
      <c r="A76" s="109"/>
    </row>
  </sheetData>
  <mergeCells count="174">
    <mergeCell ref="Q36:S36"/>
    <mergeCell ref="M44:O44"/>
    <mergeCell ref="M38:O38"/>
    <mergeCell ref="B39:D39"/>
    <mergeCell ref="E39:I39"/>
    <mergeCell ref="J39:L39"/>
    <mergeCell ref="M39:O39"/>
    <mergeCell ref="M40:O40"/>
    <mergeCell ref="B41:D41"/>
    <mergeCell ref="E41:I41"/>
    <mergeCell ref="J41:L41"/>
    <mergeCell ref="M41:O41"/>
    <mergeCell ref="B37:D37"/>
    <mergeCell ref="E37:I37"/>
    <mergeCell ref="J37:L37"/>
    <mergeCell ref="B40:D40"/>
    <mergeCell ref="E40:I40"/>
    <mergeCell ref="J40:L40"/>
    <mergeCell ref="M37:O37"/>
    <mergeCell ref="M42:O42"/>
    <mergeCell ref="M43:O43"/>
    <mergeCell ref="B44:D44"/>
    <mergeCell ref="E44:I44"/>
    <mergeCell ref="M51:O51"/>
    <mergeCell ref="B45:D45"/>
    <mergeCell ref="E45:I45"/>
    <mergeCell ref="J45:L45"/>
    <mergeCell ref="M45:O45"/>
    <mergeCell ref="M46:O46"/>
    <mergeCell ref="B47:D47"/>
    <mergeCell ref="J48:L48"/>
    <mergeCell ref="M48:O48"/>
    <mergeCell ref="M50:O50"/>
    <mergeCell ref="B50:D50"/>
    <mergeCell ref="E50:I50"/>
    <mergeCell ref="B51:D51"/>
    <mergeCell ref="E51:I51"/>
    <mergeCell ref="E46:I46"/>
    <mergeCell ref="J46:L46"/>
    <mergeCell ref="M47:O47"/>
    <mergeCell ref="B48:D48"/>
    <mergeCell ref="E47:I47"/>
    <mergeCell ref="J47:L47"/>
    <mergeCell ref="E48:I48"/>
    <mergeCell ref="M49:O49"/>
    <mergeCell ref="B15:D15"/>
    <mergeCell ref="B13:D13"/>
    <mergeCell ref="B12:D12"/>
    <mergeCell ref="J11:L11"/>
    <mergeCell ref="E14:I14"/>
    <mergeCell ref="M23:O24"/>
    <mergeCell ref="B25:D25"/>
    <mergeCell ref="M21:O21"/>
    <mergeCell ref="M22:O22"/>
    <mergeCell ref="B21:D21"/>
    <mergeCell ref="E21:I21"/>
    <mergeCell ref="M19:O19"/>
    <mergeCell ref="J23:L24"/>
    <mergeCell ref="J20:L20"/>
    <mergeCell ref="M20:O20"/>
    <mergeCell ref="M25:O25"/>
    <mergeCell ref="J25:L25"/>
    <mergeCell ref="J21:L21"/>
    <mergeCell ref="E18:I18"/>
    <mergeCell ref="J15:L15"/>
    <mergeCell ref="E19:I19"/>
    <mergeCell ref="B18:D18"/>
    <mergeCell ref="B19:D19"/>
    <mergeCell ref="B14:D14"/>
    <mergeCell ref="J14:L14"/>
    <mergeCell ref="M14:O14"/>
    <mergeCell ref="J13:L13"/>
    <mergeCell ref="E13:I13"/>
    <mergeCell ref="M34:O34"/>
    <mergeCell ref="B2:M2"/>
    <mergeCell ref="B5:O5"/>
    <mergeCell ref="M8:O8"/>
    <mergeCell ref="J8:L8"/>
    <mergeCell ref="E7:I7"/>
    <mergeCell ref="B7:D7"/>
    <mergeCell ref="E8:I8"/>
    <mergeCell ref="J7:L7"/>
    <mergeCell ref="M7:O7"/>
    <mergeCell ref="B8:D8"/>
    <mergeCell ref="M9:O9"/>
    <mergeCell ref="B9:D9"/>
    <mergeCell ref="E9:I9"/>
    <mergeCell ref="J9:L9"/>
    <mergeCell ref="J10:L10"/>
    <mergeCell ref="E10:I10"/>
    <mergeCell ref="M10:O10"/>
    <mergeCell ref="B10:D10"/>
    <mergeCell ref="E15:I15"/>
    <mergeCell ref="B11:D11"/>
    <mergeCell ref="E11:I11"/>
    <mergeCell ref="B46:D46"/>
    <mergeCell ref="E23:I23"/>
    <mergeCell ref="E22:I22"/>
    <mergeCell ref="M33:O33"/>
    <mergeCell ref="B30:O30"/>
    <mergeCell ref="B32:D32"/>
    <mergeCell ref="E32:I32"/>
    <mergeCell ref="J32:L32"/>
    <mergeCell ref="M32:O32"/>
    <mergeCell ref="E33:I33"/>
    <mergeCell ref="M18:O18"/>
    <mergeCell ref="J18:L18"/>
    <mergeCell ref="B16:O16"/>
    <mergeCell ref="J33:L33"/>
    <mergeCell ref="B35:D35"/>
    <mergeCell ref="J19:L19"/>
    <mergeCell ref="M11:O11"/>
    <mergeCell ref="J12:L12"/>
    <mergeCell ref="M12:O12"/>
    <mergeCell ref="E12:I12"/>
    <mergeCell ref="M15:O15"/>
    <mergeCell ref="M13:O13"/>
    <mergeCell ref="J22:L22"/>
    <mergeCell ref="B20:D20"/>
    <mergeCell ref="E20:I20"/>
    <mergeCell ref="E25:I25"/>
    <mergeCell ref="E24:I24"/>
    <mergeCell ref="B22:D22"/>
    <mergeCell ref="B23:D24"/>
    <mergeCell ref="B33:D33"/>
    <mergeCell ref="M36:O36"/>
    <mergeCell ref="E35:I35"/>
    <mergeCell ref="J35:L35"/>
    <mergeCell ref="M35:O35"/>
    <mergeCell ref="B52:D52"/>
    <mergeCell ref="E52:I52"/>
    <mergeCell ref="E53:I53"/>
    <mergeCell ref="B43:D43"/>
    <mergeCell ref="E43:I43"/>
    <mergeCell ref="J43:L43"/>
    <mergeCell ref="B36:D36"/>
    <mergeCell ref="E36:I36"/>
    <mergeCell ref="J36:L36"/>
    <mergeCell ref="B38:D38"/>
    <mergeCell ref="E38:I38"/>
    <mergeCell ref="J38:L38"/>
    <mergeCell ref="B42:D42"/>
    <mergeCell ref="E42:I42"/>
    <mergeCell ref="J42:L42"/>
    <mergeCell ref="J51:L51"/>
    <mergeCell ref="B49:D49"/>
    <mergeCell ref="E49:I49"/>
    <mergeCell ref="J49:L49"/>
    <mergeCell ref="J44:L44"/>
    <mergeCell ref="J50:L50"/>
    <mergeCell ref="E56:I56"/>
    <mergeCell ref="M55:O55"/>
    <mergeCell ref="E55:I55"/>
    <mergeCell ref="B34:D34"/>
    <mergeCell ref="E34:I34"/>
    <mergeCell ref="J34:L34"/>
    <mergeCell ref="M59:O59"/>
    <mergeCell ref="M57:O57"/>
    <mergeCell ref="J53:L53"/>
    <mergeCell ref="M52:O52"/>
    <mergeCell ref="J52:L52"/>
    <mergeCell ref="B57:D57"/>
    <mergeCell ref="M53:O53"/>
    <mergeCell ref="E57:I57"/>
    <mergeCell ref="J57:L57"/>
    <mergeCell ref="B54:D54"/>
    <mergeCell ref="B55:D55"/>
    <mergeCell ref="B56:D56"/>
    <mergeCell ref="J56:L56"/>
    <mergeCell ref="E54:I54"/>
    <mergeCell ref="J54:L54"/>
    <mergeCell ref="J55:L55"/>
    <mergeCell ref="B59:L59"/>
    <mergeCell ref="B53:D53"/>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7"/>
  <sheetViews>
    <sheetView showGridLines="0" zoomScale="90" zoomScaleNormal="110" zoomScaleSheetLayoutView="100" workbookViewId="0">
      <selection activeCell="D23" sqref="D23"/>
    </sheetView>
  </sheetViews>
  <sheetFormatPr defaultColWidth="11.42578125" defaultRowHeight="14.45"/>
  <cols>
    <col min="1" max="1" width="21.28515625" customWidth="1"/>
    <col min="2" max="2" width="19.5703125" customWidth="1"/>
    <col min="3" max="3" width="20.5703125" customWidth="1"/>
    <col min="4" max="4" width="20.42578125" customWidth="1"/>
    <col min="5" max="5" width="10.7109375" customWidth="1"/>
    <col min="6" max="6" width="17.42578125" customWidth="1"/>
    <col min="7" max="7" width="15.5703125" customWidth="1"/>
    <col min="8" max="8" width="20.28515625" bestFit="1" customWidth="1"/>
    <col min="9" max="9" width="9.42578125" customWidth="1"/>
    <col min="10" max="10" width="10.28515625" customWidth="1"/>
    <col min="11" max="11" width="11.42578125" customWidth="1"/>
    <col min="12" max="12" width="8.28515625" customWidth="1"/>
    <col min="13" max="13" width="9.7109375" customWidth="1"/>
    <col min="14" max="14" width="8.5703125" customWidth="1"/>
    <col min="15" max="15" width="7.28515625" customWidth="1"/>
  </cols>
  <sheetData>
    <row r="1" spans="1:24" ht="21" customHeight="1">
      <c r="G1" s="130"/>
    </row>
    <row r="2" spans="1:24" ht="25.5" customHeight="1"/>
    <row r="3" spans="1:24" ht="36.6">
      <c r="B3" s="748" t="str">
        <f>+"Панель показателей: "&amp;" "&amp;+IF('Ввод данных'!B4="Выберите","",'Ввод данных'!B4&amp;" - ")&amp;+IF('Ввод данных'!F6="Выберите","",'Ввод данных'!F6)</f>
        <v>Панель показателей:  Кыргызстан - ВИЧ/СПИД/ТБ</v>
      </c>
      <c r="C3" s="748"/>
      <c r="D3" s="748"/>
      <c r="E3" s="748"/>
      <c r="F3" s="748"/>
      <c r="G3" s="748"/>
      <c r="H3" s="748"/>
      <c r="I3" s="748"/>
      <c r="J3" s="748"/>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389" t="s">
        <v>2</v>
      </c>
      <c r="B6" s="750" t="str">
        <f>+IF('Ввод данных'!B4="Выберите","",'Ввод данных'!B4)</f>
        <v>Кыргызстан</v>
      </c>
      <c r="C6" s="750"/>
      <c r="D6" s="754" t="s">
        <v>4</v>
      </c>
      <c r="E6" s="754"/>
      <c r="F6" s="755" t="str">
        <f>+'Ввод данных'!F4</f>
        <v>«Эффективный контроль за ВИЧ-инфекцией и туберкулезом в Кыргызской Республике»</v>
      </c>
      <c r="G6" s="755"/>
      <c r="H6" s="755"/>
      <c r="I6" s="755"/>
      <c r="J6" s="755"/>
      <c r="K6" s="32"/>
      <c r="L6" s="52"/>
      <c r="M6" s="32"/>
      <c r="N6" s="32"/>
      <c r="O6" s="32"/>
      <c r="P6" s="33"/>
      <c r="Q6" s="12"/>
      <c r="R6" s="12"/>
      <c r="S6" s="12"/>
      <c r="T6" s="12"/>
      <c r="U6" s="12"/>
    </row>
    <row r="7" spans="1:24" ht="8.25" customHeight="1">
      <c r="B7" s="4"/>
      <c r="C7" s="5"/>
      <c r="D7" s="5"/>
      <c r="E7" s="6"/>
      <c r="F7" s="6"/>
      <c r="G7" s="5"/>
      <c r="H7" s="5"/>
      <c r="K7" s="32"/>
      <c r="L7" s="32"/>
      <c r="M7" s="32"/>
      <c r="N7" s="32"/>
      <c r="O7" s="32"/>
      <c r="P7" s="33"/>
      <c r="Q7" s="12"/>
      <c r="R7" s="12"/>
      <c r="S7" s="12"/>
      <c r="T7" s="12"/>
      <c r="U7" s="12"/>
    </row>
    <row r="8" spans="1:24" ht="3.75" customHeight="1">
      <c r="C8" s="7"/>
      <c r="D8" s="7"/>
      <c r="E8" s="7"/>
      <c r="F8" s="7"/>
      <c r="G8" s="7"/>
      <c r="H8" s="7"/>
      <c r="I8" s="7"/>
      <c r="J8" s="7"/>
      <c r="K8" s="32"/>
      <c r="L8" s="32"/>
      <c r="M8" s="32"/>
      <c r="N8" s="32"/>
      <c r="O8" s="34"/>
      <c r="P8" s="33"/>
      <c r="Q8" s="34"/>
      <c r="R8" s="35"/>
      <c r="S8" s="12"/>
      <c r="T8" s="12"/>
      <c r="U8" s="12"/>
    </row>
    <row r="9" spans="1:24" ht="15.6">
      <c r="A9" s="388" t="s">
        <v>8</v>
      </c>
      <c r="B9" s="194" t="str">
        <f>+IF('Ввод данных'!F6="Please Select","",'Ввод данных'!F6)</f>
        <v>ВИЧ/СПИД/ТБ</v>
      </c>
      <c r="C9" s="108" t="s">
        <v>354</v>
      </c>
      <c r="D9" s="161" t="str">
        <f>+'Ввод данных'!B6</f>
        <v>KGZ-C-UNDP</v>
      </c>
      <c r="E9" s="752" t="s">
        <v>355</v>
      </c>
      <c r="F9" s="752"/>
      <c r="G9" s="162">
        <f>+IF(ISBLANK('Ввод данных'!B10),"",'Ввод данных'!B10)</f>
        <v>44197</v>
      </c>
      <c r="H9" s="204" t="s">
        <v>356</v>
      </c>
      <c r="I9" s="751" t="str">
        <f>+IF(ISBLANK('Ввод данных'!H6),"",'Ввод данных'!H6)</f>
        <v xml:space="preserve">34061297
</v>
      </c>
      <c r="J9" s="751"/>
      <c r="K9" s="32"/>
      <c r="L9" s="32"/>
      <c r="M9" s="32"/>
      <c r="N9" s="32"/>
      <c r="O9" s="34"/>
      <c r="P9" s="33"/>
      <c r="Q9" s="34"/>
      <c r="R9" s="35"/>
      <c r="S9" s="12"/>
      <c r="T9" s="8"/>
      <c r="U9" s="8"/>
      <c r="V9" s="7"/>
      <c r="W9" s="7"/>
      <c r="X9" s="7"/>
    </row>
    <row r="10" spans="1:24" ht="15.75" customHeight="1">
      <c r="A10" s="388" t="s">
        <v>14</v>
      </c>
      <c r="B10" s="195" t="str">
        <f>+IF('Ввод данных'!F8="Please Select","",'Ввод данных'!F8)</f>
        <v>GS6</v>
      </c>
      <c r="C10" s="108" t="s">
        <v>16</v>
      </c>
      <c r="D10" s="193">
        <f>+IF('Ввод данных'!H8="Please Select","",'Ввод данных'!H8)</f>
        <v>0</v>
      </c>
      <c r="E10" s="756" t="s">
        <v>12</v>
      </c>
      <c r="F10" s="898"/>
      <c r="G10" s="749" t="str">
        <f>+'Ввод данных'!B8</f>
        <v>ПРООН</v>
      </c>
      <c r="H10" s="749"/>
      <c r="I10" s="749"/>
      <c r="J10" s="749"/>
      <c r="K10" s="12"/>
      <c r="L10" s="12"/>
      <c r="M10" s="32"/>
      <c r="N10" s="12"/>
      <c r="O10" s="34"/>
      <c r="P10" s="33"/>
      <c r="Q10" s="8"/>
      <c r="R10" s="35"/>
      <c r="S10" s="12"/>
      <c r="T10" s="8"/>
      <c r="U10" s="8"/>
    </row>
    <row r="11" spans="1:24" ht="31.5" customHeight="1">
      <c r="A11" s="388" t="s">
        <v>357</v>
      </c>
      <c r="B11" s="387" t="str">
        <f>+'Ввод данных'!B16</f>
        <v>P3</v>
      </c>
      <c r="C11" s="157" t="s">
        <v>27</v>
      </c>
      <c r="D11" s="390">
        <f>+IF(ISBLANK('Ввод данных'!D16),"",'Ввод данных'!D16)</f>
        <v>44927</v>
      </c>
      <c r="E11" s="752" t="s">
        <v>358</v>
      </c>
      <c r="F11" s="752"/>
      <c r="G11" s="390">
        <f>+IF(ISBLANK('Ввод данных'!F16),"",'Ввод данных'!F16)</f>
        <v>45291</v>
      </c>
      <c r="H11" s="203" t="s">
        <v>359</v>
      </c>
      <c r="I11" s="757" t="str">
        <f>+IF('Ввод данных'!B12="Пожалуйста Выберите","",'Ввод данных'!B12)</f>
        <v>B2</v>
      </c>
      <c r="J11" s="757"/>
      <c r="K11" s="53"/>
      <c r="L11" s="12"/>
      <c r="M11" s="32"/>
      <c r="N11" s="12"/>
      <c r="O11" s="12"/>
      <c r="P11" s="33"/>
      <c r="Q11" s="8"/>
      <c r="R11" s="35"/>
      <c r="S11" s="12"/>
      <c r="T11" s="9"/>
      <c r="U11" s="8"/>
    </row>
    <row r="12" spans="1:24" ht="31.5" customHeight="1">
      <c r="A12" s="197" t="s">
        <v>18</v>
      </c>
      <c r="B12" s="749" t="str">
        <f>+IF('Ввод данных'!F10="Пожалуйста Выберите","",'Ввод данных'!F10)</f>
        <v>UNOPS</v>
      </c>
      <c r="C12" s="749"/>
      <c r="D12" s="749"/>
      <c r="E12" s="753" t="s">
        <v>360</v>
      </c>
      <c r="F12" s="753"/>
      <c r="G12" s="749" t="str">
        <f>+'Ввод данных'!F12</f>
        <v>Корина Максим</v>
      </c>
      <c r="H12" s="749"/>
      <c r="I12" s="749"/>
      <c r="J12" s="749"/>
      <c r="K12" s="12"/>
      <c r="L12" s="12"/>
      <c r="M12" s="32"/>
      <c r="N12" s="12"/>
      <c r="O12" s="12"/>
      <c r="P12" s="33"/>
      <c r="Q12" s="8"/>
      <c r="R12" s="35"/>
      <c r="S12" s="12"/>
      <c r="T12" s="8"/>
      <c r="U12" s="36"/>
      <c r="V12" s="8"/>
      <c r="W12" s="9"/>
      <c r="X12" s="8"/>
    </row>
    <row r="13" spans="1:24" ht="27.75" customHeight="1">
      <c r="A13" s="196" t="s">
        <v>361</v>
      </c>
      <c r="B13" s="749" t="str">
        <f>+'Ввод данных'!C18</f>
        <v>ПРООН</v>
      </c>
      <c r="C13" s="749"/>
      <c r="D13" s="749"/>
      <c r="E13" s="753" t="s">
        <v>362</v>
      </c>
      <c r="F13" s="753"/>
      <c r="G13" s="758">
        <f>+IF(ISBLANK('Ввод данных'!I16),"",'Ввод данных'!I16)</f>
        <v>45484</v>
      </c>
      <c r="H13" s="898"/>
      <c r="I13" s="898"/>
      <c r="J13" s="898"/>
      <c r="K13" s="12"/>
      <c r="L13" s="13"/>
      <c r="M13" s="13"/>
      <c r="N13" s="13"/>
      <c r="O13" s="12"/>
      <c r="P13" s="13"/>
      <c r="Q13" s="13"/>
      <c r="R13" s="35"/>
      <c r="S13" s="12"/>
      <c r="T13" s="13"/>
      <c r="U13" s="37"/>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15"/>
      <c r="D16" s="10"/>
      <c r="E16" s="351"/>
      <c r="L16" s="10"/>
      <c r="M16" s="10"/>
      <c r="N16" s="10"/>
      <c r="O16" s="10"/>
      <c r="P16" s="10"/>
      <c r="Q16" s="10"/>
      <c r="R16" s="10"/>
      <c r="S16" s="10"/>
      <c r="T16" s="10"/>
      <c r="U16" s="10"/>
    </row>
    <row r="17" spans="1:5">
      <c r="A17" s="10"/>
      <c r="B17" s="10"/>
      <c r="C17" s="10"/>
      <c r="D17" s="10"/>
      <c r="E17" s="10"/>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B1:Q36"/>
  <sheetViews>
    <sheetView showGridLines="0" zoomScale="110" zoomScaleNormal="110" workbookViewId="0">
      <selection activeCell="K23" sqref="K23:M23"/>
    </sheetView>
  </sheetViews>
  <sheetFormatPr defaultColWidth="11" defaultRowHeight="14.45"/>
  <cols>
    <col min="1" max="1" width="3.7109375" customWidth="1"/>
    <col min="2" max="2" width="11.7109375" customWidth="1"/>
    <col min="3" max="3" width="5.28515625" customWidth="1"/>
    <col min="4" max="4" width="12.42578125" customWidth="1"/>
    <col min="5" max="5" width="11.42578125" customWidth="1"/>
    <col min="6" max="6" width="14.28515625" customWidth="1"/>
    <col min="7" max="9" width="3.7109375" customWidth="1"/>
    <col min="10" max="10" width="10.28515625" customWidth="1"/>
    <col min="11" max="11" width="14.7109375" customWidth="1"/>
    <col min="12" max="12" width="12" customWidth="1"/>
    <col min="13" max="13" width="11.7109375" customWidth="1"/>
  </cols>
  <sheetData>
    <row r="1" spans="2:17" ht="30.75" customHeight="1"/>
    <row r="2" spans="2:17" ht="27.75" customHeight="1">
      <c r="B2" s="763" t="str">
        <f>+"Панель показателей:  "&amp;"  "&amp;IF(+'Ввод данных'!B4="Выберите","",'Ввод данных'!B4&amp;" - ")&amp;IF('Ввод данных'!F6="Выберите","",'Ввод данных'!F6)</f>
        <v>Панель показателей:    Кыргызстан - ВИЧ/СПИД/ТБ</v>
      </c>
      <c r="C2" s="763"/>
      <c r="D2" s="763"/>
      <c r="E2" s="763"/>
      <c r="F2" s="763"/>
      <c r="G2" s="763"/>
      <c r="H2" s="763"/>
      <c r="I2" s="763"/>
      <c r="J2" s="763"/>
      <c r="K2" s="763"/>
      <c r="L2" s="763"/>
      <c r="M2" s="763"/>
      <c r="N2" s="1"/>
      <c r="O2" s="1"/>
      <c r="P2" s="1"/>
      <c r="Q2" s="1"/>
    </row>
    <row r="3" spans="2:17">
      <c r="B3" s="198" t="str">
        <f>+IF('Ввод данных'!F8="Выберите","",'Ввод данных'!F8)</f>
        <v>GS6</v>
      </c>
      <c r="C3" s="768"/>
      <c r="D3" s="768"/>
      <c r="E3" s="767"/>
      <c r="F3" s="767"/>
      <c r="G3" s="767"/>
      <c r="H3" s="767"/>
      <c r="I3" s="767"/>
      <c r="J3" s="767"/>
      <c r="K3" s="765" t="str">
        <f>+'Ввод данных'!A16</f>
        <v>Отчетный период</v>
      </c>
      <c r="L3" s="765"/>
      <c r="M3" s="93" t="str">
        <f>+'Ввод данных'!B16</f>
        <v>P3</v>
      </c>
      <c r="N3" s="53"/>
    </row>
    <row r="4" spans="2:17" ht="21.6">
      <c r="B4" s="205" t="str">
        <f>+'Ввод данных'!A12</f>
        <v>Последняя оценка:</v>
      </c>
      <c r="C4" s="769" t="str">
        <f>+IF('Ввод данных'!B12="Выберите","",'Ввод данных'!B12)</f>
        <v>B2</v>
      </c>
      <c r="D4" s="769"/>
      <c r="E4" s="767" t="str">
        <f>+'Ввод данных'!B8</f>
        <v>ПРООН</v>
      </c>
      <c r="F4" s="767"/>
      <c r="G4" s="767"/>
      <c r="H4" s="767"/>
      <c r="I4" s="767"/>
      <c r="J4" s="767"/>
      <c r="K4" s="765" t="str">
        <f>+'Ввод данных'!C16</f>
        <v>с:</v>
      </c>
      <c r="L4" s="766"/>
      <c r="M4" s="94">
        <f>+IF(ISBLANK('Ввод данных'!D16),"",'Ввод данных'!D16)</f>
        <v>44927</v>
      </c>
    </row>
    <row r="5" spans="2:17" ht="18.75" customHeight="1">
      <c r="B5" s="84"/>
      <c r="C5" s="84"/>
      <c r="D5" s="764" t="str">
        <f>+'Ввод данных'!F4</f>
        <v>«Эффективный контроль за ВИЧ-инфекцией и туберкулезом в Кыргызской Республике»</v>
      </c>
      <c r="E5" s="764"/>
      <c r="F5" s="764"/>
      <c r="G5" s="764"/>
      <c r="H5" s="764"/>
      <c r="I5" s="764"/>
      <c r="J5" s="764"/>
      <c r="K5" s="764"/>
      <c r="L5" s="84" t="str">
        <f>+'Ввод данных'!E16</f>
        <v>до:</v>
      </c>
      <c r="M5" s="94">
        <f>+IF(ISBLANK('Ввод данных'!F16),"",'Ввод данных'!F16)</f>
        <v>45291</v>
      </c>
    </row>
    <row r="6" spans="2:17" ht="18">
      <c r="B6" s="15"/>
      <c r="C6" s="84"/>
      <c r="D6" s="82"/>
      <c r="E6" s="770" t="s">
        <v>363</v>
      </c>
      <c r="F6" s="770"/>
      <c r="G6" s="770"/>
      <c r="H6" s="770"/>
      <c r="I6" s="770"/>
      <c r="J6" s="770"/>
    </row>
    <row r="7" spans="2:17" ht="10.5" customHeight="1">
      <c r="B7" s="15"/>
      <c r="C7" s="84"/>
      <c r="D7" s="85"/>
      <c r="E7" s="86"/>
      <c r="F7" s="86"/>
      <c r="G7" s="86"/>
      <c r="H7" s="86"/>
      <c r="I7" s="86"/>
      <c r="J7" s="86"/>
      <c r="K7" s="391"/>
      <c r="L7" s="391"/>
      <c r="M7" s="83"/>
    </row>
    <row r="8" spans="2:17">
      <c r="B8" s="97" t="str">
        <f>+'Ввод данных'!A27&amp; " - в ("&amp;'Ввод данных'!C26&amp;")  "&amp;+K3&amp;" "&amp;+M3</f>
        <v>F1: Бюджет и выплаты Глобальным фондом - в ($)  Отчетный период P3</v>
      </c>
      <c r="C8" s="87"/>
      <c r="J8" s="97" t="str">
        <f>+'Ввод данных'!A66&amp; " - в ("&amp;'Ввод данных'!C26&amp;")         "&amp;+K3&amp;" "&amp;+M3</f>
        <v>F3: Выплаты и расходы - в ($)         Отчетный период P3</v>
      </c>
    </row>
    <row r="9" spans="2:17" ht="21.75" customHeight="1">
      <c r="B9" s="163" t="s">
        <v>364</v>
      </c>
      <c r="C9" s="776" t="s">
        <v>365</v>
      </c>
      <c r="D9" s="777"/>
      <c r="E9" s="777"/>
      <c r="F9" s="778"/>
      <c r="J9" s="164" t="s">
        <v>364</v>
      </c>
      <c r="K9" s="779" t="s">
        <v>366</v>
      </c>
      <c r="L9" s="777"/>
      <c r="M9" s="778"/>
    </row>
    <row r="22" spans="2:13" ht="17.25" customHeight="1">
      <c r="B22" s="97" t="str">
        <f>+'Ввод данных'!A36&amp; " - в ("&amp;'Ввод данных'!C26&amp;")  "&amp;+K3&amp;" "&amp;+M3</f>
        <v>F2: Бюджет и фактические расходы согласно задачам гранта - в ($)  Отчетный период P3</v>
      </c>
      <c r="J22" s="97" t="str">
        <f>+'Ввод данных'!A75&amp;"      "&amp;+K3&amp;" "&amp;+M3</f>
        <v>F4: Последний отчетный и платежный цикл ОР      Отчетный период P3</v>
      </c>
    </row>
    <row r="23" spans="2:13" ht="25.5" customHeight="1">
      <c r="B23" s="163" t="s">
        <v>364</v>
      </c>
      <c r="C23" s="779" t="s">
        <v>367</v>
      </c>
      <c r="D23" s="777"/>
      <c r="E23" s="777"/>
      <c r="F23" s="778"/>
      <c r="G23" s="175"/>
      <c r="H23" s="175"/>
      <c r="I23" s="175"/>
      <c r="J23" s="163" t="s">
        <v>364</v>
      </c>
      <c r="K23" s="779" t="s">
        <v>368</v>
      </c>
      <c r="L23" s="780"/>
      <c r="M23" s="781"/>
    </row>
    <row r="24" spans="2:13" ht="15" thickBot="1">
      <c r="B24" s="104"/>
      <c r="C24" s="104"/>
      <c r="D24" s="104"/>
      <c r="E24" s="104"/>
      <c r="F24" s="104"/>
      <c r="G24" s="104"/>
      <c r="H24" s="104"/>
      <c r="I24" s="104"/>
      <c r="J24" s="104"/>
      <c r="K24" s="104"/>
      <c r="L24" s="104"/>
      <c r="M24" s="104"/>
    </row>
    <row r="25" spans="2:13" ht="29.25" customHeight="1" thickBot="1">
      <c r="G25" s="155"/>
      <c r="H25" s="155"/>
      <c r="I25" s="155"/>
      <c r="J25" s="771" t="s">
        <v>117</v>
      </c>
      <c r="K25" s="772"/>
      <c r="L25" s="772"/>
      <c r="M25" s="773"/>
    </row>
    <row r="26" spans="2:13" ht="24.6">
      <c r="J26" s="774"/>
      <c r="K26" s="775"/>
      <c r="L26" s="144" t="s">
        <v>118</v>
      </c>
      <c r="M26" s="145" t="s">
        <v>119</v>
      </c>
    </row>
    <row r="27" spans="2:13" ht="23.25" customHeight="1">
      <c r="G27" s="156"/>
      <c r="H27" s="156"/>
      <c r="I27" s="156"/>
      <c r="J27" s="759" t="str">
        <f>'Ввод данных'!A79</f>
        <v xml:space="preserve">Сколько дней понадобилось для подачи ИОР/ЗПС в офис МАФ </v>
      </c>
      <c r="K27" s="760"/>
      <c r="L27" s="146">
        <f>+'Ввод данных'!C79</f>
        <v>60</v>
      </c>
      <c r="M27" s="143">
        <f>+'Ввод данных'!D79</f>
        <v>60</v>
      </c>
    </row>
    <row r="28" spans="2:13" ht="21" customHeight="1">
      <c r="G28" s="156"/>
      <c r="H28" s="156"/>
      <c r="I28" s="156"/>
      <c r="J28" s="759" t="str">
        <f>'Ввод данных'!A80</f>
        <v xml:space="preserve">Спустя сколько дней ОР получил платеж </v>
      </c>
      <c r="K28" s="760"/>
      <c r="L28" s="146" t="str">
        <f>+'Ввод данных'!C80</f>
        <v>н/п</v>
      </c>
      <c r="M28" s="143" t="str">
        <f>+'Ввод данных'!D80</f>
        <v>н/п</v>
      </c>
    </row>
    <row r="29" spans="2:13" ht="21" customHeight="1" thickBot="1">
      <c r="G29" s="156"/>
      <c r="H29" s="156"/>
      <c r="I29" s="156"/>
      <c r="J29" s="761" t="str">
        <f>'Ввод данных'!A81</f>
        <v>Спустя сколько дней суб-реципиенты получили платежи</v>
      </c>
      <c r="K29" s="762"/>
      <c r="L29" s="147" t="str">
        <f>+'Ввод данных'!C81</f>
        <v>н/п</v>
      </c>
      <c r="M29" s="148" t="str">
        <f>+'Ввод данных'!D81</f>
        <v>н/п</v>
      </c>
    </row>
    <row r="31" spans="2:13">
      <c r="D31" s="116"/>
    </row>
    <row r="32" spans="2:13">
      <c r="D32" s="116"/>
    </row>
    <row r="34" spans="2:2">
      <c r="B34" s="100" t="s">
        <v>369</v>
      </c>
    </row>
    <row r="35" spans="2:2">
      <c r="B35" s="110"/>
    </row>
    <row r="36" spans="2:2">
      <c r="B36" s="100" t="s">
        <v>370</v>
      </c>
    </row>
  </sheetData>
  <sheetProtection password="CFC9" sheet="1"/>
  <mergeCells count="18">
    <mergeCell ref="C23:F23"/>
    <mergeCell ref="K9:M9"/>
    <mergeCell ref="J28:K28"/>
    <mergeCell ref="J29:K29"/>
    <mergeCell ref="B2:M2"/>
    <mergeCell ref="D5:K5"/>
    <mergeCell ref="K4:L4"/>
    <mergeCell ref="K3:L3"/>
    <mergeCell ref="E3:J3"/>
    <mergeCell ref="C3:D3"/>
    <mergeCell ref="C4:D4"/>
    <mergeCell ref="E4:J4"/>
    <mergeCell ref="E6:J6"/>
    <mergeCell ref="J25:M25"/>
    <mergeCell ref="J26:K26"/>
    <mergeCell ref="J27:K27"/>
    <mergeCell ref="C9:F9"/>
    <mergeCell ref="K23:M23"/>
  </mergeCells>
  <phoneticPr fontId="30" type="noConversion"/>
  <conditionalFormatting sqref="C4:D4">
    <cfRule type="cellIs" dxfId="26" priority="3" stopIfTrue="1" operator="equal">
      <formula>"C"</formula>
    </cfRule>
    <cfRule type="cellIs" dxfId="25" priority="4" stopIfTrue="1" operator="equal">
      <formula>"B2"</formula>
    </cfRule>
    <cfRule type="cellIs" dxfId="24" priority="5" stopIfTrue="1" operator="equal">
      <formula>"B1"</formula>
    </cfRule>
  </conditionalFormatting>
  <conditionalFormatting sqref="M27:M29">
    <cfRule type="expression" dxfId="23" priority="1" stopIfTrue="1">
      <formula>$M27&gt;$L27</formula>
    </cfRule>
    <cfRule type="expression" dxfId="22"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B1:AI71"/>
  <sheetViews>
    <sheetView showGridLines="0" zoomScale="60" zoomScaleNormal="60" workbookViewId="0">
      <selection activeCell="L22" sqref="L22:Q22"/>
    </sheetView>
  </sheetViews>
  <sheetFormatPr defaultColWidth="11" defaultRowHeight="14.45"/>
  <cols>
    <col min="1" max="1" width="3.42578125" customWidth="1"/>
    <col min="2" max="2" width="14.28515625" customWidth="1"/>
    <col min="3" max="3" width="16.28515625" customWidth="1"/>
    <col min="4" max="4" width="26.28515625" customWidth="1"/>
    <col min="5" max="5" width="14.42578125" customWidth="1"/>
    <col min="6" max="6" width="11.5703125" customWidth="1"/>
    <col min="7" max="7" width="5.7109375" customWidth="1"/>
    <col min="8" max="8" width="6.28515625" customWidth="1"/>
    <col min="9" max="9" width="6" customWidth="1"/>
    <col min="10" max="10" width="5.5703125" customWidth="1"/>
    <col min="11" max="11" width="39.7109375" customWidth="1"/>
    <col min="12" max="12" width="12.28515625" customWidth="1"/>
    <col min="13" max="13" width="5" customWidth="1"/>
    <col min="14" max="14" width="6.5703125" customWidth="1"/>
    <col min="15" max="15" width="4.28515625" customWidth="1"/>
    <col min="16" max="16" width="10.7109375" customWidth="1"/>
    <col min="17" max="17" width="63.5703125" customWidth="1"/>
    <col min="18" max="18" width="155.28515625" customWidth="1"/>
    <col min="19" max="19" width="21.42578125" customWidth="1"/>
  </cols>
  <sheetData>
    <row r="1" spans="2:35" ht="26.25" customHeight="1"/>
    <row r="2" spans="2:35" ht="21.75" customHeight="1">
      <c r="B2" s="763" t="str">
        <f>+"Панель показателей:  "&amp;"  "&amp;IF(+'Ввод данных'!B4="Выберите","",'Ввод данных'!B4&amp;" - ")&amp;IF('Ввод данных'!F6="Выберите","",'Ввод данных'!F6)</f>
        <v>Панель показателей:    Кыргызстан - ВИЧ/СПИД/ТБ</v>
      </c>
      <c r="C2" s="763"/>
      <c r="D2" s="763"/>
      <c r="E2" s="763"/>
      <c r="F2" s="763"/>
      <c r="G2" s="763"/>
      <c r="H2" s="763"/>
      <c r="I2" s="763"/>
      <c r="J2" s="763"/>
      <c r="K2" s="763"/>
      <c r="L2" s="763"/>
      <c r="M2" s="763"/>
      <c r="N2" s="763"/>
      <c r="O2" s="763"/>
      <c r="P2" s="763"/>
      <c r="Q2" s="763"/>
    </row>
    <row r="3" spans="2:35" ht="18">
      <c r="B3" s="84" t="str">
        <f>+IF('Ввод данных'!F8="Выберите","",'Ввод данных'!F8)</f>
        <v>GS6</v>
      </c>
      <c r="C3" s="768">
        <f>+IF('Ввод данных'!H8="Выберите","",'Ввод данных'!H8)</f>
        <v>0</v>
      </c>
      <c r="D3" s="768"/>
      <c r="E3" s="767"/>
      <c r="F3" s="767"/>
      <c r="G3" s="767"/>
      <c r="H3" s="767"/>
      <c r="I3" s="522"/>
      <c r="J3" s="522"/>
      <c r="K3" s="522"/>
      <c r="O3" s="765" t="str">
        <f>+'Ввод данных'!A16</f>
        <v>Отчетный период</v>
      </c>
      <c r="P3" s="765"/>
      <c r="Q3" s="93" t="str">
        <f>+'Ввод данных'!B16</f>
        <v>P3</v>
      </c>
    </row>
    <row r="4" spans="2:35">
      <c r="B4" s="207" t="str">
        <f>+'Ввод данных'!A12</f>
        <v>Последняя оценка:</v>
      </c>
      <c r="C4" s="868" t="str">
        <f>+IF('Ввод данных'!B12="Выберите","",'Ввод данных'!B12)</f>
        <v>B2</v>
      </c>
      <c r="D4" s="868"/>
      <c r="E4" s="767" t="str">
        <f>+'Ввод данных'!B8</f>
        <v>ПРООН</v>
      </c>
      <c r="F4" s="767"/>
      <c r="G4" s="767"/>
      <c r="H4" s="767"/>
      <c r="I4" s="767"/>
      <c r="J4" s="767"/>
      <c r="K4" s="767"/>
      <c r="L4" s="767"/>
      <c r="O4" s="15"/>
      <c r="P4" s="84" t="str">
        <f>+'Ввод данных'!C16</f>
        <v>с:</v>
      </c>
      <c r="Q4" s="443">
        <v>44927</v>
      </c>
      <c r="Y4" s="12"/>
      <c r="Z4" s="12"/>
      <c r="AA4" s="12"/>
      <c r="AB4" s="12"/>
      <c r="AC4" s="12"/>
    </row>
    <row r="5" spans="2:35" ht="15.75" customHeight="1">
      <c r="B5" s="84"/>
      <c r="C5" s="84"/>
      <c r="D5" s="767" t="str">
        <f>+'Ввод данных'!F4</f>
        <v>«Эффективный контроль за ВИЧ-инфекцией и туберкулезом в Кыргызской Республике»</v>
      </c>
      <c r="E5" s="767"/>
      <c r="F5" s="767"/>
      <c r="G5" s="767"/>
      <c r="H5" s="767"/>
      <c r="I5" s="767"/>
      <c r="J5" s="767"/>
      <c r="K5" s="767"/>
      <c r="L5" s="767"/>
      <c r="M5" s="767"/>
      <c r="N5" s="767"/>
      <c r="P5" s="84" t="str">
        <f>+'Ввод данных'!E16</f>
        <v>до:</v>
      </c>
      <c r="Q5" s="443">
        <v>45291</v>
      </c>
      <c r="S5" s="109"/>
      <c r="T5" s="109"/>
      <c r="U5" s="109"/>
      <c r="V5" s="109"/>
      <c r="W5" s="109"/>
      <c r="X5" s="109"/>
      <c r="Y5" s="12"/>
      <c r="Z5" s="12"/>
      <c r="AA5" s="12" t="s">
        <v>371</v>
      </c>
      <c r="AB5" s="12"/>
      <c r="AC5" s="12" t="s">
        <v>372</v>
      </c>
      <c r="AD5" s="109"/>
      <c r="AE5" s="109"/>
      <c r="AF5" s="109"/>
      <c r="AG5" s="109"/>
      <c r="AH5" s="109"/>
      <c r="AI5" s="109"/>
    </row>
    <row r="6" spans="2:35" ht="15.75" customHeight="1">
      <c r="B6" s="84"/>
      <c r="C6" s="84"/>
      <c r="D6" s="392"/>
      <c r="E6" s="786" t="s">
        <v>373</v>
      </c>
      <c r="F6" s="787"/>
      <c r="G6" s="787"/>
      <c r="H6" s="787"/>
      <c r="I6" s="787"/>
      <c r="J6" s="787"/>
      <c r="K6" s="787"/>
      <c r="L6" s="787"/>
      <c r="O6" s="95"/>
      <c r="P6" s="282"/>
      <c r="S6" s="109"/>
      <c r="T6" s="109"/>
      <c r="U6" s="109"/>
      <c r="V6" s="109"/>
      <c r="W6" s="109"/>
      <c r="X6" s="109"/>
      <c r="Y6" s="12"/>
      <c r="Z6" s="12"/>
      <c r="AA6" s="12"/>
      <c r="AB6" s="12"/>
      <c r="AC6" s="12"/>
      <c r="AD6" s="109"/>
      <c r="AE6" s="109"/>
      <c r="AF6" s="109"/>
      <c r="AG6" s="109"/>
      <c r="AH6" s="109"/>
      <c r="AI6" s="109"/>
    </row>
    <row r="7" spans="2:35" ht="3" customHeight="1">
      <c r="B7" s="84"/>
      <c r="C7" s="84"/>
      <c r="D7" s="392"/>
      <c r="E7" s="392"/>
      <c r="F7" s="392"/>
      <c r="G7" s="392"/>
      <c r="H7" s="392"/>
      <c r="I7" s="392"/>
      <c r="J7" s="392"/>
      <c r="K7" s="392"/>
      <c r="L7" s="392"/>
      <c r="O7" s="95"/>
      <c r="P7" s="94"/>
      <c r="Q7" s="94"/>
      <c r="S7" s="109"/>
      <c r="T7" s="109"/>
      <c r="U7" s="109"/>
      <c r="V7" s="109"/>
      <c r="W7" s="109"/>
      <c r="X7" s="109"/>
      <c r="Y7" s="12"/>
      <c r="Z7" s="12"/>
      <c r="AA7" s="12"/>
      <c r="AB7" s="12"/>
      <c r="AC7" s="12"/>
      <c r="AD7" s="109"/>
      <c r="AE7" s="109"/>
      <c r="AF7" s="109"/>
      <c r="AG7" s="109"/>
      <c r="AH7" s="109"/>
      <c r="AI7" s="109"/>
    </row>
    <row r="8" spans="2:35" ht="60.75" customHeight="1">
      <c r="B8" s="869" t="s">
        <v>215</v>
      </c>
      <c r="C8" s="869"/>
      <c r="D8" s="869"/>
      <c r="E8" s="869"/>
      <c r="F8" s="869" t="s">
        <v>220</v>
      </c>
      <c r="G8" s="869"/>
      <c r="H8" s="869"/>
      <c r="I8" s="869"/>
      <c r="J8" s="869"/>
      <c r="K8" s="869"/>
      <c r="L8" s="869" t="s">
        <v>221</v>
      </c>
      <c r="M8" s="869"/>
      <c r="N8" s="869"/>
      <c r="O8" s="869"/>
      <c r="P8" s="869"/>
      <c r="Q8" s="869"/>
      <c r="S8" s="109"/>
      <c r="T8" s="109"/>
      <c r="U8" s="109"/>
      <c r="V8" s="109"/>
      <c r="W8" s="109"/>
      <c r="X8" s="109"/>
      <c r="Y8" s="12"/>
      <c r="Z8" s="12"/>
      <c r="AA8" s="12"/>
      <c r="AB8" s="12"/>
      <c r="AC8" s="12"/>
      <c r="AD8" s="109"/>
      <c r="AE8" s="109"/>
      <c r="AF8" s="109"/>
      <c r="AG8" s="109"/>
      <c r="AH8" s="109"/>
      <c r="AI8" s="109"/>
    </row>
    <row r="9" spans="2:35" ht="219.6" customHeight="1">
      <c r="B9" s="421" t="s">
        <v>374</v>
      </c>
      <c r="C9" s="870" t="s">
        <v>375</v>
      </c>
      <c r="D9" s="871"/>
      <c r="E9" s="871"/>
      <c r="F9" s="422" t="s">
        <v>374</v>
      </c>
      <c r="G9" s="872" t="s">
        <v>376</v>
      </c>
      <c r="H9" s="873"/>
      <c r="I9" s="873"/>
      <c r="J9" s="873"/>
      <c r="K9" s="874"/>
      <c r="L9" s="422" t="s">
        <v>374</v>
      </c>
      <c r="M9" s="872" t="s">
        <v>377</v>
      </c>
      <c r="N9" s="873"/>
      <c r="O9" s="873"/>
      <c r="P9" s="873"/>
      <c r="Q9" s="874"/>
      <c r="R9" s="521"/>
      <c r="S9" s="319"/>
      <c r="T9" s="109"/>
      <c r="U9" s="109"/>
      <c r="V9" s="109"/>
      <c r="W9" s="109"/>
      <c r="X9" s="109"/>
      <c r="Y9" s="109"/>
      <c r="Z9" s="109"/>
      <c r="AA9" s="109"/>
      <c r="AB9" s="109"/>
      <c r="AC9" s="109"/>
      <c r="AD9" s="109"/>
      <c r="AE9" s="109"/>
      <c r="AF9" s="109"/>
      <c r="AG9" s="109"/>
      <c r="AH9" s="109"/>
      <c r="AI9" s="109"/>
    </row>
    <row r="10" spans="2:35" ht="18.75" customHeight="1">
      <c r="B10" s="84"/>
      <c r="C10" s="84"/>
      <c r="D10" s="392"/>
      <c r="E10" s="392"/>
      <c r="F10" s="392"/>
      <c r="G10" s="392"/>
      <c r="H10" s="392"/>
      <c r="I10" s="392"/>
      <c r="J10" s="392"/>
      <c r="K10" s="392"/>
      <c r="L10" s="392"/>
      <c r="O10" s="95"/>
      <c r="P10" s="94"/>
      <c r="S10" s="109"/>
      <c r="T10" s="109"/>
      <c r="U10" s="109"/>
      <c r="V10" s="109"/>
      <c r="W10" s="109"/>
      <c r="X10" s="109"/>
      <c r="Y10" s="109"/>
      <c r="Z10" s="109"/>
      <c r="AA10" s="109"/>
      <c r="AB10" s="109"/>
      <c r="AC10" s="109"/>
      <c r="AD10" s="109"/>
      <c r="AE10" s="109"/>
      <c r="AF10" s="109"/>
      <c r="AG10" s="109"/>
      <c r="AH10" s="109"/>
      <c r="AI10" s="109"/>
    </row>
    <row r="11" spans="2:35" ht="18.75" customHeight="1">
      <c r="B11" s="84"/>
      <c r="C11" s="84"/>
      <c r="D11" s="392"/>
      <c r="E11" s="392"/>
      <c r="F11" s="392"/>
      <c r="G11" s="392"/>
      <c r="H11" s="392"/>
      <c r="I11" s="392"/>
      <c r="J11" s="392"/>
      <c r="K11" s="392"/>
      <c r="L11" s="392"/>
      <c r="O11" s="95"/>
      <c r="P11" s="94"/>
      <c r="S11" s="109"/>
      <c r="T11" s="109"/>
      <c r="U11" s="109"/>
      <c r="V11" s="109"/>
      <c r="W11" s="109"/>
      <c r="X11" s="109"/>
      <c r="Y11" s="109"/>
      <c r="Z11" s="109"/>
      <c r="AA11" s="109"/>
      <c r="AB11" s="109"/>
      <c r="AC11" s="109"/>
      <c r="AD11" s="109"/>
      <c r="AE11" s="109"/>
      <c r="AF11" s="109"/>
      <c r="AG11" s="109"/>
      <c r="AH11" s="109"/>
      <c r="AI11" s="109"/>
    </row>
    <row r="12" spans="2:35" ht="18.75" customHeight="1">
      <c r="B12" s="84"/>
      <c r="C12" s="84"/>
      <c r="D12" s="392"/>
      <c r="E12" s="392"/>
      <c r="F12" s="392"/>
      <c r="G12" s="392"/>
      <c r="H12" s="392"/>
      <c r="I12" s="392"/>
      <c r="J12" s="392"/>
      <c r="K12" s="392"/>
      <c r="L12" s="392"/>
      <c r="O12" s="95"/>
      <c r="P12" s="94"/>
      <c r="S12" s="109"/>
      <c r="T12" s="109"/>
      <c r="U12" s="109"/>
      <c r="V12" s="109"/>
      <c r="W12" s="109"/>
      <c r="X12" s="109"/>
      <c r="Y12" s="109"/>
      <c r="Z12" s="109"/>
      <c r="AA12" s="109"/>
      <c r="AB12" s="109"/>
      <c r="AC12" s="109"/>
      <c r="AD12" s="109"/>
      <c r="AE12" s="109"/>
      <c r="AF12" s="109"/>
      <c r="AG12" s="109"/>
      <c r="AH12" s="109"/>
      <c r="AI12" s="109"/>
    </row>
    <row r="13" spans="2:35" ht="18.75" customHeight="1">
      <c r="B13" s="84"/>
      <c r="C13" s="84"/>
      <c r="D13" s="392"/>
      <c r="E13" s="392"/>
      <c r="F13" s="392"/>
      <c r="G13" s="392"/>
      <c r="H13" s="392"/>
      <c r="I13" s="392"/>
      <c r="J13" s="392"/>
      <c r="K13" s="392"/>
      <c r="L13" s="392"/>
      <c r="O13" s="95"/>
      <c r="P13" s="94"/>
      <c r="S13" s="109"/>
      <c r="T13" s="109"/>
      <c r="U13" s="109"/>
      <c r="V13" s="109"/>
      <c r="W13" s="109"/>
      <c r="X13" s="109"/>
      <c r="Y13" s="109"/>
      <c r="Z13" s="109"/>
      <c r="AA13" s="109"/>
      <c r="AB13" s="109"/>
      <c r="AC13" s="109"/>
      <c r="AD13" s="109"/>
      <c r="AE13" s="109"/>
      <c r="AF13" s="109"/>
      <c r="AG13" s="109"/>
      <c r="AH13" s="109"/>
      <c r="AI13" s="109"/>
    </row>
    <row r="14" spans="2:35" ht="18.75" customHeight="1">
      <c r="B14" s="84"/>
      <c r="C14" s="84"/>
      <c r="D14" s="392"/>
      <c r="E14" s="392"/>
      <c r="F14" s="392"/>
      <c r="G14" s="392"/>
      <c r="H14" s="392"/>
      <c r="I14" s="392"/>
      <c r="J14" s="392"/>
      <c r="K14" s="392"/>
      <c r="L14" s="392"/>
      <c r="O14" s="95"/>
      <c r="P14" s="94"/>
      <c r="S14" s="109"/>
      <c r="T14" s="109"/>
      <c r="U14" s="109"/>
      <c r="V14" s="109"/>
      <c r="W14" s="109"/>
      <c r="X14" s="109"/>
      <c r="Y14" s="109"/>
      <c r="Z14" s="109"/>
      <c r="AA14" s="109"/>
      <c r="AB14" s="109"/>
      <c r="AC14" s="109"/>
      <c r="AD14" s="109"/>
      <c r="AE14" s="109"/>
      <c r="AF14" s="109"/>
      <c r="AG14" s="109"/>
      <c r="AH14" s="109"/>
      <c r="AI14" s="109"/>
    </row>
    <row r="15" spans="2:35" ht="18.75" customHeight="1">
      <c r="B15" s="84"/>
      <c r="C15" s="84"/>
      <c r="D15" s="392"/>
      <c r="E15" s="392"/>
      <c r="F15" s="392"/>
      <c r="G15" s="392"/>
      <c r="H15" s="392"/>
      <c r="I15" s="392"/>
      <c r="J15" s="392"/>
      <c r="K15" s="392"/>
      <c r="L15" s="392"/>
      <c r="O15" s="95"/>
      <c r="P15" s="94"/>
      <c r="S15" s="109"/>
      <c r="T15" s="109"/>
      <c r="U15" s="109"/>
      <c r="V15" s="109"/>
      <c r="W15" s="109"/>
      <c r="X15" s="109"/>
      <c r="Y15" s="109"/>
      <c r="Z15" s="109"/>
      <c r="AA15" s="109"/>
      <c r="AB15" s="109"/>
      <c r="AC15" s="109"/>
      <c r="AD15" s="109"/>
      <c r="AE15" s="109"/>
      <c r="AF15" s="109"/>
      <c r="AG15" s="109"/>
      <c r="AH15" s="109"/>
      <c r="AI15" s="109"/>
    </row>
    <row r="16" spans="2:35" ht="18.75" customHeight="1">
      <c r="B16" s="84"/>
      <c r="C16" s="84"/>
      <c r="D16" s="392"/>
      <c r="E16" s="392"/>
      <c r="F16" s="392"/>
      <c r="G16" s="392"/>
      <c r="H16" s="392"/>
      <c r="I16" s="392"/>
      <c r="J16" s="392"/>
      <c r="K16" s="392"/>
      <c r="L16" s="392"/>
      <c r="O16" s="95"/>
      <c r="P16" s="94"/>
      <c r="S16" s="109"/>
      <c r="T16" s="109"/>
      <c r="U16" s="109"/>
      <c r="V16" s="109"/>
      <c r="W16" s="109"/>
      <c r="X16" s="109"/>
      <c r="Y16" s="109"/>
      <c r="Z16" s="109"/>
      <c r="AA16" s="109"/>
      <c r="AB16" s="109"/>
      <c r="AC16" s="109"/>
      <c r="AD16" s="109"/>
      <c r="AE16" s="109"/>
      <c r="AF16" s="109"/>
      <c r="AG16" s="109"/>
      <c r="AH16" s="109"/>
      <c r="AI16" s="109"/>
    </row>
    <row r="17" spans="2:35" ht="18.75" customHeight="1">
      <c r="B17" s="84"/>
      <c r="C17" s="84"/>
      <c r="D17" s="392"/>
      <c r="E17" s="392"/>
      <c r="F17" s="392"/>
      <c r="G17" s="392"/>
      <c r="H17" s="392"/>
      <c r="I17" s="392"/>
      <c r="J17" s="392"/>
      <c r="K17" s="392"/>
      <c r="L17" s="392"/>
      <c r="O17" s="95"/>
      <c r="P17" s="94"/>
      <c r="S17" s="109"/>
      <c r="T17" s="109"/>
      <c r="U17" s="109"/>
      <c r="V17" s="109"/>
      <c r="W17" s="109"/>
      <c r="X17" s="109"/>
      <c r="Y17" s="109"/>
      <c r="Z17" s="109"/>
      <c r="AA17" s="109"/>
      <c r="AB17" s="109"/>
      <c r="AC17" s="109"/>
      <c r="AD17" s="109"/>
      <c r="AE17" s="109"/>
      <c r="AF17" s="109"/>
      <c r="AG17" s="109"/>
      <c r="AH17" s="109"/>
      <c r="AI17" s="109"/>
    </row>
    <row r="18" spans="2:35" ht="18.75" customHeight="1">
      <c r="B18" s="84"/>
      <c r="C18" s="84"/>
      <c r="D18" s="392"/>
      <c r="E18" s="392"/>
      <c r="F18" s="392"/>
      <c r="G18" s="392"/>
      <c r="H18" s="392"/>
      <c r="I18" s="392"/>
      <c r="J18" s="392"/>
      <c r="K18" s="392"/>
      <c r="L18" s="392"/>
      <c r="O18" s="95"/>
      <c r="P18" s="94"/>
      <c r="S18" s="109"/>
      <c r="T18" s="109"/>
      <c r="U18" s="109"/>
      <c r="V18" s="109"/>
      <c r="W18" s="109"/>
      <c r="X18" s="109"/>
      <c r="Y18" s="109"/>
      <c r="Z18" s="109"/>
      <c r="AA18" s="109"/>
      <c r="AB18" s="109"/>
      <c r="AC18" s="109"/>
      <c r="AD18" s="109"/>
      <c r="AE18" s="109"/>
      <c r="AF18" s="109"/>
      <c r="AG18" s="109"/>
      <c r="AH18" s="109"/>
      <c r="AI18" s="109"/>
    </row>
    <row r="19" spans="2:35" ht="17.25" customHeight="1">
      <c r="B19" s="84"/>
      <c r="C19" s="84"/>
      <c r="D19" s="392"/>
      <c r="E19" s="392"/>
      <c r="F19" s="392"/>
      <c r="G19" s="392"/>
      <c r="H19" s="392"/>
      <c r="I19" s="392"/>
      <c r="J19" s="392"/>
      <c r="K19" s="392"/>
      <c r="L19" s="392"/>
      <c r="O19" s="95"/>
      <c r="P19" s="94"/>
      <c r="S19" s="109"/>
      <c r="T19" s="109"/>
      <c r="U19" s="109"/>
      <c r="V19" s="109"/>
      <c r="W19" s="109"/>
      <c r="X19" s="109"/>
      <c r="Y19" s="109"/>
      <c r="Z19" s="109"/>
      <c r="AA19" s="109"/>
      <c r="AB19" s="109"/>
      <c r="AC19" s="109"/>
      <c r="AD19" s="109"/>
      <c r="AE19" s="109"/>
      <c r="AF19" s="109"/>
      <c r="AG19" s="109"/>
      <c r="AH19" s="109"/>
      <c r="AI19" s="109"/>
    </row>
    <row r="20" spans="2:35" ht="6" customHeight="1">
      <c r="B20" s="15"/>
      <c r="C20" s="84"/>
      <c r="D20" s="82"/>
      <c r="E20" s="825"/>
      <c r="F20" s="825"/>
      <c r="G20" s="825"/>
      <c r="H20" s="825"/>
      <c r="I20" s="825"/>
      <c r="J20" s="825"/>
      <c r="K20" s="825"/>
      <c r="S20" s="109"/>
      <c r="T20" s="109"/>
      <c r="U20" s="109"/>
      <c r="V20" s="109"/>
      <c r="W20" s="109"/>
      <c r="X20" s="109"/>
      <c r="Y20" s="109"/>
      <c r="Z20" s="109"/>
      <c r="AA20" s="109"/>
      <c r="AB20" s="109"/>
      <c r="AC20" s="109"/>
      <c r="AD20" s="109"/>
      <c r="AE20" s="109"/>
      <c r="AF20" s="109"/>
      <c r="AG20" s="109"/>
      <c r="AH20" s="109"/>
      <c r="AI20" s="109"/>
    </row>
    <row r="21" spans="2:35" ht="45" customHeight="1">
      <c r="B21" s="875" t="s">
        <v>378</v>
      </c>
      <c r="C21" s="875"/>
      <c r="D21" s="875"/>
      <c r="E21" s="397" t="s">
        <v>218</v>
      </c>
      <c r="F21" s="397" t="s">
        <v>248</v>
      </c>
      <c r="G21" s="859" t="s">
        <v>379</v>
      </c>
      <c r="H21" s="860"/>
      <c r="I21" s="808" t="s">
        <v>380</v>
      </c>
      <c r="J21" s="809"/>
      <c r="K21" s="283" t="s">
        <v>381</v>
      </c>
      <c r="L21" s="798" t="s">
        <v>382</v>
      </c>
      <c r="M21" s="799"/>
      <c r="N21" s="799"/>
      <c r="O21" s="799"/>
      <c r="P21" s="799"/>
      <c r="Q21" s="800"/>
      <c r="S21" s="43" t="s">
        <v>383</v>
      </c>
      <c r="T21" s="44">
        <v>0</v>
      </c>
      <c r="U21" s="45">
        <v>0.3</v>
      </c>
      <c r="V21" s="45">
        <v>0.6</v>
      </c>
      <c r="W21" s="45">
        <v>0.9</v>
      </c>
      <c r="X21" s="45">
        <v>1</v>
      </c>
      <c r="Y21" s="12"/>
      <c r="Z21" s="12"/>
      <c r="AA21" s="43" t="s">
        <v>383</v>
      </c>
      <c r="AB21" s="44">
        <v>0</v>
      </c>
      <c r="AC21" s="45">
        <v>0.2</v>
      </c>
      <c r="AD21" s="45">
        <v>0.4</v>
      </c>
      <c r="AE21" s="45">
        <v>0.6</v>
      </c>
      <c r="AF21" s="45">
        <v>0.8</v>
      </c>
      <c r="AG21" s="12"/>
      <c r="AH21" s="12"/>
      <c r="AI21" s="12"/>
    </row>
    <row r="22" spans="2:35" ht="132" customHeight="1">
      <c r="B22" s="810" t="s">
        <v>215</v>
      </c>
      <c r="C22" s="811"/>
      <c r="D22" s="812"/>
      <c r="E22" s="423">
        <v>0.8</v>
      </c>
      <c r="F22" s="466">
        <v>0.79320000000000002</v>
      </c>
      <c r="G22" s="792">
        <v>0.99</v>
      </c>
      <c r="H22" s="793"/>
      <c r="I22" s="793"/>
      <c r="J22" s="793"/>
      <c r="K22" s="794"/>
      <c r="L22" s="813" t="s">
        <v>384</v>
      </c>
      <c r="M22" s="813"/>
      <c r="N22" s="813"/>
      <c r="O22" s="813"/>
      <c r="P22" s="813"/>
      <c r="Q22" s="813"/>
      <c r="S22" s="43" t="s">
        <v>385</v>
      </c>
      <c r="T22" s="45">
        <v>0.3</v>
      </c>
      <c r="U22" s="45">
        <v>0.6</v>
      </c>
      <c r="V22" s="45">
        <v>0.9</v>
      </c>
      <c r="W22" s="45">
        <v>1</v>
      </c>
      <c r="X22" s="45">
        <v>2</v>
      </c>
      <c r="Y22" s="12"/>
      <c r="Z22" s="12"/>
      <c r="AA22" s="43" t="s">
        <v>385</v>
      </c>
      <c r="AB22" s="45">
        <v>0.2</v>
      </c>
      <c r="AC22" s="45">
        <v>0.4</v>
      </c>
      <c r="AD22" s="45">
        <v>0.6</v>
      </c>
      <c r="AE22" s="45">
        <v>0.8</v>
      </c>
      <c r="AF22" s="45">
        <v>1</v>
      </c>
      <c r="AG22" s="12"/>
      <c r="AH22" s="12"/>
      <c r="AI22" s="12"/>
    </row>
    <row r="23" spans="2:35" ht="144.6" customHeight="1">
      <c r="B23" s="814" t="s">
        <v>220</v>
      </c>
      <c r="C23" s="814"/>
      <c r="D23" s="814"/>
      <c r="E23" s="424" t="s">
        <v>386</v>
      </c>
      <c r="F23" s="466">
        <v>0.89039999999999997</v>
      </c>
      <c r="G23" s="792">
        <v>0.99</v>
      </c>
      <c r="H23" s="793"/>
      <c r="I23" s="793"/>
      <c r="J23" s="793"/>
      <c r="K23" s="794"/>
      <c r="L23" s="813" t="s">
        <v>387</v>
      </c>
      <c r="M23" s="813"/>
      <c r="N23" s="813"/>
      <c r="O23" s="813"/>
      <c r="P23" s="813"/>
      <c r="Q23" s="813"/>
      <c r="S23" s="46"/>
      <c r="T23" s="47" t="str">
        <f>"de "&amp;T21&amp;" a "&amp;T22</f>
        <v>de 0 a 0,3</v>
      </c>
      <c r="U23" s="47" t="str">
        <f>"de "&amp;U21&amp;" a "&amp;U22</f>
        <v>de 0,3 a 0,6</v>
      </c>
      <c r="V23" s="47" t="str">
        <f>"de "&amp;V21&amp;" a "&amp;V22</f>
        <v>de 0,6 a 0,9</v>
      </c>
      <c r="W23" s="47" t="str">
        <f>"de "&amp;W21&amp;" a "&amp;W22</f>
        <v>de 0,9 a 1</v>
      </c>
      <c r="X23" s="47" t="str">
        <f>"de "&amp;X21&amp;" a "&amp;X22</f>
        <v>de 1 a 2</v>
      </c>
      <c r="Y23" s="12"/>
      <c r="Z23" s="12" t="s">
        <v>388</v>
      </c>
      <c r="AA23" s="46" t="s">
        <v>372</v>
      </c>
      <c r="AB23" s="47" t="str">
        <f>"de "&amp;AB21&amp;" a "&amp;AB22</f>
        <v>de 0 a 0,2</v>
      </c>
      <c r="AC23" s="47" t="str">
        <f>"de "&amp;AC21&amp;" a "&amp;AC22</f>
        <v>de 0,2 a 0,4</v>
      </c>
      <c r="AD23" s="47" t="str">
        <f>"de "&amp;AD21&amp;" a "&amp;AD22</f>
        <v>de 0,4 a 0,6</v>
      </c>
      <c r="AE23" s="47" t="str">
        <f>"de "&amp;AE21&amp;" a "&amp;AE22</f>
        <v>de 0,6 a 0,8</v>
      </c>
      <c r="AF23" s="47" t="str">
        <f>"de "&amp;AF21&amp;" a "&amp;AF22</f>
        <v>de 0,8 a 1</v>
      </c>
      <c r="AG23" s="12"/>
      <c r="AH23" s="12"/>
      <c r="AI23" s="12"/>
    </row>
    <row r="24" spans="2:35" ht="265.14999999999998" customHeight="1">
      <c r="B24" s="789" t="s">
        <v>221</v>
      </c>
      <c r="C24" s="790"/>
      <c r="D24" s="791"/>
      <c r="E24" s="423">
        <v>0.9</v>
      </c>
      <c r="F24" s="466">
        <v>0.57750000000000001</v>
      </c>
      <c r="G24" s="792">
        <v>0.64</v>
      </c>
      <c r="H24" s="793"/>
      <c r="I24" s="793"/>
      <c r="J24" s="793"/>
      <c r="K24" s="794"/>
      <c r="L24" s="865" t="s">
        <v>389</v>
      </c>
      <c r="M24" s="866"/>
      <c r="N24" s="866"/>
      <c r="O24" s="866"/>
      <c r="P24" s="866"/>
      <c r="Q24" s="867"/>
      <c r="S24" s="46"/>
      <c r="T24" s="47"/>
      <c r="U24" s="47"/>
      <c r="V24" s="47"/>
      <c r="W24" s="47"/>
      <c r="X24" s="47"/>
      <c r="Y24" s="12"/>
      <c r="Z24" s="12"/>
      <c r="AA24" s="46"/>
      <c r="AB24" s="47"/>
      <c r="AC24" s="47"/>
      <c r="AD24" s="47"/>
      <c r="AE24" s="47"/>
      <c r="AF24" s="47"/>
      <c r="AG24" s="12"/>
      <c r="AH24" s="12"/>
      <c r="AI24" s="12"/>
    </row>
    <row r="25" spans="2:35" ht="224.65" customHeight="1">
      <c r="B25" s="810" t="s">
        <v>222</v>
      </c>
      <c r="C25" s="811"/>
      <c r="D25" s="812"/>
      <c r="E25" s="520">
        <v>0.8</v>
      </c>
      <c r="F25" s="466">
        <v>0.48609999999999998</v>
      </c>
      <c r="G25" s="861">
        <v>0.61</v>
      </c>
      <c r="H25" s="862"/>
      <c r="I25" s="862"/>
      <c r="J25" s="862"/>
      <c r="K25" s="863"/>
      <c r="L25" s="864" t="s">
        <v>390</v>
      </c>
      <c r="M25" s="864"/>
      <c r="N25" s="864"/>
      <c r="O25" s="864"/>
      <c r="P25" s="864"/>
      <c r="Q25" s="864"/>
      <c r="R25" s="466"/>
      <c r="S25" s="46"/>
      <c r="T25" s="45" t="e">
        <f>IF($K23&gt;T$21,IF($K23&lt;=T$22,$K23,NA()),NA())</f>
        <v>#N/A</v>
      </c>
      <c r="U25" s="45" t="e">
        <f>IF($K23&gt;U$21,IF($K23&lt;=U$22,$K23,NA()),NA())</f>
        <v>#N/A</v>
      </c>
      <c r="V25" s="45" t="e">
        <f>IF($K23&gt;V$21,IF($K23&lt;=V$22,$K23,NA()),NA())</f>
        <v>#N/A</v>
      </c>
      <c r="W25" s="45" t="e">
        <f>IF($K23&gt;W$21,IF($K23&lt;=W$22,$K23,NA()),NA())</f>
        <v>#N/A</v>
      </c>
      <c r="X25" s="45" t="e">
        <f>IF($K23&gt;X$21,IF($K23&lt;=X$22,1,1),NA())</f>
        <v>#N/A</v>
      </c>
      <c r="Y25" s="12"/>
      <c r="Z25" s="92" t="e">
        <v>#REF!</v>
      </c>
      <c r="AA25" s="45" t="e">
        <f>+IF(Z25="A1",1,IF(Z25="A2",0.8,IF(Z25="B1",0.6,IF(Z25="B2",0.4,0.2))))</f>
        <v>#REF!</v>
      </c>
      <c r="AB25" s="45" t="e">
        <f>IF($AA25&gt;AB$21,IF($AA25&lt;=AB$22,$AA25,NA()),NA())</f>
        <v>#REF!</v>
      </c>
      <c r="AC25" s="45" t="e">
        <f t="shared" ref="AC25:AF26" si="0">IF($AA25&gt;AC$21,IF($AA25&lt;=AC$22,$AA25,NA()),NA())</f>
        <v>#REF!</v>
      </c>
      <c r="AD25" s="45" t="e">
        <f t="shared" si="0"/>
        <v>#REF!</v>
      </c>
      <c r="AE25" s="45" t="e">
        <f t="shared" si="0"/>
        <v>#REF!</v>
      </c>
      <c r="AF25" s="45" t="e">
        <f t="shared" si="0"/>
        <v>#REF!</v>
      </c>
      <c r="AG25" s="12"/>
      <c r="AH25" s="12"/>
      <c r="AI25" s="12"/>
    </row>
    <row r="26" spans="2:35" ht="120" customHeight="1">
      <c r="B26" s="810" t="s">
        <v>223</v>
      </c>
      <c r="C26" s="811"/>
      <c r="D26" s="812"/>
      <c r="E26" s="520">
        <v>0.70630000000000004</v>
      </c>
      <c r="F26" s="466">
        <v>1.1123000000000001</v>
      </c>
      <c r="G26" s="861">
        <v>1.2</v>
      </c>
      <c r="H26" s="862"/>
      <c r="I26" s="862"/>
      <c r="J26" s="862"/>
      <c r="K26" s="863"/>
      <c r="L26" s="864" t="s">
        <v>391</v>
      </c>
      <c r="M26" s="864"/>
      <c r="N26" s="864"/>
      <c r="O26" s="864"/>
      <c r="P26" s="864"/>
      <c r="Q26" s="864"/>
      <c r="R26" s="319"/>
      <c r="S26" s="46"/>
      <c r="T26" s="45" t="e">
        <f>IF(#REF!&gt;T$21,IF(#REF!&lt;=T$22,#REF!,NA()),NA())</f>
        <v>#REF!</v>
      </c>
      <c r="U26" s="45" t="e">
        <f>IF(#REF!&gt;U$21,IF(#REF!&lt;=U$22,#REF!,NA()),NA())</f>
        <v>#REF!</v>
      </c>
      <c r="V26" s="45" t="e">
        <f>IF(#REF!&gt;V$21,IF(#REF!&lt;=V$22,#REF!,NA()),NA())</f>
        <v>#REF!</v>
      </c>
      <c r="W26" s="45" t="e">
        <f>IF(#REF!&gt;W$21,IF(#REF!&lt;=W$22,#REF!,NA()),NA())</f>
        <v>#REF!</v>
      </c>
      <c r="X26" s="45" t="e">
        <f>IF(#REF!&gt;X$21,IF(#REF!&lt;=X$22,1,NA()),NA())</f>
        <v>#REF!</v>
      </c>
      <c r="Y26" s="12"/>
      <c r="Z26" s="92" t="e">
        <v>#REF!</v>
      </c>
      <c r="AA26" s="45" t="e">
        <f>+IF(Z26="A1",1,IF(Z26="A2",0.8,IF(Z26="B1",0.6,IF(Z26="B2",0.4,0.2))))</f>
        <v>#REF!</v>
      </c>
      <c r="AB26" s="45" t="e">
        <f>IF($AA26&gt;AB$21,IF($AA26&lt;=AB$22,$AA26,NA()),NA())</f>
        <v>#REF!</v>
      </c>
      <c r="AC26" s="45" t="e">
        <f t="shared" si="0"/>
        <v>#REF!</v>
      </c>
      <c r="AD26" s="45" t="e">
        <f t="shared" si="0"/>
        <v>#REF!</v>
      </c>
      <c r="AE26" s="45" t="e">
        <f t="shared" si="0"/>
        <v>#REF!</v>
      </c>
      <c r="AF26" s="45" t="e">
        <f t="shared" si="0"/>
        <v>#REF!</v>
      </c>
      <c r="AG26" s="12"/>
      <c r="AH26" s="12"/>
      <c r="AI26" s="12"/>
    </row>
    <row r="27" spans="2:35" ht="127.9" customHeight="1">
      <c r="B27" s="810" t="s">
        <v>224</v>
      </c>
      <c r="C27" s="811"/>
      <c r="D27" s="812"/>
      <c r="E27" s="520">
        <v>0.80249999999999999</v>
      </c>
      <c r="F27" s="466">
        <v>0.81840000000000002</v>
      </c>
      <c r="G27" s="792">
        <v>1.02</v>
      </c>
      <c r="H27" s="793"/>
      <c r="I27" s="793"/>
      <c r="J27" s="793"/>
      <c r="K27" s="794"/>
      <c r="L27" s="813" t="s">
        <v>392</v>
      </c>
      <c r="M27" s="813"/>
      <c r="N27" s="813"/>
      <c r="O27" s="813"/>
      <c r="P27" s="813"/>
      <c r="Q27" s="813"/>
      <c r="R27" s="319"/>
      <c r="S27" s="46"/>
      <c r="T27" s="45"/>
      <c r="U27" s="45"/>
      <c r="V27" s="45"/>
      <c r="W27" s="45"/>
      <c r="X27" s="45"/>
      <c r="Y27" s="12"/>
      <c r="Z27" s="92"/>
      <c r="AA27" s="284"/>
      <c r="AB27" s="284"/>
      <c r="AC27" s="284"/>
      <c r="AD27" s="284"/>
      <c r="AE27" s="284"/>
      <c r="AF27" s="284"/>
      <c r="AG27" s="12"/>
      <c r="AH27" s="12"/>
      <c r="AI27" s="12"/>
    </row>
    <row r="28" spans="2:35" ht="120" customHeight="1">
      <c r="B28" s="810" t="s">
        <v>225</v>
      </c>
      <c r="C28" s="811"/>
      <c r="D28" s="812"/>
      <c r="E28" s="423">
        <v>0.8</v>
      </c>
      <c r="F28" s="466">
        <v>0.93630000000000002</v>
      </c>
      <c r="G28" s="792">
        <v>1.17</v>
      </c>
      <c r="H28" s="793"/>
      <c r="I28" s="793"/>
      <c r="J28" s="793"/>
      <c r="K28" s="794"/>
      <c r="L28" s="795" t="s">
        <v>393</v>
      </c>
      <c r="M28" s="796"/>
      <c r="N28" s="796"/>
      <c r="O28" s="796"/>
      <c r="P28" s="796"/>
      <c r="Q28" s="797"/>
      <c r="R28" s="319"/>
      <c r="S28" s="46"/>
      <c r="T28" s="45" t="e">
        <f t="shared" ref="T28:W29" si="1">IF($K25&gt;T$21,IF($K25&lt;=T$22,$K25,NA()),NA())</f>
        <v>#N/A</v>
      </c>
      <c r="U28" s="45" t="e">
        <f t="shared" si="1"/>
        <v>#N/A</v>
      </c>
      <c r="V28" s="45" t="e">
        <f t="shared" si="1"/>
        <v>#N/A</v>
      </c>
      <c r="W28" s="45" t="e">
        <f t="shared" si="1"/>
        <v>#N/A</v>
      </c>
      <c r="X28" s="45" t="e">
        <f>IF($K25&gt;X$21,IF($K25&lt;=X$22,1,NA()),NA())</f>
        <v>#N/A</v>
      </c>
      <c r="Y28" s="12"/>
      <c r="Z28" s="12"/>
      <c r="AA28" s="12"/>
      <c r="AB28" s="12"/>
      <c r="AC28" s="12"/>
      <c r="AD28" s="12"/>
      <c r="AE28" s="12"/>
      <c r="AF28" s="12"/>
      <c r="AG28" s="12"/>
      <c r="AH28" s="12"/>
      <c r="AI28" s="12"/>
    </row>
    <row r="29" spans="2:35" ht="125.65" customHeight="1">
      <c r="B29" s="789" t="s">
        <v>228</v>
      </c>
      <c r="C29" s="790"/>
      <c r="D29" s="791"/>
      <c r="E29" s="520">
        <v>0.71040000000000003</v>
      </c>
      <c r="F29" s="466">
        <v>0.7077</v>
      </c>
      <c r="G29" s="845">
        <v>1.02</v>
      </c>
      <c r="H29" s="846"/>
      <c r="I29" s="846"/>
      <c r="J29" s="846"/>
      <c r="K29" s="847"/>
      <c r="L29" s="795" t="s">
        <v>394</v>
      </c>
      <c r="M29" s="851"/>
      <c r="N29" s="851"/>
      <c r="O29" s="851"/>
      <c r="P29" s="851"/>
      <c r="Q29" s="852"/>
      <c r="R29" s="319"/>
      <c r="S29" s="46"/>
      <c r="T29" s="45" t="e">
        <f t="shared" si="1"/>
        <v>#N/A</v>
      </c>
      <c r="U29" s="45" t="e">
        <f t="shared" si="1"/>
        <v>#N/A</v>
      </c>
      <c r="V29" s="45" t="e">
        <f t="shared" si="1"/>
        <v>#N/A</v>
      </c>
      <c r="W29" s="45" t="e">
        <f t="shared" si="1"/>
        <v>#N/A</v>
      </c>
      <c r="X29" s="45" t="e">
        <f>IF($K26&gt;X$21,IF($K26&lt;=X$22,1,NA()),NA())</f>
        <v>#N/A</v>
      </c>
      <c r="Y29" s="12"/>
      <c r="Z29" s="12"/>
      <c r="AA29" s="12"/>
      <c r="AB29" s="12"/>
      <c r="AC29" s="12"/>
      <c r="AD29" s="12"/>
      <c r="AE29" s="12"/>
      <c r="AF29" s="12"/>
      <c r="AG29" s="12"/>
      <c r="AH29" s="12"/>
      <c r="AI29" s="12"/>
    </row>
    <row r="30" spans="2:35" ht="111" customHeight="1">
      <c r="B30" s="789" t="s">
        <v>231</v>
      </c>
      <c r="C30" s="790"/>
      <c r="D30" s="791"/>
      <c r="E30" s="424">
        <v>70.39</v>
      </c>
      <c r="F30" s="466">
        <v>0.65749999999999997</v>
      </c>
      <c r="G30" s="853">
        <v>0.93400000000000005</v>
      </c>
      <c r="H30" s="854"/>
      <c r="I30" s="854"/>
      <c r="J30" s="854"/>
      <c r="K30" s="855"/>
      <c r="L30" s="856" t="s">
        <v>395</v>
      </c>
      <c r="M30" s="857"/>
      <c r="N30" s="857"/>
      <c r="O30" s="857"/>
      <c r="P30" s="857"/>
      <c r="Q30" s="858"/>
      <c r="R30" s="319"/>
      <c r="S30" s="46"/>
      <c r="T30" s="45"/>
      <c r="U30" s="45"/>
      <c r="V30" s="45"/>
      <c r="W30" s="45"/>
      <c r="X30" s="45"/>
      <c r="Y30" s="12"/>
      <c r="Z30" s="12"/>
      <c r="AA30" s="12"/>
      <c r="AB30" s="12"/>
      <c r="AC30" s="12"/>
      <c r="AD30" s="12"/>
      <c r="AE30" s="12"/>
      <c r="AF30" s="12"/>
      <c r="AG30" s="12"/>
      <c r="AH30" s="12"/>
      <c r="AI30" s="12"/>
    </row>
    <row r="31" spans="2:35" ht="178.5" customHeight="1">
      <c r="B31" s="789" t="s">
        <v>234</v>
      </c>
      <c r="C31" s="790"/>
      <c r="D31" s="791"/>
      <c r="E31" s="520">
        <v>0.71009999999999995</v>
      </c>
      <c r="F31" s="466">
        <v>0.62080000000000002</v>
      </c>
      <c r="G31" s="848">
        <v>0.87</v>
      </c>
      <c r="H31" s="849"/>
      <c r="I31" s="849"/>
      <c r="J31" s="849"/>
      <c r="K31" s="850"/>
      <c r="L31" s="795" t="s">
        <v>396</v>
      </c>
      <c r="M31" s="851"/>
      <c r="N31" s="851"/>
      <c r="O31" s="851"/>
      <c r="P31" s="851"/>
      <c r="Q31" s="852"/>
      <c r="R31" s="425"/>
      <c r="S31" s="46"/>
      <c r="T31" s="45"/>
      <c r="U31" s="45"/>
      <c r="V31" s="45"/>
      <c r="W31" s="45"/>
      <c r="X31" s="45"/>
      <c r="Y31" s="12"/>
      <c r="Z31" s="12"/>
      <c r="AA31" s="12"/>
      <c r="AB31" s="12"/>
      <c r="AC31" s="12"/>
      <c r="AD31" s="12"/>
      <c r="AE31" s="12"/>
      <c r="AF31" s="12"/>
      <c r="AG31" s="12"/>
      <c r="AH31" s="12"/>
      <c r="AI31" s="12"/>
    </row>
    <row r="32" spans="2:35" ht="152.65" customHeight="1">
      <c r="B32" s="789" t="s">
        <v>236</v>
      </c>
      <c r="C32" s="790"/>
      <c r="D32" s="791"/>
      <c r="E32" s="423">
        <v>1</v>
      </c>
      <c r="F32" s="423">
        <v>1</v>
      </c>
      <c r="G32" s="792">
        <v>1.74</v>
      </c>
      <c r="H32" s="793"/>
      <c r="I32" s="793"/>
      <c r="J32" s="793"/>
      <c r="K32" s="794"/>
      <c r="L32" s="785" t="s">
        <v>397</v>
      </c>
      <c r="M32" s="785"/>
      <c r="N32" s="785"/>
      <c r="O32" s="785"/>
      <c r="P32" s="785"/>
      <c r="Q32" s="785"/>
      <c r="R32" s="319"/>
      <c r="S32" s="46"/>
      <c r="T32" s="45" t="e">
        <f t="shared" ref="T32:W33" si="2">IF($K28&gt;T$21,IF($K28&lt;=T$22,$K28,NA()),NA())</f>
        <v>#N/A</v>
      </c>
      <c r="U32" s="45" t="e">
        <f t="shared" si="2"/>
        <v>#N/A</v>
      </c>
      <c r="V32" s="45" t="e">
        <f t="shared" si="2"/>
        <v>#N/A</v>
      </c>
      <c r="W32" s="45" t="e">
        <f t="shared" si="2"/>
        <v>#N/A</v>
      </c>
      <c r="X32" s="45" t="e">
        <f>IF($K28&gt;X$21,IF($K28&lt;=X$22,1,NA()),NA())</f>
        <v>#N/A</v>
      </c>
      <c r="Y32" s="12"/>
      <c r="Z32" s="12"/>
      <c r="AA32" s="12"/>
      <c r="AB32" s="12"/>
      <c r="AC32" s="12"/>
      <c r="AD32" s="12"/>
      <c r="AE32" s="12"/>
      <c r="AF32" s="12"/>
      <c r="AG32" s="12"/>
      <c r="AH32" s="12"/>
      <c r="AI32" s="12"/>
    </row>
    <row r="33" spans="2:35" ht="54.4" customHeight="1">
      <c r="B33" s="789" t="s">
        <v>239</v>
      </c>
      <c r="C33" s="790"/>
      <c r="D33" s="791"/>
      <c r="E33" s="423">
        <v>0.96</v>
      </c>
      <c r="F33" s="520">
        <v>0.99129999999999996</v>
      </c>
      <c r="G33" s="792">
        <v>1.03</v>
      </c>
      <c r="H33" s="793"/>
      <c r="I33" s="793"/>
      <c r="J33" s="793"/>
      <c r="K33" s="794"/>
      <c r="L33" s="795" t="s">
        <v>398</v>
      </c>
      <c r="M33" s="796"/>
      <c r="N33" s="796"/>
      <c r="O33" s="796"/>
      <c r="P33" s="796"/>
      <c r="Q33" s="797"/>
      <c r="R33" s="319"/>
      <c r="S33" s="46"/>
      <c r="T33" s="45" t="e">
        <f t="shared" si="2"/>
        <v>#N/A</v>
      </c>
      <c r="U33" s="45" t="e">
        <f t="shared" si="2"/>
        <v>#N/A</v>
      </c>
      <c r="V33" s="45" t="e">
        <f t="shared" si="2"/>
        <v>#N/A</v>
      </c>
      <c r="W33" s="45" t="e">
        <f t="shared" si="2"/>
        <v>#N/A</v>
      </c>
      <c r="X33" s="45" t="e">
        <f>IF($K29&gt;X$21,IF($K29&lt;=X$22,1,NA()),NA())</f>
        <v>#N/A</v>
      </c>
      <c r="Y33" s="12"/>
      <c r="Z33" s="12"/>
      <c r="AA33" s="12"/>
      <c r="AB33" s="12"/>
      <c r="AC33" s="12"/>
      <c r="AD33" s="12"/>
      <c r="AE33" s="12"/>
      <c r="AF33" s="12"/>
      <c r="AG33" s="12"/>
      <c r="AH33" s="12"/>
      <c r="AI33" s="12"/>
    </row>
    <row r="34" spans="2:35" ht="18">
      <c r="E34" s="396"/>
      <c r="F34" s="786" t="s">
        <v>399</v>
      </c>
      <c r="G34" s="787"/>
      <c r="H34" s="787"/>
      <c r="I34" s="787"/>
      <c r="J34" s="787"/>
      <c r="K34" s="787"/>
      <c r="L34" s="787"/>
      <c r="M34" s="787"/>
    </row>
    <row r="35" spans="2:35" ht="59.25" customHeight="1">
      <c r="B35" s="806" t="s">
        <v>246</v>
      </c>
      <c r="C35" s="807"/>
      <c r="D35" s="807"/>
      <c r="E35" s="807"/>
      <c r="F35" s="807" t="s">
        <v>400</v>
      </c>
      <c r="G35" s="807"/>
      <c r="H35" s="807"/>
      <c r="I35" s="807"/>
      <c r="J35" s="807"/>
      <c r="K35" s="807"/>
      <c r="L35" s="807" t="s">
        <v>401</v>
      </c>
      <c r="M35" s="807"/>
      <c r="N35" s="807"/>
      <c r="O35" s="807"/>
      <c r="P35" s="807"/>
      <c r="Q35" s="807"/>
      <c r="S35" s="109"/>
      <c r="T35" s="109"/>
      <c r="U35" s="109"/>
      <c r="V35" s="109"/>
      <c r="W35" s="109"/>
      <c r="X35" s="109"/>
      <c r="Y35" s="12"/>
      <c r="Z35" s="12"/>
      <c r="AA35" s="12"/>
      <c r="AB35" s="12"/>
      <c r="AC35" s="12"/>
      <c r="AD35" s="109"/>
      <c r="AE35" s="109"/>
      <c r="AF35" s="109"/>
      <c r="AG35" s="109"/>
      <c r="AH35" s="109"/>
      <c r="AI35" s="109"/>
    </row>
    <row r="36" spans="2:35" ht="88.5" customHeight="1">
      <c r="B36" s="444" t="s">
        <v>364</v>
      </c>
      <c r="C36" s="782" t="s">
        <v>402</v>
      </c>
      <c r="D36" s="783"/>
      <c r="E36" s="784"/>
      <c r="F36" s="445" t="s">
        <v>364</v>
      </c>
      <c r="G36" s="782" t="s">
        <v>403</v>
      </c>
      <c r="H36" s="783"/>
      <c r="I36" s="783"/>
      <c r="J36" s="783"/>
      <c r="K36" s="784"/>
      <c r="L36" s="445" t="s">
        <v>364</v>
      </c>
      <c r="M36" s="782" t="s">
        <v>404</v>
      </c>
      <c r="N36" s="783"/>
      <c r="O36" s="783"/>
      <c r="P36" s="783"/>
      <c r="Q36" s="788"/>
      <c r="S36" s="109"/>
      <c r="T36" s="109"/>
      <c r="U36" s="109"/>
      <c r="V36" s="109"/>
      <c r="W36" s="109"/>
      <c r="X36" s="109"/>
      <c r="Y36" s="109"/>
      <c r="Z36" s="109"/>
      <c r="AA36" s="109"/>
      <c r="AB36" s="109"/>
      <c r="AC36" s="109"/>
      <c r="AD36" s="109"/>
      <c r="AE36" s="109"/>
      <c r="AF36" s="109"/>
      <c r="AG36" s="109"/>
      <c r="AH36" s="109"/>
      <c r="AI36" s="109"/>
    </row>
    <row r="37" spans="2:35" ht="18.75" customHeight="1">
      <c r="B37" s="84"/>
      <c r="C37" s="84"/>
      <c r="D37" s="392"/>
      <c r="E37" s="392"/>
      <c r="F37" s="392"/>
      <c r="G37" s="392"/>
      <c r="H37" s="392"/>
      <c r="I37" s="392"/>
      <c r="J37" s="392"/>
      <c r="K37" s="392"/>
      <c r="L37" s="392"/>
      <c r="O37" s="95"/>
      <c r="P37" s="94"/>
      <c r="S37" s="109"/>
      <c r="T37" s="109"/>
      <c r="U37" s="109"/>
      <c r="V37" s="109"/>
      <c r="W37" s="109"/>
      <c r="X37" s="109"/>
      <c r="Y37" s="109"/>
      <c r="Z37" s="109"/>
      <c r="AA37" s="109"/>
      <c r="AB37" s="109"/>
      <c r="AC37" s="109"/>
      <c r="AD37" s="109"/>
      <c r="AE37" s="109"/>
      <c r="AF37" s="109"/>
      <c r="AG37" s="109"/>
      <c r="AH37" s="109"/>
      <c r="AI37" s="109"/>
    </row>
    <row r="38" spans="2:35" ht="18.75" customHeight="1">
      <c r="B38" s="84"/>
      <c r="C38" s="84"/>
      <c r="D38" s="392"/>
      <c r="E38" s="392"/>
      <c r="F38" s="392"/>
      <c r="G38" s="392"/>
      <c r="H38" s="392"/>
      <c r="I38" s="392"/>
      <c r="J38" s="392"/>
      <c r="K38" s="392"/>
      <c r="L38" s="392"/>
      <c r="O38" s="95"/>
      <c r="P38" s="94"/>
      <c r="S38" s="109"/>
      <c r="T38" s="109"/>
      <c r="U38" s="109"/>
      <c r="V38" s="109"/>
      <c r="W38" s="109"/>
      <c r="X38" s="109"/>
      <c r="Y38" s="109"/>
      <c r="Z38" s="109"/>
      <c r="AA38" s="109"/>
      <c r="AB38" s="109"/>
      <c r="AC38" s="109"/>
      <c r="AD38" s="109"/>
      <c r="AE38" s="109"/>
      <c r="AF38" s="109"/>
      <c r="AG38" s="109"/>
      <c r="AH38" s="109"/>
      <c r="AI38" s="109"/>
    </row>
    <row r="39" spans="2:35" ht="18.75" customHeight="1">
      <c r="B39" s="84"/>
      <c r="C39" s="84"/>
      <c r="D39" s="392"/>
      <c r="E39" s="392"/>
      <c r="F39" s="392"/>
      <c r="G39" s="392"/>
      <c r="H39" s="392"/>
      <c r="I39" s="392"/>
      <c r="J39" s="392"/>
      <c r="K39" s="392"/>
      <c r="L39" s="392"/>
      <c r="O39" s="95"/>
      <c r="P39" s="94"/>
      <c r="S39" s="109"/>
      <c r="T39" s="109"/>
      <c r="U39" s="109"/>
      <c r="V39" s="109"/>
      <c r="W39" s="109"/>
      <c r="X39" s="109"/>
      <c r="Y39" s="109"/>
      <c r="Z39" s="109"/>
      <c r="AA39" s="109"/>
      <c r="AB39" s="109"/>
      <c r="AC39" s="109"/>
      <c r="AD39" s="109"/>
      <c r="AE39" s="109"/>
      <c r="AF39" s="109"/>
      <c r="AG39" s="109"/>
      <c r="AH39" s="109"/>
      <c r="AI39" s="109"/>
    </row>
    <row r="40" spans="2:35" ht="18.75" customHeight="1">
      <c r="B40" s="84"/>
      <c r="C40" s="84"/>
      <c r="D40" s="392"/>
      <c r="E40" s="392"/>
      <c r="F40" s="392"/>
      <c r="G40" s="392"/>
      <c r="H40" s="392"/>
      <c r="I40" s="392"/>
      <c r="J40" s="392"/>
      <c r="K40" s="392"/>
      <c r="L40" s="392"/>
      <c r="O40" s="95"/>
      <c r="P40" s="94"/>
      <c r="S40" s="109"/>
      <c r="T40" s="109"/>
      <c r="U40" s="109"/>
      <c r="V40" s="109"/>
      <c r="W40" s="109"/>
      <c r="X40" s="109"/>
      <c r="Y40" s="109"/>
      <c r="Z40" s="109"/>
      <c r="AA40" s="109"/>
      <c r="AB40" s="109"/>
      <c r="AC40" s="109"/>
      <c r="AD40" s="109"/>
      <c r="AE40" s="109"/>
      <c r="AF40" s="109"/>
      <c r="AG40" s="109"/>
      <c r="AH40" s="109"/>
      <c r="AI40" s="109"/>
    </row>
    <row r="41" spans="2:35" ht="18.75" customHeight="1">
      <c r="B41" s="84"/>
      <c r="C41" s="84"/>
      <c r="D41" s="392"/>
      <c r="E41" s="392"/>
      <c r="F41" s="392"/>
      <c r="G41" s="392"/>
      <c r="H41" s="392"/>
      <c r="I41" s="392"/>
      <c r="J41" s="392"/>
      <c r="K41" s="392"/>
      <c r="L41" s="392"/>
      <c r="O41" s="95"/>
      <c r="P41" s="94"/>
      <c r="S41" s="109"/>
      <c r="T41" s="109"/>
      <c r="U41" s="109"/>
      <c r="V41" s="109"/>
      <c r="W41" s="109"/>
      <c r="X41" s="109"/>
      <c r="Y41" s="109"/>
      <c r="Z41" s="109"/>
      <c r="AA41" s="109"/>
      <c r="AB41" s="109"/>
      <c r="AC41" s="109"/>
      <c r="AD41" s="109"/>
      <c r="AE41" s="109"/>
      <c r="AF41" s="109"/>
      <c r="AG41" s="109"/>
      <c r="AH41" s="109"/>
      <c r="AI41" s="109"/>
    </row>
    <row r="42" spans="2:35" ht="18.75" customHeight="1">
      <c r="B42" s="84"/>
      <c r="C42" s="84"/>
      <c r="D42" s="392"/>
      <c r="E42" s="392"/>
      <c r="F42" s="392"/>
      <c r="G42" s="392"/>
      <c r="H42" s="392"/>
      <c r="I42" s="392"/>
      <c r="J42" s="392"/>
      <c r="K42" s="392"/>
      <c r="L42" s="392"/>
      <c r="O42" s="95"/>
      <c r="P42" s="94"/>
      <c r="S42" s="109"/>
      <c r="T42" s="109"/>
      <c r="U42" s="109"/>
      <c r="V42" s="109"/>
      <c r="W42" s="109"/>
      <c r="X42" s="109"/>
      <c r="Y42" s="109"/>
      <c r="Z42" s="109"/>
      <c r="AA42" s="109"/>
      <c r="AB42" s="109"/>
      <c r="AC42" s="109"/>
      <c r="AD42" s="109"/>
      <c r="AE42" s="109"/>
      <c r="AF42" s="109"/>
      <c r="AG42" s="109"/>
      <c r="AH42" s="109"/>
      <c r="AI42" s="109"/>
    </row>
    <row r="43" spans="2:35" ht="18.75" customHeight="1">
      <c r="B43" s="84"/>
      <c r="C43" s="84"/>
      <c r="D43" s="392"/>
      <c r="E43" s="392"/>
      <c r="F43" s="392"/>
      <c r="G43" s="392"/>
      <c r="H43" s="392"/>
      <c r="I43" s="392"/>
      <c r="J43" s="392"/>
      <c r="K43" s="392"/>
      <c r="L43" s="392"/>
      <c r="O43" s="95"/>
      <c r="P43" s="94"/>
      <c r="S43" s="109"/>
      <c r="T43" s="109"/>
      <c r="U43" s="109"/>
      <c r="V43" s="109"/>
      <c r="W43" s="109"/>
      <c r="X43" s="109"/>
      <c r="Y43" s="109"/>
      <c r="Z43" s="109"/>
      <c r="AA43" s="109"/>
      <c r="AB43" s="109"/>
      <c r="AC43" s="109"/>
      <c r="AD43" s="109"/>
      <c r="AE43" s="109"/>
      <c r="AF43" s="109"/>
      <c r="AG43" s="109"/>
      <c r="AH43" s="109"/>
      <c r="AI43" s="109"/>
    </row>
    <row r="44" spans="2:35" ht="18.75" customHeight="1">
      <c r="B44" s="84"/>
      <c r="C44" s="84"/>
      <c r="D44" s="392"/>
      <c r="E44" s="392"/>
      <c r="F44" s="392"/>
      <c r="G44" s="392"/>
      <c r="H44" s="392"/>
      <c r="I44" s="392"/>
      <c r="J44" s="392"/>
      <c r="K44" s="392"/>
      <c r="L44" s="392"/>
      <c r="O44" s="95"/>
      <c r="P44" s="94"/>
      <c r="S44" s="109"/>
      <c r="T44" s="109"/>
      <c r="U44" s="109"/>
      <c r="V44" s="109"/>
      <c r="W44" s="109"/>
      <c r="X44" s="109"/>
      <c r="Y44" s="109"/>
      <c r="Z44" s="109"/>
      <c r="AA44" s="109"/>
      <c r="AB44" s="109"/>
      <c r="AC44" s="109"/>
      <c r="AD44" s="109"/>
      <c r="AE44" s="109"/>
      <c r="AF44" s="109"/>
      <c r="AG44" s="109"/>
      <c r="AH44" s="109"/>
      <c r="AI44" s="109"/>
    </row>
    <row r="45" spans="2:35" ht="18.75" customHeight="1">
      <c r="B45" s="84"/>
      <c r="C45" s="84"/>
      <c r="D45" s="392"/>
      <c r="E45" s="392"/>
      <c r="F45" s="392"/>
      <c r="G45" s="392"/>
      <c r="H45" s="392"/>
      <c r="I45" s="392"/>
      <c r="J45" s="392"/>
      <c r="K45" s="392"/>
      <c r="L45" s="392"/>
      <c r="O45" s="95"/>
      <c r="P45" s="94"/>
      <c r="S45" s="109"/>
      <c r="T45" s="109"/>
      <c r="U45" s="109"/>
      <c r="V45" s="109"/>
      <c r="W45" s="109"/>
      <c r="X45" s="109"/>
      <c r="Y45" s="109"/>
      <c r="Z45" s="109"/>
      <c r="AA45" s="109"/>
      <c r="AB45" s="109"/>
      <c r="AC45" s="109"/>
      <c r="AD45" s="109"/>
      <c r="AE45" s="109"/>
      <c r="AF45" s="109"/>
      <c r="AG45" s="109"/>
      <c r="AH45" s="109"/>
      <c r="AI45" s="109"/>
    </row>
    <row r="46" spans="2:35" ht="17.25" customHeight="1">
      <c r="B46" s="84"/>
      <c r="C46" s="84"/>
      <c r="D46" s="392"/>
      <c r="E46" s="392"/>
      <c r="F46" s="392"/>
      <c r="G46" s="392"/>
      <c r="H46" s="392"/>
      <c r="I46" s="392"/>
      <c r="J46" s="392"/>
      <c r="K46" s="392"/>
      <c r="L46" s="392"/>
      <c r="O46" s="95"/>
      <c r="P46" s="94"/>
      <c r="S46" s="109"/>
      <c r="T46" s="109"/>
      <c r="U46" s="109"/>
      <c r="V46" s="109"/>
      <c r="W46" s="109"/>
      <c r="X46" s="109"/>
      <c r="Y46" s="109"/>
      <c r="Z46" s="109"/>
      <c r="AA46" s="109"/>
      <c r="AB46" s="109"/>
      <c r="AC46" s="109"/>
      <c r="AD46" s="109"/>
      <c r="AE46" s="109"/>
      <c r="AF46" s="109"/>
      <c r="AG46" s="109"/>
      <c r="AH46" s="109"/>
      <c r="AI46" s="109"/>
    </row>
    <row r="47" spans="2:35" ht="6" customHeight="1">
      <c r="B47" s="15"/>
      <c r="C47" s="84"/>
      <c r="D47" s="82"/>
      <c r="E47" s="825"/>
      <c r="F47" s="825"/>
      <c r="G47" s="825"/>
      <c r="H47" s="825"/>
      <c r="I47" s="825"/>
      <c r="J47" s="825"/>
      <c r="K47" s="825"/>
      <c r="S47" s="109"/>
      <c r="T47" s="109"/>
      <c r="U47" s="109"/>
      <c r="V47" s="109"/>
      <c r="W47" s="109"/>
      <c r="X47" s="109"/>
      <c r="Y47" s="109"/>
      <c r="Z47" s="109"/>
      <c r="AA47" s="109"/>
      <c r="AB47" s="109"/>
      <c r="AC47" s="109"/>
      <c r="AD47" s="109"/>
      <c r="AE47" s="109"/>
      <c r="AF47" s="109"/>
      <c r="AG47" s="109"/>
      <c r="AH47" s="109"/>
      <c r="AI47" s="109"/>
    </row>
    <row r="48" spans="2:35" ht="50.25" customHeight="1">
      <c r="B48" s="826" t="s">
        <v>378</v>
      </c>
      <c r="C48" s="826"/>
      <c r="D48" s="826"/>
      <c r="E48" s="213" t="s">
        <v>218</v>
      </c>
      <c r="F48" s="213" t="s">
        <v>248</v>
      </c>
      <c r="G48" s="821" t="s">
        <v>379</v>
      </c>
      <c r="H48" s="822"/>
      <c r="I48" s="823" t="s">
        <v>380</v>
      </c>
      <c r="J48" s="824"/>
      <c r="K48" s="215" t="s">
        <v>381</v>
      </c>
      <c r="L48" s="798" t="s">
        <v>405</v>
      </c>
      <c r="M48" s="799"/>
      <c r="N48" s="799"/>
      <c r="O48" s="799"/>
      <c r="P48" s="799"/>
      <c r="Q48" s="800"/>
      <c r="S48" s="43" t="s">
        <v>383</v>
      </c>
      <c r="T48" s="44">
        <v>0</v>
      </c>
      <c r="U48" s="45">
        <v>0.3</v>
      </c>
      <c r="V48" s="45">
        <v>0.6</v>
      </c>
      <c r="W48" s="45">
        <v>0.9</v>
      </c>
      <c r="X48" s="45">
        <v>1</v>
      </c>
      <c r="Y48" s="12"/>
      <c r="Z48" s="12"/>
      <c r="AA48" s="43" t="s">
        <v>383</v>
      </c>
      <c r="AB48" s="44">
        <v>0</v>
      </c>
      <c r="AC48" s="45">
        <v>0.2</v>
      </c>
      <c r="AD48" s="45">
        <v>0.4</v>
      </c>
      <c r="AE48" s="45">
        <v>0.6</v>
      </c>
      <c r="AF48" s="45">
        <v>0.8</v>
      </c>
      <c r="AG48" s="12"/>
      <c r="AH48" s="12"/>
      <c r="AI48" s="12"/>
    </row>
    <row r="49" spans="2:35" ht="160.15" customHeight="1">
      <c r="B49" s="815" t="s">
        <v>406</v>
      </c>
      <c r="C49" s="816"/>
      <c r="D49" s="817"/>
      <c r="E49" s="405">
        <v>0.99</v>
      </c>
      <c r="F49" s="405">
        <v>0.95</v>
      </c>
      <c r="G49" s="803">
        <f>(F49/E49)</f>
        <v>0.95959595959595956</v>
      </c>
      <c r="H49" s="804"/>
      <c r="I49" s="804"/>
      <c r="J49" s="804"/>
      <c r="K49" s="805"/>
      <c r="L49" s="829" t="s">
        <v>407</v>
      </c>
      <c r="M49" s="802"/>
      <c r="N49" s="802"/>
      <c r="O49" s="802"/>
      <c r="P49" s="802"/>
      <c r="Q49" s="802"/>
      <c r="S49" s="43" t="s">
        <v>385</v>
      </c>
      <c r="T49" s="45">
        <v>0.3</v>
      </c>
      <c r="U49" s="45">
        <v>0.6</v>
      </c>
      <c r="V49" s="45">
        <v>0.9</v>
      </c>
      <c r="W49" s="45">
        <v>1</v>
      </c>
      <c r="X49" s="45">
        <v>2</v>
      </c>
      <c r="Y49" s="12"/>
      <c r="Z49" s="12"/>
      <c r="AA49" s="43" t="s">
        <v>385</v>
      </c>
      <c r="AB49" s="45">
        <v>0.2</v>
      </c>
      <c r="AC49" s="45">
        <v>0.4</v>
      </c>
      <c r="AD49" s="45">
        <v>0.6</v>
      </c>
      <c r="AE49" s="45">
        <v>0.8</v>
      </c>
      <c r="AF49" s="45">
        <v>1</v>
      </c>
      <c r="AG49" s="12"/>
      <c r="AH49" s="12"/>
      <c r="AI49" s="12"/>
    </row>
    <row r="50" spans="2:35" ht="317.45" customHeight="1">
      <c r="B50" s="815" t="str">
        <f>+'Ввод данных'!A209</f>
        <v xml:space="preserve">MDR TB-2: Количество бактериологически подтвержденных зарегистрированных ЛУ-ТБ случаев (РУ-ТБ и/или МЛУ-ТБ)		</v>
      </c>
      <c r="C50" s="816"/>
      <c r="D50" s="817"/>
      <c r="E50" s="214">
        <v>1850</v>
      </c>
      <c r="F50" s="214">
        <v>768</v>
      </c>
      <c r="G50" s="803">
        <f t="shared" ref="G50:G52" si="3">(F50/E50)</f>
        <v>0.41513513513513511</v>
      </c>
      <c r="H50" s="804"/>
      <c r="I50" s="804"/>
      <c r="J50" s="804"/>
      <c r="K50" s="805"/>
      <c r="L50" s="829" t="s">
        <v>408</v>
      </c>
      <c r="M50" s="829"/>
      <c r="N50" s="829"/>
      <c r="O50" s="829"/>
      <c r="P50" s="829"/>
      <c r="Q50" s="829"/>
      <c r="S50" s="46"/>
      <c r="T50" s="47" t="str">
        <f>"de "&amp;T48&amp;" a "&amp;T49</f>
        <v>de 0 a 0,3</v>
      </c>
      <c r="U50" s="47" t="str">
        <f>"de "&amp;U48&amp;" a "&amp;U49</f>
        <v>de 0,3 a 0,6</v>
      </c>
      <c r="AH50" s="12"/>
      <c r="AI50" s="12"/>
    </row>
    <row r="51" spans="2:35" ht="196.15" customHeight="1">
      <c r="B51" s="815" t="str">
        <f>+'Ввод данных'!A211</f>
        <v>MDR TB-3: Количество случаев с РУ/МЛУ ТБ, начавших лечение препаратами второго ряда</v>
      </c>
      <c r="C51" s="816"/>
      <c r="D51" s="817"/>
      <c r="E51" s="214">
        <v>1850</v>
      </c>
      <c r="F51" s="214">
        <v>776</v>
      </c>
      <c r="G51" s="803">
        <f t="shared" si="3"/>
        <v>0.41945945945945945</v>
      </c>
      <c r="H51" s="804"/>
      <c r="I51" s="804"/>
      <c r="J51" s="804"/>
      <c r="K51" s="805"/>
      <c r="L51" s="829" t="s">
        <v>409</v>
      </c>
      <c r="M51" s="829"/>
      <c r="N51" s="829"/>
      <c r="O51" s="829"/>
      <c r="P51" s="829"/>
      <c r="Q51" s="829"/>
      <c r="S51" s="46"/>
      <c r="T51" s="45" t="e">
        <f>IF($K49&gt;T$48,IF($K49&lt;=T$49,$K49,NA()),NA())</f>
        <v>#N/A</v>
      </c>
      <c r="U51" s="45" t="e">
        <f>IF($K49&gt;U$48,IF($K49&lt;=U$49,$K49,NA()),NA())</f>
        <v>#N/A</v>
      </c>
      <c r="AH51" s="12"/>
      <c r="AI51" s="12"/>
    </row>
    <row r="52" spans="2:35" ht="114.4" customHeight="1">
      <c r="B52" s="818" t="str">
        <f>+'Ввод данных'!A213</f>
        <v>MDR TB-7: Процент подтвержденных МЛУ-ТБ случаев, протестированных на чувствительность к фторхинолонам и инъекционным препаратам второго ряда</v>
      </c>
      <c r="C52" s="819"/>
      <c r="D52" s="820"/>
      <c r="E52" s="405">
        <v>0.8</v>
      </c>
      <c r="F52" s="405">
        <v>0.86</v>
      </c>
      <c r="G52" s="803">
        <f t="shared" si="3"/>
        <v>1.075</v>
      </c>
      <c r="H52" s="804"/>
      <c r="I52" s="804"/>
      <c r="J52" s="804"/>
      <c r="K52" s="805"/>
      <c r="L52" s="831" t="s">
        <v>410</v>
      </c>
      <c r="M52" s="832"/>
      <c r="N52" s="832"/>
      <c r="O52" s="832"/>
      <c r="P52" s="832"/>
      <c r="Q52" s="833"/>
      <c r="S52" s="46"/>
      <c r="T52" s="45"/>
      <c r="U52" s="45"/>
      <c r="AH52" s="12"/>
      <c r="AI52" s="12"/>
    </row>
    <row r="53" spans="2:35" ht="177.4" customHeight="1">
      <c r="B53" s="835" t="s">
        <v>252</v>
      </c>
      <c r="C53" s="836"/>
      <c r="D53" s="837"/>
      <c r="E53" s="414">
        <v>0.45</v>
      </c>
      <c r="F53" s="414">
        <v>0.2</v>
      </c>
      <c r="G53" s="838">
        <f>(F53/E53)</f>
        <v>0.44444444444444448</v>
      </c>
      <c r="H53" s="839"/>
      <c r="I53" s="839"/>
      <c r="J53" s="839"/>
      <c r="K53" s="840"/>
      <c r="L53" s="829" t="s">
        <v>411</v>
      </c>
      <c r="M53" s="802"/>
      <c r="N53" s="802"/>
      <c r="O53" s="802"/>
      <c r="P53" s="802"/>
      <c r="Q53" s="802"/>
      <c r="AH53" s="12"/>
      <c r="AI53" s="12"/>
    </row>
    <row r="54" spans="2:35" ht="332.45" customHeight="1">
      <c r="B54" s="844" t="s">
        <v>254</v>
      </c>
      <c r="C54" s="836"/>
      <c r="D54" s="837"/>
      <c r="E54" s="415" t="s">
        <v>412</v>
      </c>
      <c r="F54" s="415" t="s">
        <v>259</v>
      </c>
      <c r="G54" s="838">
        <v>0</v>
      </c>
      <c r="H54" s="839"/>
      <c r="I54" s="839"/>
      <c r="J54" s="839"/>
      <c r="K54" s="840"/>
      <c r="L54" s="801" t="s">
        <v>413</v>
      </c>
      <c r="M54" s="802"/>
      <c r="N54" s="802"/>
      <c r="O54" s="802"/>
      <c r="P54" s="802"/>
      <c r="Q54" s="802"/>
      <c r="AH54" s="12"/>
      <c r="AI54" s="12"/>
    </row>
    <row r="55" spans="2:35" ht="22.5" customHeight="1">
      <c r="B55" s="843"/>
      <c r="C55" s="843"/>
      <c r="D55" s="843"/>
      <c r="E55" s="843"/>
      <c r="F55" s="842"/>
      <c r="G55" s="842"/>
      <c r="H55" s="842"/>
      <c r="I55" s="842"/>
      <c r="J55" s="842"/>
      <c r="K55" s="842"/>
      <c r="L55" s="830"/>
      <c r="M55" s="830"/>
      <c r="N55" s="830"/>
      <c r="O55" s="830"/>
      <c r="P55" s="830"/>
      <c r="AH55" s="12"/>
      <c r="AI55" s="12"/>
    </row>
    <row r="56" spans="2:35" ht="22.5" customHeight="1">
      <c r="B56" s="828"/>
      <c r="C56" s="828"/>
      <c r="D56" s="828"/>
      <c r="E56" s="841"/>
      <c r="F56" s="827"/>
      <c r="G56" s="828"/>
      <c r="H56" s="828"/>
      <c r="I56" s="828"/>
      <c r="J56" s="828"/>
      <c r="K56" s="841"/>
      <c r="L56" s="827"/>
      <c r="M56" s="828"/>
      <c r="N56" s="828"/>
      <c r="O56" s="828"/>
      <c r="P56" s="828"/>
      <c r="Y56" s="12"/>
      <c r="Z56" s="12"/>
      <c r="AA56" s="12"/>
      <c r="AB56" s="12"/>
      <c r="AC56" s="12"/>
      <c r="AD56" s="12"/>
      <c r="AE56" s="12"/>
      <c r="AF56" s="12"/>
      <c r="AG56" s="12"/>
      <c r="AH56" s="12"/>
      <c r="AI56" s="12"/>
    </row>
    <row r="57" spans="2:35">
      <c r="B57" s="110"/>
      <c r="C57" s="110"/>
      <c r="D57" s="110"/>
      <c r="E57" s="110"/>
      <c r="F57" s="110"/>
      <c r="G57" s="110"/>
      <c r="H57" s="111"/>
      <c r="I57" s="110"/>
      <c r="J57" s="110"/>
      <c r="K57" s="110"/>
      <c r="L57" s="110"/>
      <c r="M57" s="110"/>
      <c r="N57" s="110"/>
      <c r="O57" s="110"/>
      <c r="P57" s="110"/>
      <c r="Y57" s="12"/>
      <c r="Z57" s="12"/>
      <c r="AA57" s="12"/>
      <c r="AB57" s="12"/>
      <c r="AC57" s="12"/>
      <c r="AD57" s="12"/>
      <c r="AE57" s="12"/>
      <c r="AF57" s="12"/>
      <c r="AG57" s="12"/>
      <c r="AH57" s="12"/>
      <c r="AI57" s="12"/>
    </row>
    <row r="58" spans="2:35">
      <c r="B58" s="834"/>
      <c r="C58" s="834"/>
      <c r="D58" s="834"/>
      <c r="E58" s="834"/>
      <c r="F58" s="834"/>
      <c r="G58" s="834"/>
      <c r="H58" s="834"/>
      <c r="I58" s="834"/>
      <c r="J58" s="834"/>
      <c r="K58" s="834"/>
      <c r="L58" s="110"/>
      <c r="M58" s="110"/>
      <c r="N58" s="110"/>
      <c r="O58" s="110"/>
      <c r="P58" s="110"/>
      <c r="Y58" s="12"/>
      <c r="Z58" s="12"/>
      <c r="AA58" s="12"/>
      <c r="AB58" s="12"/>
      <c r="AC58" s="12"/>
      <c r="AD58" s="12"/>
      <c r="AE58" s="12"/>
      <c r="AF58" s="12"/>
      <c r="AG58" s="12"/>
      <c r="AH58" s="12"/>
      <c r="AI58" s="12"/>
    </row>
    <row r="59" spans="2:35">
      <c r="B59" s="834"/>
      <c r="C59" s="834"/>
      <c r="D59" s="834"/>
      <c r="E59" s="834"/>
      <c r="F59" s="834"/>
      <c r="G59" s="834"/>
      <c r="H59" s="834"/>
      <c r="I59" s="834"/>
      <c r="J59" s="834"/>
      <c r="K59" s="834"/>
      <c r="L59" s="110"/>
      <c r="M59" s="110"/>
      <c r="N59" s="110"/>
      <c r="O59" s="110"/>
      <c r="P59" s="110"/>
      <c r="S59" s="12"/>
      <c r="T59" s="12"/>
      <c r="U59" s="12"/>
      <c r="V59" s="12"/>
      <c r="W59" s="12"/>
      <c r="X59" s="12"/>
      <c r="Y59" s="12"/>
      <c r="Z59" s="12"/>
      <c r="AA59" s="12"/>
      <c r="AB59" s="12"/>
      <c r="AC59" s="12"/>
      <c r="AD59" s="12"/>
      <c r="AE59" s="12"/>
      <c r="AF59" s="12"/>
      <c r="AG59" s="12"/>
      <c r="AH59" s="12"/>
      <c r="AI59" s="12"/>
    </row>
    <row r="60" spans="2:35">
      <c r="I60" s="66"/>
      <c r="J60" s="66"/>
      <c r="K60" s="66"/>
      <c r="S60" s="12"/>
      <c r="T60" s="12"/>
      <c r="U60" s="12"/>
      <c r="V60" s="12"/>
      <c r="W60" s="12"/>
      <c r="X60" s="12"/>
      <c r="Y60" s="12"/>
      <c r="Z60" s="12"/>
      <c r="AA60" s="12"/>
      <c r="AB60" s="12"/>
      <c r="AC60" s="12"/>
      <c r="AD60" s="12"/>
      <c r="AE60" s="12"/>
      <c r="AF60" s="12"/>
      <c r="AG60" s="12"/>
      <c r="AH60" s="12"/>
      <c r="AI60" s="12"/>
    </row>
    <row r="61" spans="2:35">
      <c r="I61" s="88"/>
      <c r="J61" s="89"/>
      <c r="K61" s="89"/>
      <c r="S61" s="12"/>
      <c r="T61" s="12"/>
      <c r="U61" s="12"/>
      <c r="V61" s="12"/>
      <c r="W61" s="12"/>
      <c r="X61" s="12"/>
      <c r="Y61" s="12"/>
      <c r="Z61" s="12"/>
      <c r="AA61" s="12"/>
      <c r="AB61" s="12"/>
      <c r="AC61" s="12"/>
      <c r="AD61" s="12"/>
      <c r="AE61" s="12"/>
      <c r="AF61" s="12"/>
      <c r="AG61" s="12"/>
      <c r="AH61" s="12"/>
      <c r="AI61" s="12"/>
    </row>
    <row r="62" spans="2:35">
      <c r="I62" s="90"/>
      <c r="J62" s="28"/>
      <c r="K62" s="25"/>
      <c r="S62" s="12"/>
      <c r="T62" s="12"/>
      <c r="U62" s="12"/>
      <c r="V62" s="12"/>
      <c r="W62" s="12"/>
      <c r="X62" s="12"/>
      <c r="Y62" s="12"/>
      <c r="Z62" s="12"/>
      <c r="AA62" s="12"/>
      <c r="AB62" s="12"/>
      <c r="AC62" s="12"/>
      <c r="AD62" s="12"/>
      <c r="AE62" s="12"/>
      <c r="AF62" s="12"/>
      <c r="AG62" s="12"/>
      <c r="AH62" s="12"/>
      <c r="AI62" s="12"/>
    </row>
    <row r="63" spans="2:35">
      <c r="I63" s="90"/>
      <c r="J63" s="28"/>
      <c r="K63" s="25"/>
      <c r="S63" s="12"/>
      <c r="T63" s="12"/>
      <c r="U63" s="12"/>
      <c r="V63" s="12"/>
      <c r="W63" s="12"/>
      <c r="X63" s="12"/>
      <c r="Y63" s="12"/>
      <c r="Z63" s="12"/>
      <c r="AA63" s="12"/>
      <c r="AB63" s="12"/>
      <c r="AC63" s="12"/>
      <c r="AD63" s="12"/>
      <c r="AE63" s="12"/>
      <c r="AF63" s="12"/>
      <c r="AG63" s="12"/>
      <c r="AH63" s="12"/>
      <c r="AI63" s="12"/>
    </row>
    <row r="64" spans="2:35">
      <c r="I64" s="90"/>
      <c r="J64" s="28"/>
      <c r="K64" s="25"/>
      <c r="S64" s="12"/>
      <c r="T64" s="12"/>
      <c r="U64" s="12"/>
      <c r="V64" s="12"/>
      <c r="W64" s="12"/>
      <c r="X64" s="12"/>
      <c r="Y64" s="12"/>
      <c r="Z64" s="12"/>
      <c r="AA64" s="12"/>
      <c r="AB64" s="12"/>
      <c r="AC64" s="12"/>
      <c r="AD64" s="12"/>
      <c r="AE64" s="12"/>
      <c r="AF64" s="12"/>
      <c r="AG64" s="12"/>
      <c r="AH64" s="12"/>
      <c r="AI64" s="12"/>
    </row>
    <row r="65" spans="19:35">
      <c r="S65" s="12"/>
      <c r="T65" s="12"/>
      <c r="U65" s="12"/>
      <c r="V65" s="12"/>
      <c r="W65" s="12"/>
      <c r="X65" s="12"/>
      <c r="Y65" s="12"/>
      <c r="Z65" s="12"/>
      <c r="AA65" s="12"/>
      <c r="AB65" s="12"/>
      <c r="AC65" s="12"/>
      <c r="AD65" s="12"/>
      <c r="AE65" s="12"/>
      <c r="AF65" s="12"/>
      <c r="AG65" s="12"/>
      <c r="AH65" s="12"/>
      <c r="AI65" s="12"/>
    </row>
    <row r="66" spans="19:35">
      <c r="S66" s="12"/>
      <c r="T66" s="12"/>
      <c r="U66" s="12"/>
      <c r="V66" s="12"/>
      <c r="W66" s="12"/>
      <c r="X66" s="12"/>
      <c r="Y66" s="12"/>
      <c r="Z66" s="12"/>
      <c r="AA66" s="12"/>
      <c r="AB66" s="12"/>
      <c r="AC66" s="12"/>
      <c r="AD66" s="12"/>
      <c r="AE66" s="12"/>
      <c r="AF66" s="12"/>
      <c r="AG66" s="12"/>
      <c r="AH66" s="12"/>
      <c r="AI66" s="12"/>
    </row>
    <row r="67" spans="19:35">
      <c r="S67" s="3"/>
      <c r="T67" s="3"/>
      <c r="U67" s="3"/>
      <c r="V67" s="3"/>
      <c r="W67" s="3"/>
      <c r="X67" s="3"/>
      <c r="Y67" s="3"/>
      <c r="Z67" s="3"/>
      <c r="AA67" s="3"/>
      <c r="AB67" s="3"/>
    </row>
    <row r="68" spans="19:35">
      <c r="S68" s="3"/>
      <c r="T68" s="3"/>
      <c r="U68" s="3"/>
      <c r="V68" s="3"/>
      <c r="W68" s="3"/>
      <c r="X68" s="3"/>
      <c r="Y68" s="3"/>
      <c r="Z68" s="3"/>
      <c r="AA68" s="3"/>
      <c r="AB68" s="3"/>
    </row>
    <row r="69" spans="19:35">
      <c r="S69" s="3"/>
      <c r="T69" s="3"/>
      <c r="U69" s="3"/>
      <c r="V69" s="3"/>
      <c r="W69" s="3"/>
      <c r="X69" s="3"/>
      <c r="Y69" s="3"/>
      <c r="Z69" s="3"/>
      <c r="AA69" s="3"/>
      <c r="AB69" s="3"/>
    </row>
    <row r="70" spans="19:35">
      <c r="S70" s="3"/>
      <c r="T70" s="3"/>
      <c r="U70" s="3"/>
      <c r="V70" s="3"/>
      <c r="W70" s="3"/>
      <c r="X70" s="3"/>
      <c r="Y70" s="3"/>
      <c r="Z70" s="3"/>
      <c r="AA70" s="3"/>
      <c r="AB70" s="3"/>
    </row>
    <row r="71" spans="19:35">
      <c r="S71" s="3"/>
      <c r="T71" s="3"/>
      <c r="U71" s="3"/>
      <c r="V71" s="3"/>
      <c r="W71" s="3"/>
      <c r="X71" s="3"/>
      <c r="Y71" s="3"/>
      <c r="Z71" s="3"/>
      <c r="AA71" s="3"/>
      <c r="AB71" s="3"/>
    </row>
  </sheetData>
  <mergeCells count="94">
    <mergeCell ref="B2:Q2"/>
    <mergeCell ref="O3:P3"/>
    <mergeCell ref="D5:N5"/>
    <mergeCell ref="L35:Q35"/>
    <mergeCell ref="E3:K3"/>
    <mergeCell ref="C4:D4"/>
    <mergeCell ref="E6:L6"/>
    <mergeCell ref="B8:E8"/>
    <mergeCell ref="F8:K8"/>
    <mergeCell ref="L8:Q8"/>
    <mergeCell ref="C9:E9"/>
    <mergeCell ref="G9:K9"/>
    <mergeCell ref="M9:Q9"/>
    <mergeCell ref="E20:K20"/>
    <mergeCell ref="B24:D24"/>
    <mergeCell ref="B21:D21"/>
    <mergeCell ref="B25:D25"/>
    <mergeCell ref="G21:H21"/>
    <mergeCell ref="G25:K25"/>
    <mergeCell ref="L25:Q25"/>
    <mergeCell ref="B26:D26"/>
    <mergeCell ref="G26:K26"/>
    <mergeCell ref="L26:Q26"/>
    <mergeCell ref="G24:K24"/>
    <mergeCell ref="L24:Q24"/>
    <mergeCell ref="G29:K29"/>
    <mergeCell ref="B30:D30"/>
    <mergeCell ref="G31:K31"/>
    <mergeCell ref="G28:K28"/>
    <mergeCell ref="L27:Q27"/>
    <mergeCell ref="B28:D28"/>
    <mergeCell ref="B27:D27"/>
    <mergeCell ref="G27:K27"/>
    <mergeCell ref="L29:Q29"/>
    <mergeCell ref="G30:K30"/>
    <mergeCell ref="B29:D29"/>
    <mergeCell ref="L30:Q30"/>
    <mergeCell ref="B31:D31"/>
    <mergeCell ref="L31:Q31"/>
    <mergeCell ref="B58:D59"/>
    <mergeCell ref="E58:G59"/>
    <mergeCell ref="H58:K59"/>
    <mergeCell ref="B53:D53"/>
    <mergeCell ref="G53:K53"/>
    <mergeCell ref="G54:K54"/>
    <mergeCell ref="B56:E56"/>
    <mergeCell ref="F56:K56"/>
    <mergeCell ref="F55:K55"/>
    <mergeCell ref="B55:E55"/>
    <mergeCell ref="B54:D54"/>
    <mergeCell ref="L56:P56"/>
    <mergeCell ref="L49:Q49"/>
    <mergeCell ref="L50:Q50"/>
    <mergeCell ref="L51:Q51"/>
    <mergeCell ref="L55:P55"/>
    <mergeCell ref="L53:Q53"/>
    <mergeCell ref="L52:Q52"/>
    <mergeCell ref="G48:H48"/>
    <mergeCell ref="I48:J48"/>
    <mergeCell ref="E47:K47"/>
    <mergeCell ref="B48:D48"/>
    <mergeCell ref="B49:D49"/>
    <mergeCell ref="G50:K50"/>
    <mergeCell ref="B51:D51"/>
    <mergeCell ref="B50:D50"/>
    <mergeCell ref="G51:K51"/>
    <mergeCell ref="B52:D52"/>
    <mergeCell ref="G52:K52"/>
    <mergeCell ref="L48:Q48"/>
    <mergeCell ref="L54:Q54"/>
    <mergeCell ref="G49:K49"/>
    <mergeCell ref="C3:D3"/>
    <mergeCell ref="E4:L4"/>
    <mergeCell ref="B35:E35"/>
    <mergeCell ref="F35:K35"/>
    <mergeCell ref="I21:J21"/>
    <mergeCell ref="L21:Q21"/>
    <mergeCell ref="B22:D22"/>
    <mergeCell ref="G22:K22"/>
    <mergeCell ref="L22:Q22"/>
    <mergeCell ref="B23:D23"/>
    <mergeCell ref="G23:K23"/>
    <mergeCell ref="L23:Q23"/>
    <mergeCell ref="L28:Q28"/>
    <mergeCell ref="C36:E36"/>
    <mergeCell ref="G36:K36"/>
    <mergeCell ref="L32:Q32"/>
    <mergeCell ref="F34:M34"/>
    <mergeCell ref="M36:Q36"/>
    <mergeCell ref="B33:D33"/>
    <mergeCell ref="G33:K33"/>
    <mergeCell ref="L33:Q33"/>
    <mergeCell ref="G32:K32"/>
    <mergeCell ref="B32:D32"/>
  </mergeCells>
  <phoneticPr fontId="30" type="noConversion"/>
  <conditionalFormatting sqref="C4:D4">
    <cfRule type="cellIs" dxfId="21" priority="260" stopIfTrue="1" operator="equal">
      <formula>"C"</formula>
    </cfRule>
    <cfRule type="cellIs" dxfId="20" priority="261" stopIfTrue="1" operator="equal">
      <formula>"B2"</formula>
    </cfRule>
    <cfRule type="cellIs" dxfId="19" priority="262" stopIfTrue="1" operator="equal">
      <formula>"B1"</formula>
    </cfRule>
  </conditionalFormatting>
  <conditionalFormatting sqref="G22:G24">
    <cfRule type="cellIs" dxfId="18" priority="5" stopIfTrue="1" operator="between">
      <formula>0.6</formula>
      <formula>0.899</formula>
    </cfRule>
    <cfRule type="cellIs" dxfId="17" priority="6" stopIfTrue="1" operator="greaterThanOrEqual">
      <formula>0.9</formula>
    </cfRule>
  </conditionalFormatting>
  <conditionalFormatting sqref="G22:G33">
    <cfRule type="cellIs" dxfId="16" priority="4" stopIfTrue="1" operator="between">
      <formula>0</formula>
      <formula>0.599</formula>
    </cfRule>
  </conditionalFormatting>
  <conditionalFormatting sqref="G25:G33">
    <cfRule type="cellIs" dxfId="15" priority="47" stopIfTrue="1" operator="between">
      <formula>0.6</formula>
      <formula>0.899</formula>
    </cfRule>
    <cfRule type="cellIs" dxfId="14" priority="48" stopIfTrue="1" operator="greaterThanOrEqual">
      <formula>0.9</formula>
    </cfRule>
  </conditionalFormatting>
  <conditionalFormatting sqref="G30">
    <cfRule type="cellIs" dxfId="13" priority="41" stopIfTrue="1" operator="between">
      <formula>0.6</formula>
      <formula>0.899</formula>
    </cfRule>
    <cfRule type="cellIs" dxfId="12" priority="42" stopIfTrue="1" operator="greaterThanOrEqual">
      <formula>0.9</formula>
    </cfRule>
  </conditionalFormatting>
  <conditionalFormatting sqref="G49:G54">
    <cfRule type="cellIs" dxfId="11" priority="82" stopIfTrue="1" operator="between">
      <formula>0</formula>
      <formula>0.599</formula>
    </cfRule>
    <cfRule type="cellIs" dxfId="10" priority="83" stopIfTrue="1" operator="between">
      <formula>0.6</formula>
      <formula>0.899</formula>
    </cfRule>
    <cfRule type="cellIs" dxfId="9" priority="84" stopIfTrue="1" operator="greaterThanOrEqual">
      <formula>0.9</formula>
    </cfRule>
  </conditionalFormatting>
  <conditionalFormatting sqref="G49:K54">
    <cfRule type="cellIs" dxfId="8" priority="79" stopIfTrue="1" operator="greaterThan">
      <formula>0.9</formula>
    </cfRule>
    <cfRule type="cellIs" dxfId="7" priority="80" stopIfTrue="1" operator="between">
      <formula>0.6</formula>
      <formula>0.89</formula>
    </cfRule>
    <cfRule type="cellIs" dxfId="6" priority="81" stopIfTrue="1" operator="lessThan">
      <formula>0.59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Q66"/>
  <sheetViews>
    <sheetView showGridLines="0" topLeftCell="A22" zoomScale="90" zoomScaleNormal="90" workbookViewId="0">
      <selection activeCell="J30" sqref="J30:M30"/>
    </sheetView>
  </sheetViews>
  <sheetFormatPr defaultColWidth="11" defaultRowHeight="14.45"/>
  <cols>
    <col min="1" max="1" width="3.28515625" customWidth="1"/>
    <col min="2" max="2" width="12.28515625" customWidth="1"/>
    <col min="3" max="3" width="13.28515625" customWidth="1"/>
    <col min="4" max="4" width="14.28515625" customWidth="1"/>
    <col min="5" max="5" width="12.7109375" customWidth="1"/>
    <col min="6" max="7" width="17" customWidth="1"/>
    <col min="8" max="8" width="3.7109375" customWidth="1"/>
    <col min="9" max="9" width="17.7109375" customWidth="1"/>
    <col min="10" max="10" width="31.28515625" customWidth="1"/>
    <col min="11" max="11" width="13.7109375" customWidth="1"/>
    <col min="12" max="12" width="13.5703125" customWidth="1"/>
    <col min="13" max="13" width="14" customWidth="1"/>
  </cols>
  <sheetData>
    <row r="1" spans="1:17" ht="28.5" customHeight="1">
      <c r="C1" s="114"/>
      <c r="E1" s="79"/>
    </row>
    <row r="2" spans="1:17" ht="27.75" customHeight="1">
      <c r="B2" s="763" t="str">
        <f>+"Панель показателей:  "&amp;"  "&amp;IF(+'Ввод данных'!B4="Выберите","",'Ввод данных'!B4&amp;" - ")&amp;IF('Ввод данных'!F6="Выберите","",'Ввод данных'!F6)</f>
        <v>Панель показателей:    Кыргызстан - ВИЧ/СПИД/ТБ</v>
      </c>
      <c r="C2" s="763"/>
      <c r="D2" s="763"/>
      <c r="E2" s="763"/>
      <c r="F2" s="763"/>
      <c r="G2" s="763"/>
      <c r="H2" s="763"/>
      <c r="I2" s="763"/>
      <c r="J2" s="763"/>
      <c r="K2" s="763"/>
      <c r="L2" s="763"/>
      <c r="M2" s="763"/>
      <c r="N2" s="17"/>
      <c r="O2" s="17"/>
      <c r="P2" s="17"/>
      <c r="Q2" s="17"/>
    </row>
    <row r="3" spans="1:17" ht="22.5" customHeight="1">
      <c r="A3" s="200"/>
      <c r="B3" s="201" t="str">
        <f>+IF('Ввод данных'!F8="Пожалуйста выберите","",'Ввод данных'!F8)</f>
        <v>GS6</v>
      </c>
      <c r="C3" s="880">
        <f>+IF('Ввод данных'!H8="Пожалуйста выберите","",'Ввод данных'!H8)</f>
        <v>0</v>
      </c>
      <c r="D3" s="880"/>
      <c r="E3" s="767"/>
      <c r="F3" s="767"/>
      <c r="G3" s="767"/>
      <c r="H3" s="767"/>
      <c r="I3" s="767"/>
      <c r="J3" s="767"/>
      <c r="K3" s="765" t="str">
        <f>+'Ввод данных'!A16</f>
        <v>Отчетный период</v>
      </c>
      <c r="L3" s="765"/>
      <c r="M3" s="93" t="str">
        <f>+'Ввод данных'!B16</f>
        <v>P3</v>
      </c>
    </row>
    <row r="4" spans="1:17" ht="25.5" customHeight="1">
      <c r="A4" s="200"/>
      <c r="B4" s="206" t="str">
        <f>+'Ввод данных'!A12</f>
        <v>Последняя оценка:</v>
      </c>
      <c r="C4" s="876" t="str">
        <f>+IF('Ввод данных'!B12="Выберите","",'Ввод данных'!B12)</f>
        <v>B2</v>
      </c>
      <c r="D4" s="876"/>
      <c r="E4" s="767" t="str">
        <f>+'Ввод данных'!B8</f>
        <v>ПРООН</v>
      </c>
      <c r="F4" s="767"/>
      <c r="G4" s="767"/>
      <c r="H4" s="767"/>
      <c r="I4" s="767"/>
      <c r="J4" s="767"/>
      <c r="K4" s="765" t="str">
        <f>+'Ввод данных'!C16</f>
        <v>с:</v>
      </c>
      <c r="L4" s="765"/>
      <c r="M4" s="94">
        <f>+IF(ISBLANK('Ввод данных'!D16),"",'Ввод данных'!D16)</f>
        <v>44927</v>
      </c>
    </row>
    <row r="5" spans="1:17" ht="18.75" customHeight="1">
      <c r="B5" s="84"/>
      <c r="C5" s="84"/>
      <c r="D5" s="767" t="str">
        <f>+'Ввод данных'!F4</f>
        <v>«Эффективный контроль за ВИЧ-инфекцией и туберкулезом в Кыргызской Республике»</v>
      </c>
      <c r="E5" s="767"/>
      <c r="F5" s="767"/>
      <c r="G5" s="767"/>
      <c r="H5" s="767"/>
      <c r="I5" s="767"/>
      <c r="J5" s="767"/>
      <c r="K5" s="767"/>
      <c r="L5" s="84" t="str">
        <f>+'Ввод данных'!E16</f>
        <v>до:</v>
      </c>
      <c r="M5" s="94">
        <f>+IF(ISBLANK('Ввод данных'!F16),"",'Ввод данных'!F16)</f>
        <v>45291</v>
      </c>
    </row>
    <row r="6" spans="1:17" ht="18">
      <c r="B6" s="15"/>
      <c r="C6" s="84"/>
      <c r="D6" s="16"/>
      <c r="E6" s="352" t="s">
        <v>414</v>
      </c>
      <c r="F6" s="352"/>
      <c r="G6" s="352"/>
      <c r="H6" s="352"/>
      <c r="I6" s="352"/>
      <c r="J6" s="352"/>
    </row>
    <row r="7" spans="1:17" ht="22.5" customHeight="1" thickBot="1">
      <c r="B7" s="878" t="str">
        <f>+'Ввод данных'!A86&amp;" "&amp;+K3&amp;"   "&amp;+M3</f>
        <v>M1: Статус Предварительных условий (ПУ) и Действий с установленным сроком исполнения (ДУС) Отчетный период   P3</v>
      </c>
      <c r="C7" s="878"/>
      <c r="D7" s="878"/>
      <c r="E7" s="878"/>
      <c r="F7" s="878"/>
      <c r="G7" s="393"/>
      <c r="I7" s="176" t="str">
        <f>+'Ввод данных'!A95&amp;"                                       "&amp;+K3&amp;"  "&amp;+M3</f>
        <v>M2: Статус ключевых руководящих должностей в структуре ОР                                       Отчетный период  P3</v>
      </c>
    </row>
    <row r="8" spans="1:17" ht="45.75" customHeight="1" thickBot="1">
      <c r="B8" s="316" t="s">
        <v>364</v>
      </c>
      <c r="C8" s="877" t="s">
        <v>415</v>
      </c>
      <c r="D8" s="877"/>
      <c r="E8" s="877"/>
      <c r="F8" s="877"/>
      <c r="G8" s="317"/>
      <c r="H8" s="318"/>
      <c r="I8" s="316" t="s">
        <v>364</v>
      </c>
      <c r="J8" s="881" t="s">
        <v>416</v>
      </c>
      <c r="K8" s="881"/>
      <c r="L8" s="881"/>
      <c r="M8" s="881"/>
    </row>
    <row r="10" spans="1:17">
      <c r="A10" s="29"/>
      <c r="D10" s="879"/>
      <c r="E10" s="787"/>
      <c r="F10" s="787"/>
      <c r="G10" s="28"/>
      <c r="H10" s="28"/>
      <c r="O10" s="31"/>
      <c r="P10" s="31"/>
      <c r="Q10" s="30"/>
    </row>
    <row r="11" spans="1:17">
      <c r="C11" s="72"/>
      <c r="D11" s="879"/>
      <c r="E11" s="72"/>
      <c r="F11" s="72"/>
      <c r="G11" s="72"/>
      <c r="H11" s="72"/>
      <c r="I11" s="72"/>
    </row>
    <row r="12" spans="1:17">
      <c r="C12" s="72"/>
      <c r="D12" s="72"/>
      <c r="E12" s="72"/>
      <c r="F12" s="72"/>
      <c r="G12" s="72"/>
      <c r="H12" s="72"/>
      <c r="I12" s="72"/>
    </row>
    <row r="13" spans="1:17">
      <c r="C13" s="72"/>
      <c r="D13" s="72"/>
      <c r="E13" s="72"/>
      <c r="F13" s="72"/>
      <c r="G13" s="72"/>
      <c r="H13" s="72"/>
      <c r="I13" s="72"/>
    </row>
    <row r="14" spans="1:17">
      <c r="C14" s="72"/>
      <c r="D14" s="72"/>
      <c r="E14" s="72"/>
      <c r="F14" s="72"/>
      <c r="G14" s="72"/>
      <c r="H14" s="72"/>
      <c r="I14" s="72"/>
    </row>
    <row r="15" spans="1:17">
      <c r="B15" s="72"/>
      <c r="C15" s="49"/>
      <c r="D15" s="50"/>
      <c r="E15" s="50"/>
      <c r="F15" s="50"/>
      <c r="G15" s="50"/>
      <c r="H15" s="50"/>
      <c r="I15" s="51"/>
    </row>
    <row r="16" spans="1:17">
      <c r="B16" s="72"/>
      <c r="C16" s="49"/>
      <c r="D16" s="50"/>
      <c r="E16" s="50"/>
      <c r="F16" s="50"/>
      <c r="G16" s="50"/>
      <c r="H16" s="50"/>
      <c r="I16" s="51"/>
    </row>
    <row r="17" spans="2:14" ht="40.5" customHeight="1"/>
    <row r="18" spans="2:14" ht="27.75" customHeight="1" thickBot="1">
      <c r="B18" s="176" t="str">
        <f>+'Ввод данных'!A102&amp;"                                                                                                  "&amp;+K3&amp;" "&amp;+M3</f>
        <v>M3: Контрактные соглашения (СР)                                                                                                   Отчетный период P3</v>
      </c>
      <c r="I18" s="176" t="str">
        <f>+'Ввод данных'!A108&amp;"                                       "&amp;+K3&amp;" "&amp;+M3</f>
        <v>M4: Количество полных отчетов, полученных к установленному сроку                                       Отчетный период P3</v>
      </c>
    </row>
    <row r="19" spans="2:14" ht="44.25" customHeight="1" thickBot="1">
      <c r="B19" s="315" t="s">
        <v>364</v>
      </c>
      <c r="C19" s="886" t="s">
        <v>417</v>
      </c>
      <c r="D19" s="886"/>
      <c r="E19" s="886"/>
      <c r="F19" s="886"/>
      <c r="I19" s="315" t="s">
        <v>418</v>
      </c>
      <c r="J19" s="886" t="s">
        <v>419</v>
      </c>
      <c r="K19" s="886"/>
      <c r="L19" s="886"/>
      <c r="M19" s="886"/>
    </row>
    <row r="20" spans="2:14" ht="27.75" customHeight="1">
      <c r="B20" s="176"/>
    </row>
    <row r="21" spans="2:14" ht="27.75" customHeight="1">
      <c r="B21" s="176"/>
      <c r="I21" s="176"/>
    </row>
    <row r="22" spans="2:14" ht="27.75" customHeight="1">
      <c r="B22" s="176"/>
      <c r="I22" s="176"/>
    </row>
    <row r="23" spans="2:14" ht="27.75" customHeight="1">
      <c r="B23" s="176"/>
    </row>
    <row r="24" spans="2:14">
      <c r="B24" s="19"/>
      <c r="I24" s="19"/>
    </row>
    <row r="25" spans="2:14">
      <c r="N25" s="53"/>
    </row>
    <row r="28" spans="2:14" ht="24.75" customHeight="1">
      <c r="B28" s="887" t="str">
        <f>+'Ввод данных'!A116</f>
        <v>M5: Бюджет и закупки товаров медицинского назначения, медицинского оборудования,  лекарственных средств и фармацевтических препаратов</v>
      </c>
      <c r="C28" s="887"/>
      <c r="D28" s="887"/>
      <c r="E28" s="887"/>
      <c r="F28" s="887"/>
      <c r="I28" s="888" t="str">
        <f>+'Ввод данных'!A129&amp;"                    "&amp;+K3&amp;"  "&amp;+M3</f>
        <v>M6: Разница между текущим и резервным запасами                    Отчетный период  P3</v>
      </c>
      <c r="J28" s="888"/>
      <c r="K28" s="888"/>
      <c r="L28" s="888"/>
      <c r="M28" s="888"/>
    </row>
    <row r="29" spans="2:14" ht="252" customHeight="1">
      <c r="B29" s="885" t="s">
        <v>364</v>
      </c>
      <c r="C29" s="883" t="s">
        <v>420</v>
      </c>
      <c r="D29" s="884"/>
      <c r="E29" s="884"/>
      <c r="F29" s="884"/>
      <c r="G29" s="202"/>
      <c r="H29" s="177"/>
      <c r="I29" s="394" t="s">
        <v>421</v>
      </c>
      <c r="J29" s="889" t="s">
        <v>422</v>
      </c>
      <c r="K29" s="889"/>
      <c r="L29" s="889"/>
      <c r="M29" s="889"/>
    </row>
    <row r="30" spans="2:14" ht="154.5" customHeight="1">
      <c r="B30" s="885"/>
      <c r="C30" s="884"/>
      <c r="D30" s="884"/>
      <c r="E30" s="884"/>
      <c r="F30" s="884"/>
      <c r="I30" s="394" t="s">
        <v>418</v>
      </c>
      <c r="J30" s="890" t="s">
        <v>423</v>
      </c>
      <c r="K30" s="891"/>
      <c r="L30" s="891"/>
      <c r="M30" s="891"/>
    </row>
    <row r="31" spans="2:14" ht="119.25" customHeight="1">
      <c r="F31" s="158"/>
      <c r="G31" s="158"/>
      <c r="H31" s="158"/>
      <c r="I31" s="362" t="s">
        <v>168</v>
      </c>
      <c r="J31" s="363" t="s">
        <v>424</v>
      </c>
      <c r="K31" s="364" t="s">
        <v>425</v>
      </c>
      <c r="L31" s="364" t="s">
        <v>426</v>
      </c>
      <c r="M31" s="365" t="s">
        <v>427</v>
      </c>
    </row>
    <row r="32" spans="2:14" ht="22.5" customHeight="1">
      <c r="F32" s="158"/>
      <c r="G32" s="158"/>
      <c r="H32" s="158"/>
      <c r="I32" s="892" t="s">
        <v>428</v>
      </c>
      <c r="J32" s="355" t="s">
        <v>179</v>
      </c>
      <c r="K32" s="355">
        <f>'Ввод данных'!I132</f>
        <v>11.781609195402298</v>
      </c>
      <c r="L32" s="355">
        <v>3</v>
      </c>
      <c r="M32" s="377">
        <f>K32-L32</f>
        <v>8.7816091954022983</v>
      </c>
    </row>
    <row r="33" spans="6:13">
      <c r="F33" s="158"/>
      <c r="G33" s="158"/>
      <c r="H33" s="158"/>
      <c r="I33" s="893"/>
      <c r="J33" s="355" t="s">
        <v>180</v>
      </c>
      <c r="K33" s="355">
        <f>'Ввод данных'!I133</f>
        <v>9.6162878787878796</v>
      </c>
      <c r="L33" s="355">
        <v>3</v>
      </c>
      <c r="M33" s="377">
        <f t="shared" ref="M33:M42" si="0">K33-L33</f>
        <v>6.6162878787878796</v>
      </c>
    </row>
    <row r="34" spans="6:13">
      <c r="F34" s="158"/>
      <c r="G34" s="158"/>
      <c r="H34" s="158"/>
      <c r="I34" s="893"/>
      <c r="J34" s="355" t="s">
        <v>181</v>
      </c>
      <c r="K34" s="355">
        <f>'Ввод данных'!I134</f>
        <v>3.7142857142857144</v>
      </c>
      <c r="L34" s="355">
        <v>3</v>
      </c>
      <c r="M34" s="377">
        <f t="shared" si="0"/>
        <v>0.71428571428571441</v>
      </c>
    </row>
    <row r="35" spans="6:13">
      <c r="F35" s="158"/>
      <c r="G35" s="158"/>
      <c r="H35" s="158"/>
      <c r="I35" s="893"/>
      <c r="J35" s="355" t="s">
        <v>182</v>
      </c>
      <c r="K35" s="355">
        <f>'Ввод данных'!I135</f>
        <v>12.849568221070811</v>
      </c>
      <c r="L35" s="355">
        <v>3</v>
      </c>
      <c r="M35" s="377">
        <f t="shared" si="0"/>
        <v>9.8495682210708111</v>
      </c>
    </row>
    <row r="36" spans="6:13">
      <c r="F36" s="158"/>
      <c r="G36" s="158"/>
      <c r="H36" s="158"/>
      <c r="I36" s="893"/>
      <c r="J36" s="355" t="s">
        <v>183</v>
      </c>
      <c r="K36" s="355">
        <f>'Ввод данных'!I136</f>
        <v>8.132992327365729</v>
      </c>
      <c r="L36" s="355">
        <v>3</v>
      </c>
      <c r="M36" s="377">
        <f t="shared" si="0"/>
        <v>5.132992327365729</v>
      </c>
    </row>
    <row r="37" spans="6:13">
      <c r="F37" s="158"/>
      <c r="G37" s="158"/>
      <c r="H37" s="158"/>
      <c r="I37" s="893"/>
      <c r="J37" s="355" t="s">
        <v>184</v>
      </c>
      <c r="K37" s="355">
        <f>'Ввод данных'!I137</f>
        <v>8.2595238095238095</v>
      </c>
      <c r="L37" s="355">
        <v>3</v>
      </c>
      <c r="M37" s="377">
        <f t="shared" si="0"/>
        <v>5.2595238095238095</v>
      </c>
    </row>
    <row r="38" spans="6:13">
      <c r="F38" s="158"/>
      <c r="G38" s="158"/>
      <c r="H38" s="158"/>
      <c r="I38" s="893"/>
      <c r="J38" s="355" t="s">
        <v>185</v>
      </c>
      <c r="K38" s="355">
        <f>'Ввод данных'!I138</f>
        <v>5.0853551912568307</v>
      </c>
      <c r="L38" s="355">
        <v>3</v>
      </c>
      <c r="M38" s="377">
        <f t="shared" si="0"/>
        <v>2.0853551912568307</v>
      </c>
    </row>
    <row r="39" spans="6:13" ht="15" customHeight="1">
      <c r="F39" s="158"/>
      <c r="G39" s="158"/>
      <c r="H39" s="158"/>
      <c r="I39" s="893"/>
      <c r="J39" s="355" t="s">
        <v>429</v>
      </c>
      <c r="K39" s="355">
        <f>'Ввод данных'!I139</f>
        <v>19.798148148148147</v>
      </c>
      <c r="L39" s="355">
        <v>3</v>
      </c>
      <c r="M39" s="377">
        <f t="shared" si="0"/>
        <v>16.798148148148147</v>
      </c>
    </row>
    <row r="40" spans="6:13">
      <c r="F40" s="158"/>
      <c r="G40" s="158"/>
      <c r="H40" s="158"/>
      <c r="I40" s="893"/>
      <c r="J40" s="355" t="s">
        <v>187</v>
      </c>
      <c r="K40" s="355">
        <f>'Ввод данных'!I140</f>
        <v>8.0207017543859642</v>
      </c>
      <c r="L40" s="355">
        <v>3</v>
      </c>
      <c r="M40" s="377">
        <f t="shared" si="0"/>
        <v>5.0207017543859642</v>
      </c>
    </row>
    <row r="41" spans="6:13">
      <c r="F41" s="158"/>
      <c r="G41" s="158"/>
      <c r="H41" s="158"/>
      <c r="I41" s="893"/>
      <c r="J41" s="355" t="s">
        <v>191</v>
      </c>
      <c r="K41" s="355">
        <f>'Ввод данных'!I144</f>
        <v>14.730263157894736</v>
      </c>
      <c r="L41" s="355">
        <v>3</v>
      </c>
      <c r="M41" s="377">
        <f t="shared" si="0"/>
        <v>11.730263157894736</v>
      </c>
    </row>
    <row r="42" spans="6:13">
      <c r="F42" s="158"/>
      <c r="G42" s="158"/>
      <c r="H42" s="158"/>
      <c r="I42" s="893"/>
      <c r="J42" s="355" t="s">
        <v>188</v>
      </c>
      <c r="K42" s="355">
        <f>'Ввод данных'!I141</f>
        <v>15.007472762515874</v>
      </c>
      <c r="L42" s="355">
        <v>3</v>
      </c>
      <c r="M42" s="377">
        <f t="shared" si="0"/>
        <v>12.007472762515874</v>
      </c>
    </row>
    <row r="43" spans="6:13">
      <c r="F43" s="158"/>
      <c r="G43" s="158"/>
      <c r="H43" s="158"/>
      <c r="I43" s="893"/>
      <c r="J43" s="355" t="s">
        <v>430</v>
      </c>
      <c r="K43" s="355">
        <f>'Ввод данных'!I142</f>
        <v>18.357142857142858</v>
      </c>
      <c r="L43" s="355">
        <v>3</v>
      </c>
      <c r="M43" s="377">
        <f>K43-L43</f>
        <v>15.357142857142858</v>
      </c>
    </row>
    <row r="44" spans="6:13">
      <c r="F44" s="158"/>
      <c r="G44" s="158"/>
      <c r="H44" s="158"/>
      <c r="I44" s="893"/>
      <c r="J44" s="355" t="s">
        <v>190</v>
      </c>
      <c r="K44" s="355">
        <f>'Ввод данных'!I143</f>
        <v>10.4</v>
      </c>
      <c r="L44" s="355">
        <v>3</v>
      </c>
      <c r="M44" s="377">
        <f>K44-L44</f>
        <v>7.4</v>
      </c>
    </row>
    <row r="45" spans="6:13">
      <c r="F45" s="158"/>
      <c r="G45" s="158"/>
      <c r="H45" s="158"/>
      <c r="I45" s="893"/>
      <c r="J45" s="355" t="s">
        <v>431</v>
      </c>
      <c r="K45" s="355">
        <v>56</v>
      </c>
      <c r="L45" s="355">
        <v>3</v>
      </c>
      <c r="M45" s="356">
        <f t="shared" ref="M45" si="1">K45-L45</f>
        <v>53</v>
      </c>
    </row>
    <row r="46" spans="6:13">
      <c r="F46" s="158"/>
      <c r="G46" s="158"/>
      <c r="H46" s="158"/>
      <c r="I46" s="893"/>
      <c r="J46" s="357" t="s">
        <v>432</v>
      </c>
      <c r="K46" s="360">
        <f>(1200+493)/150</f>
        <v>11.286666666666667</v>
      </c>
      <c r="L46" s="376">
        <v>3</v>
      </c>
      <c r="M46" s="377">
        <f>K46-L46</f>
        <v>8.2866666666666671</v>
      </c>
    </row>
    <row r="47" spans="6:13" ht="27.6">
      <c r="F47" s="158"/>
      <c r="G47" s="158"/>
      <c r="H47" s="158"/>
      <c r="I47" s="894"/>
      <c r="J47" s="361" t="s">
        <v>433</v>
      </c>
      <c r="K47" s="358">
        <f>31200/3599</f>
        <v>8.6690747429841615</v>
      </c>
      <c r="L47" s="358">
        <v>3</v>
      </c>
      <c r="M47" s="359">
        <f>K47-L47</f>
        <v>5.6690747429841615</v>
      </c>
    </row>
    <row r="48" spans="6:13">
      <c r="F48" s="158"/>
      <c r="G48" s="158"/>
      <c r="H48" s="158"/>
      <c r="I48" s="882" t="s">
        <v>141</v>
      </c>
      <c r="J48" s="470" t="s">
        <v>192</v>
      </c>
      <c r="K48" s="471">
        <f>'Ввод данных'!I145</f>
        <v>0</v>
      </c>
      <c r="L48" s="472">
        <v>0</v>
      </c>
      <c r="M48" s="473">
        <f>K48-L48</f>
        <v>0</v>
      </c>
    </row>
    <row r="49" spans="2:13">
      <c r="F49" s="158"/>
      <c r="G49" s="158"/>
      <c r="H49" s="158"/>
      <c r="I49" s="882"/>
      <c r="J49" s="474" t="s">
        <v>193</v>
      </c>
      <c r="K49" s="471">
        <f>'Ввод данных'!I146</f>
        <v>0</v>
      </c>
      <c r="L49" s="472">
        <v>0</v>
      </c>
      <c r="M49" s="473">
        <f t="shared" ref="M49:M65" si="2">K49-L49</f>
        <v>0</v>
      </c>
    </row>
    <row r="50" spans="2:13">
      <c r="I50" s="882"/>
      <c r="J50" s="474" t="s">
        <v>194</v>
      </c>
      <c r="K50" s="471">
        <f>'Ввод данных'!I147</f>
        <v>0</v>
      </c>
      <c r="L50" s="472">
        <v>3</v>
      </c>
      <c r="M50" s="473">
        <f t="shared" si="2"/>
        <v>-3</v>
      </c>
    </row>
    <row r="51" spans="2:13">
      <c r="I51" s="882"/>
      <c r="J51" s="474" t="s">
        <v>195</v>
      </c>
      <c r="K51" s="471">
        <f>'Ввод данных'!I148</f>
        <v>1.6217391304347826</v>
      </c>
      <c r="L51" s="472">
        <v>3</v>
      </c>
      <c r="M51" s="473">
        <f t="shared" si="2"/>
        <v>-1.3782608695652174</v>
      </c>
    </row>
    <row r="52" spans="2:13">
      <c r="I52" s="882"/>
      <c r="J52" s="474" t="s">
        <v>196</v>
      </c>
      <c r="K52" s="471">
        <f>'Ввод данных'!I149</f>
        <v>5.7665189561792225</v>
      </c>
      <c r="L52" s="472">
        <v>3</v>
      </c>
      <c r="M52" s="473">
        <f t="shared" si="2"/>
        <v>2.7665189561792225</v>
      </c>
    </row>
    <row r="53" spans="2:13">
      <c r="B53" s="395"/>
      <c r="C53" s="395"/>
      <c r="D53" s="395"/>
      <c r="E53" s="395"/>
      <c r="I53" s="882"/>
      <c r="J53" s="474" t="s">
        <v>197</v>
      </c>
      <c r="K53" s="471">
        <f>'Ввод данных'!I150</f>
        <v>0</v>
      </c>
      <c r="L53" s="472">
        <v>3</v>
      </c>
      <c r="M53" s="473">
        <f t="shared" si="2"/>
        <v>-3</v>
      </c>
    </row>
    <row r="54" spans="2:13">
      <c r="I54" s="882"/>
      <c r="J54" s="474" t="s">
        <v>198</v>
      </c>
      <c r="K54" s="471">
        <f>'Ввод данных'!I151</f>
        <v>0.49285714285714288</v>
      </c>
      <c r="L54" s="472">
        <v>3</v>
      </c>
      <c r="M54" s="473">
        <f t="shared" si="2"/>
        <v>-2.5071428571428571</v>
      </c>
    </row>
    <row r="55" spans="2:13">
      <c r="I55" s="882"/>
      <c r="J55" s="474" t="s">
        <v>199</v>
      </c>
      <c r="K55" s="471">
        <f>'Ввод данных'!I152</f>
        <v>5.6812915910465822</v>
      </c>
      <c r="L55" s="472">
        <v>3</v>
      </c>
      <c r="M55" s="473">
        <f t="shared" si="2"/>
        <v>2.6812915910465822</v>
      </c>
    </row>
    <row r="56" spans="2:13">
      <c r="I56" s="882"/>
      <c r="J56" s="474" t="s">
        <v>200</v>
      </c>
      <c r="K56" s="471">
        <f>'Ввод данных'!I153</f>
        <v>11.166236559139785</v>
      </c>
      <c r="L56" s="472">
        <v>3</v>
      </c>
      <c r="M56" s="473">
        <f t="shared" si="2"/>
        <v>8.1662365591397847</v>
      </c>
    </row>
    <row r="57" spans="2:13">
      <c r="I57" s="882"/>
      <c r="J57" s="474" t="s">
        <v>201</v>
      </c>
      <c r="K57" s="471">
        <f>'Ввод данных'!I154</f>
        <v>0</v>
      </c>
      <c r="L57" s="472">
        <v>3</v>
      </c>
      <c r="M57" s="473">
        <f t="shared" si="2"/>
        <v>-3</v>
      </c>
    </row>
    <row r="58" spans="2:13">
      <c r="I58" s="882"/>
      <c r="J58" s="474" t="s">
        <v>202</v>
      </c>
      <c r="K58" s="471">
        <f>'Ввод данных'!I155</f>
        <v>0</v>
      </c>
      <c r="L58" s="472">
        <v>3</v>
      </c>
      <c r="M58" s="473">
        <f t="shared" si="2"/>
        <v>-3</v>
      </c>
    </row>
    <row r="59" spans="2:13">
      <c r="I59" s="882"/>
      <c r="J59" s="474" t="str">
        <f>'Ввод данных'!B156</f>
        <v>Pretomanid 200 mg Таблетки</v>
      </c>
      <c r="K59" s="471">
        <f>'Ввод данных'!I156</f>
        <v>117.75520833333333</v>
      </c>
      <c r="L59" s="472">
        <v>3</v>
      </c>
      <c r="M59" s="473">
        <f t="shared" si="2"/>
        <v>114.75520833333333</v>
      </c>
    </row>
    <row r="60" spans="2:13">
      <c r="I60" s="882"/>
      <c r="J60" s="474" t="s">
        <v>204</v>
      </c>
      <c r="K60" s="471">
        <f>'Ввод данных'!I157</f>
        <v>0</v>
      </c>
      <c r="L60" s="472">
        <v>3</v>
      </c>
      <c r="M60" s="473">
        <f t="shared" si="2"/>
        <v>-3</v>
      </c>
    </row>
    <row r="61" spans="2:13">
      <c r="I61" s="882"/>
      <c r="J61" s="474" t="s">
        <v>205</v>
      </c>
      <c r="K61" s="471">
        <f>'Ввод данных'!I158</f>
        <v>26.324860335195531</v>
      </c>
      <c r="L61" s="472">
        <v>3</v>
      </c>
      <c r="M61" s="473">
        <f t="shared" si="2"/>
        <v>23.324860335195531</v>
      </c>
    </row>
    <row r="62" spans="2:13">
      <c r="I62" s="882"/>
      <c r="J62" s="474" t="s">
        <v>206</v>
      </c>
      <c r="K62" s="471">
        <f>'Ввод данных'!I159</f>
        <v>2.3695652173913042</v>
      </c>
      <c r="L62" s="472">
        <v>3</v>
      </c>
      <c r="M62" s="473">
        <f t="shared" si="2"/>
        <v>-0.63043478260869579</v>
      </c>
    </row>
    <row r="63" spans="2:13">
      <c r="I63" s="882"/>
      <c r="J63" s="474" t="s">
        <v>207</v>
      </c>
      <c r="K63" s="471">
        <f>'Ввод данных'!I160</f>
        <v>26.501053283767039</v>
      </c>
      <c r="L63" s="472">
        <v>3</v>
      </c>
      <c r="M63" s="473">
        <f t="shared" si="2"/>
        <v>23.501053283767039</v>
      </c>
    </row>
    <row r="64" spans="2:13">
      <c r="I64" s="882"/>
      <c r="J64" s="474" t="s">
        <v>208</v>
      </c>
      <c r="K64" s="475">
        <f>'Ввод данных'!I161</f>
        <v>25.858955137815709</v>
      </c>
      <c r="L64" s="476">
        <v>3</v>
      </c>
      <c r="M64" s="473">
        <f t="shared" si="2"/>
        <v>22.858955137815709</v>
      </c>
    </row>
    <row r="65" spans="9:13">
      <c r="I65" s="882"/>
      <c r="J65" s="474" t="s">
        <v>209</v>
      </c>
      <c r="K65" s="477">
        <f>'Ввод данных'!I162</f>
        <v>25.885210622710623</v>
      </c>
      <c r="L65" s="478">
        <v>3</v>
      </c>
      <c r="M65" s="473">
        <f t="shared" si="2"/>
        <v>22.885210622710623</v>
      </c>
    </row>
    <row r="66" spans="9:13">
      <c r="I66" s="882"/>
      <c r="J66" s="479" t="s">
        <v>434</v>
      </c>
      <c r="K66" s="480">
        <v>10.4</v>
      </c>
      <c r="L66" s="480">
        <v>3</v>
      </c>
      <c r="M66" s="473">
        <f>K66-L66</f>
        <v>7.4</v>
      </c>
    </row>
  </sheetData>
  <mergeCells count="23">
    <mergeCell ref="I48:I66"/>
    <mergeCell ref="C29:F30"/>
    <mergeCell ref="B29:B30"/>
    <mergeCell ref="J19:M19"/>
    <mergeCell ref="B28:F28"/>
    <mergeCell ref="I28:M28"/>
    <mergeCell ref="J29:M29"/>
    <mergeCell ref="J30:M30"/>
    <mergeCell ref="C19:F19"/>
    <mergeCell ref="I32:I47"/>
    <mergeCell ref="B2:M2"/>
    <mergeCell ref="C4:D4"/>
    <mergeCell ref="E3:J3"/>
    <mergeCell ref="K3:L3"/>
    <mergeCell ref="E10:F10"/>
    <mergeCell ref="C8:F8"/>
    <mergeCell ref="B7:F7"/>
    <mergeCell ref="D10:D11"/>
    <mergeCell ref="C3:D3"/>
    <mergeCell ref="E4:J4"/>
    <mergeCell ref="K4:L4"/>
    <mergeCell ref="J8:M8"/>
    <mergeCell ref="D5:K5"/>
  </mergeCells>
  <phoneticPr fontId="30" type="noConversion"/>
  <conditionalFormatting sqref="C4:D4">
    <cfRule type="cellIs" dxfId="5" priority="4" stopIfTrue="1" operator="equal">
      <formula>"C"</formula>
    </cfRule>
    <cfRule type="cellIs" dxfId="4" priority="5" stopIfTrue="1" operator="equal">
      <formula>"B2"</formula>
    </cfRule>
    <cfRule type="cellIs" dxfId="3" priority="6" stopIfTrue="1" operator="equal">
      <formula>"B1"</formula>
    </cfRule>
  </conditionalFormatting>
  <conditionalFormatting sqref="D15:D16">
    <cfRule type="cellIs" dxfId="2" priority="1" stopIfTrue="1" operator="greaterThan">
      <formula>0</formula>
    </cfRule>
  </conditionalFormatting>
  <conditionalFormatting sqref="E15:E16">
    <cfRule type="cellIs" dxfId="1" priority="2" stopIfTrue="1" operator="greaterThan">
      <formula>0</formula>
    </cfRule>
  </conditionalFormatting>
  <conditionalFormatting sqref="F15:H16">
    <cfRule type="cellIs" dxfId="0" priority="3" stopIfTrue="1" operator="greaterThan">
      <formula>0</formula>
    </cfRule>
  </conditionalFormatting>
  <dataValidations count="2">
    <dataValidation type="list" allowBlank="1" showInputMessage="1" showErrorMessage="1" sqref="J48:J65" xr:uid="{173D2DE5-5CC1-4D2E-8A90-3B545477ECCC}">
      <formula1>мва</formula1>
    </dataValidation>
    <dataValidation type="list" allowBlank="1" showInputMessage="1" showErrorMessage="1" sqref="J37:J43" xr:uid="{00000000-0002-0000-0500-000001000000}">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M144"/>
  <sheetViews>
    <sheetView showGridLines="0" topLeftCell="A16" zoomScale="80" zoomScaleNormal="80" workbookViewId="0">
      <selection activeCell="I28" sqref="I28:I30"/>
    </sheetView>
  </sheetViews>
  <sheetFormatPr defaultColWidth="11" defaultRowHeight="14.45"/>
  <cols>
    <col min="1" max="1" width="11.42578125" customWidth="1"/>
    <col min="2" max="2" width="16.28515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3" ht="25.5" customHeight="1"/>
    <row r="3" spans="2:13" ht="36.6">
      <c r="B3" s="748" t="str">
        <f>'Сведения о гранте'!B3:J3</f>
        <v>Панель показателей:  Кыргызстан - ВИЧ/СПИД/ТБ</v>
      </c>
      <c r="C3" s="748"/>
      <c r="D3" s="748"/>
      <c r="E3" s="748"/>
      <c r="F3" s="748"/>
      <c r="G3" s="748"/>
      <c r="H3" s="748"/>
      <c r="I3" s="1"/>
    </row>
    <row r="6" spans="2:13" ht="18">
      <c r="B6" s="895" t="s">
        <v>435</v>
      </c>
      <c r="C6" s="895"/>
      <c r="D6" s="895"/>
      <c r="E6" s="895"/>
      <c r="F6" s="895"/>
      <c r="G6" s="895"/>
      <c r="H6" s="895"/>
    </row>
    <row r="8" spans="2:13" ht="18">
      <c r="B8" s="42" t="s">
        <v>436</v>
      </c>
      <c r="C8" s="42" t="s">
        <v>437</v>
      </c>
      <c r="D8" s="42" t="s">
        <v>438</v>
      </c>
      <c r="E8" s="42" t="s">
        <v>439</v>
      </c>
      <c r="F8" s="42" t="s">
        <v>440</v>
      </c>
      <c r="G8" s="42" t="s">
        <v>388</v>
      </c>
      <c r="H8" s="42" t="s">
        <v>441</v>
      </c>
      <c r="I8" s="42" t="s">
        <v>442</v>
      </c>
      <c r="J8" s="42" t="s">
        <v>443</v>
      </c>
    </row>
    <row r="9" spans="2:13">
      <c r="B9" s="27" t="s">
        <v>444</v>
      </c>
      <c r="C9" s="27" t="s">
        <v>444</v>
      </c>
      <c r="D9" s="27" t="s">
        <v>444</v>
      </c>
      <c r="E9" s="27" t="s">
        <v>444</v>
      </c>
      <c r="F9" s="27" t="s">
        <v>444</v>
      </c>
      <c r="G9" s="27" t="s">
        <v>444</v>
      </c>
      <c r="H9" s="27" t="s">
        <v>444</v>
      </c>
      <c r="I9" s="18" t="s">
        <v>444</v>
      </c>
      <c r="J9" s="27" t="s">
        <v>444</v>
      </c>
    </row>
    <row r="10" spans="2:13">
      <c r="B10" s="38" t="s">
        <v>445</v>
      </c>
      <c r="C10" s="38" t="s">
        <v>38</v>
      </c>
      <c r="D10" s="38" t="s">
        <v>446</v>
      </c>
      <c r="E10" s="38" t="s">
        <v>447</v>
      </c>
      <c r="F10" s="38" t="s">
        <v>41</v>
      </c>
      <c r="G10" s="38" t="s">
        <v>448</v>
      </c>
      <c r="H10" s="41" t="s">
        <v>449</v>
      </c>
      <c r="I10" s="18" t="s">
        <v>450</v>
      </c>
      <c r="J10" s="27" t="s">
        <v>451</v>
      </c>
    </row>
    <row r="11" spans="2:13">
      <c r="B11" s="38" t="s">
        <v>452</v>
      </c>
      <c r="C11" s="38" t="s">
        <v>453</v>
      </c>
      <c r="D11" s="38" t="s">
        <v>454</v>
      </c>
      <c r="E11" s="38" t="s">
        <v>455</v>
      </c>
      <c r="F11" s="38" t="s">
        <v>42</v>
      </c>
      <c r="G11" s="38" t="s">
        <v>456</v>
      </c>
      <c r="H11" s="41" t="s">
        <v>457</v>
      </c>
      <c r="I11" s="18" t="s">
        <v>458</v>
      </c>
      <c r="J11" s="27" t="s">
        <v>459</v>
      </c>
    </row>
    <row r="12" spans="2:13">
      <c r="B12" s="38" t="s">
        <v>141</v>
      </c>
      <c r="D12" s="38" t="s">
        <v>460</v>
      </c>
      <c r="E12" s="38" t="s">
        <v>461</v>
      </c>
      <c r="F12" s="38" t="s">
        <v>26</v>
      </c>
      <c r="G12" s="38" t="s">
        <v>462</v>
      </c>
      <c r="H12" s="41" t="s">
        <v>463</v>
      </c>
      <c r="I12" s="18" t="s">
        <v>464</v>
      </c>
      <c r="J12" s="27" t="s">
        <v>465</v>
      </c>
      <c r="M12" s="91"/>
    </row>
    <row r="13" spans="2:13">
      <c r="B13" s="38" t="s">
        <v>9</v>
      </c>
      <c r="D13" s="38" t="s">
        <v>466</v>
      </c>
      <c r="E13" s="39"/>
      <c r="F13" s="38" t="s">
        <v>43</v>
      </c>
      <c r="G13" s="38" t="s">
        <v>21</v>
      </c>
      <c r="H13" s="41" t="s">
        <v>467</v>
      </c>
      <c r="I13" s="18" t="s">
        <v>468</v>
      </c>
      <c r="J13" s="27" t="s">
        <v>469</v>
      </c>
      <c r="M13" s="91"/>
    </row>
    <row r="14" spans="2:13">
      <c r="B14" s="38" t="s">
        <v>470</v>
      </c>
      <c r="D14" s="38" t="s">
        <v>471</v>
      </c>
      <c r="F14" s="38" t="s">
        <v>44</v>
      </c>
      <c r="G14" s="38" t="s">
        <v>472</v>
      </c>
      <c r="H14" s="41" t="s">
        <v>473</v>
      </c>
      <c r="I14" s="18" t="s">
        <v>474</v>
      </c>
      <c r="J14" s="27" t="s">
        <v>475</v>
      </c>
      <c r="M14" s="91"/>
    </row>
    <row r="15" spans="2:13">
      <c r="D15" s="38" t="s">
        <v>476</v>
      </c>
      <c r="F15" s="38" t="s">
        <v>45</v>
      </c>
      <c r="H15" s="41" t="s">
        <v>477</v>
      </c>
      <c r="I15" s="18" t="s">
        <v>478</v>
      </c>
      <c r="J15" s="27" t="s">
        <v>479</v>
      </c>
      <c r="M15" s="91"/>
    </row>
    <row r="16" spans="2:13">
      <c r="D16" s="38" t="s">
        <v>480</v>
      </c>
      <c r="F16" s="38" t="s">
        <v>46</v>
      </c>
      <c r="H16" s="41" t="s">
        <v>481</v>
      </c>
      <c r="I16" s="18" t="s">
        <v>482</v>
      </c>
      <c r="J16" s="27" t="s">
        <v>483</v>
      </c>
      <c r="M16" s="91"/>
    </row>
    <row r="17" spans="4:13">
      <c r="D17" s="38" t="s">
        <v>484</v>
      </c>
      <c r="F17" s="38" t="s">
        <v>47</v>
      </c>
      <c r="H17" s="41" t="s">
        <v>485</v>
      </c>
      <c r="I17" s="18" t="s">
        <v>486</v>
      </c>
      <c r="J17" s="27" t="s">
        <v>487</v>
      </c>
      <c r="M17" s="91"/>
    </row>
    <row r="18" spans="4:13">
      <c r="D18" s="38" t="s">
        <v>488</v>
      </c>
      <c r="F18" s="38" t="s">
        <v>48</v>
      </c>
      <c r="H18" s="41" t="s">
        <v>489</v>
      </c>
      <c r="I18" s="18" t="s">
        <v>490</v>
      </c>
      <c r="J18" s="27" t="s">
        <v>491</v>
      </c>
      <c r="M18" s="91"/>
    </row>
    <row r="19" spans="4:13">
      <c r="D19" s="38" t="s">
        <v>492</v>
      </c>
      <c r="F19" s="38" t="s">
        <v>49</v>
      </c>
      <c r="H19" s="41" t="s">
        <v>493</v>
      </c>
      <c r="I19" s="18" t="s">
        <v>494</v>
      </c>
      <c r="J19" s="27" t="s">
        <v>495</v>
      </c>
      <c r="M19" s="91"/>
    </row>
    <row r="20" spans="4:13">
      <c r="D20" s="40"/>
      <c r="F20" s="38" t="s">
        <v>50</v>
      </c>
      <c r="H20" s="41" t="s">
        <v>19</v>
      </c>
      <c r="I20" s="18" t="s">
        <v>496</v>
      </c>
      <c r="J20" s="27" t="s">
        <v>497</v>
      </c>
    </row>
    <row r="21" spans="4:13">
      <c r="D21" s="353"/>
      <c r="F21" s="38" t="s">
        <v>51</v>
      </c>
      <c r="H21" s="353"/>
      <c r="I21" s="18" t="s">
        <v>498</v>
      </c>
      <c r="J21" s="27" t="s">
        <v>499</v>
      </c>
    </row>
    <row r="22" spans="4:13">
      <c r="H22" s="353"/>
      <c r="I22" s="18" t="s">
        <v>500</v>
      </c>
      <c r="J22" s="27" t="s">
        <v>501</v>
      </c>
    </row>
    <row r="23" spans="4:13">
      <c r="I23" s="18" t="s">
        <v>502</v>
      </c>
      <c r="J23" s="27" t="s">
        <v>503</v>
      </c>
    </row>
    <row r="24" spans="4:13">
      <c r="I24" s="18" t="s">
        <v>504</v>
      </c>
      <c r="J24" s="27" t="s">
        <v>505</v>
      </c>
    </row>
    <row r="25" spans="4:13">
      <c r="I25" s="27"/>
      <c r="J25" s="27" t="s">
        <v>506</v>
      </c>
    </row>
    <row r="26" spans="4:13">
      <c r="I26" s="18" t="s">
        <v>507</v>
      </c>
      <c r="J26" s="27" t="s">
        <v>508</v>
      </c>
    </row>
    <row r="27" spans="4:13">
      <c r="I27" s="18" t="s">
        <v>509</v>
      </c>
      <c r="J27" s="27" t="s">
        <v>510</v>
      </c>
    </row>
    <row r="28" spans="4:13">
      <c r="I28" s="27" t="s">
        <v>511</v>
      </c>
      <c r="J28" s="27" t="s">
        <v>512</v>
      </c>
    </row>
    <row r="29" spans="4:13">
      <c r="I29" s="27" t="s">
        <v>513</v>
      </c>
      <c r="J29" s="27" t="s">
        <v>514</v>
      </c>
    </row>
    <row r="30" spans="4:13">
      <c r="I30" s="27" t="s">
        <v>496</v>
      </c>
      <c r="J30" s="27" t="s">
        <v>515</v>
      </c>
    </row>
    <row r="31" spans="4:13">
      <c r="J31" s="27" t="s">
        <v>516</v>
      </c>
    </row>
    <row r="32" spans="4:13">
      <c r="J32" s="27" t="s">
        <v>517</v>
      </c>
    </row>
    <row r="33" spans="10:10">
      <c r="J33" s="27" t="s">
        <v>518</v>
      </c>
    </row>
    <row r="34" spans="10:10">
      <c r="J34" s="27" t="s">
        <v>519</v>
      </c>
    </row>
    <row r="35" spans="10:10">
      <c r="J35" s="27" t="s">
        <v>520</v>
      </c>
    </row>
    <row r="36" spans="10:10">
      <c r="J36" s="27" t="s">
        <v>520</v>
      </c>
    </row>
    <row r="37" spans="10:10">
      <c r="J37" s="27" t="s">
        <v>521</v>
      </c>
    </row>
    <row r="38" spans="10:10">
      <c r="J38" s="27" t="s">
        <v>522</v>
      </c>
    </row>
    <row r="39" spans="10:10">
      <c r="J39" s="27" t="s">
        <v>523</v>
      </c>
    </row>
    <row r="40" spans="10:10">
      <c r="J40" s="27" t="s">
        <v>524</v>
      </c>
    </row>
    <row r="41" spans="10:10">
      <c r="J41" s="27" t="s">
        <v>525</v>
      </c>
    </row>
    <row r="42" spans="10:10">
      <c r="J42" s="27" t="s">
        <v>526</v>
      </c>
    </row>
    <row r="43" spans="10:10">
      <c r="J43" s="27" t="s">
        <v>527</v>
      </c>
    </row>
    <row r="44" spans="10:10">
      <c r="J44" s="27" t="s">
        <v>528</v>
      </c>
    </row>
    <row r="45" spans="10:10">
      <c r="J45" s="27" t="s">
        <v>529</v>
      </c>
    </row>
    <row r="46" spans="10:10">
      <c r="J46" s="27" t="s">
        <v>530</v>
      </c>
    </row>
    <row r="47" spans="10:10">
      <c r="J47" s="27" t="s">
        <v>531</v>
      </c>
    </row>
    <row r="48" spans="10:10">
      <c r="J48" s="27" t="s">
        <v>532</v>
      </c>
    </row>
    <row r="49" spans="10:10">
      <c r="J49" s="27" t="s">
        <v>533</v>
      </c>
    </row>
    <row r="50" spans="10:10">
      <c r="J50" s="27" t="s">
        <v>534</v>
      </c>
    </row>
    <row r="51" spans="10:10">
      <c r="J51" s="27" t="s">
        <v>535</v>
      </c>
    </row>
    <row r="52" spans="10:10">
      <c r="J52" s="27" t="s">
        <v>536</v>
      </c>
    </row>
    <row r="53" spans="10:10">
      <c r="J53" s="27" t="s">
        <v>537</v>
      </c>
    </row>
    <row r="54" spans="10:10">
      <c r="J54" s="27" t="s">
        <v>538</v>
      </c>
    </row>
    <row r="55" spans="10:10">
      <c r="J55" s="27" t="s">
        <v>539</v>
      </c>
    </row>
    <row r="56" spans="10:10">
      <c r="J56" s="27" t="s">
        <v>540</v>
      </c>
    </row>
    <row r="57" spans="10:10">
      <c r="J57" s="27" t="s">
        <v>541</v>
      </c>
    </row>
    <row r="58" spans="10:10">
      <c r="J58" s="27" t="s">
        <v>542</v>
      </c>
    </row>
    <row r="59" spans="10:10">
      <c r="J59" s="27" t="s">
        <v>543</v>
      </c>
    </row>
    <row r="60" spans="10:10">
      <c r="J60" s="27" t="s">
        <v>544</v>
      </c>
    </row>
    <row r="61" spans="10:10">
      <c r="J61" s="27" t="s">
        <v>545</v>
      </c>
    </row>
    <row r="62" spans="10:10">
      <c r="J62" s="27" t="s">
        <v>546</v>
      </c>
    </row>
    <row r="63" spans="10:10">
      <c r="J63" s="27" t="s">
        <v>547</v>
      </c>
    </row>
    <row r="64" spans="10:10">
      <c r="J64" s="27" t="s">
        <v>548</v>
      </c>
    </row>
    <row r="65" spans="10:10">
      <c r="J65" s="27" t="s">
        <v>549</v>
      </c>
    </row>
    <row r="66" spans="10:10">
      <c r="J66" s="27" t="s">
        <v>550</v>
      </c>
    </row>
    <row r="67" spans="10:10">
      <c r="J67" s="27" t="s">
        <v>551</v>
      </c>
    </row>
    <row r="68" spans="10:10">
      <c r="J68" s="27" t="s">
        <v>552</v>
      </c>
    </row>
    <row r="69" spans="10:10">
      <c r="J69" s="27" t="s">
        <v>553</v>
      </c>
    </row>
    <row r="70" spans="10:10">
      <c r="J70" s="27" t="s">
        <v>554</v>
      </c>
    </row>
    <row r="71" spans="10:10">
      <c r="J71" s="27" t="s">
        <v>555</v>
      </c>
    </row>
    <row r="72" spans="10:10">
      <c r="J72" s="27" t="s">
        <v>556</v>
      </c>
    </row>
    <row r="73" spans="10:10">
      <c r="J73" s="27" t="s">
        <v>557</v>
      </c>
    </row>
    <row r="74" spans="10:10">
      <c r="J74" s="27" t="s">
        <v>558</v>
      </c>
    </row>
    <row r="75" spans="10:10">
      <c r="J75" s="27" t="s">
        <v>559</v>
      </c>
    </row>
    <row r="76" spans="10:10">
      <c r="J76" s="27" t="s">
        <v>3</v>
      </c>
    </row>
    <row r="77" spans="10:10">
      <c r="J77" s="27" t="s">
        <v>560</v>
      </c>
    </row>
    <row r="78" spans="10:10">
      <c r="J78" s="27" t="s">
        <v>561</v>
      </c>
    </row>
    <row r="79" spans="10:10">
      <c r="J79" s="27" t="s">
        <v>562</v>
      </c>
    </row>
    <row r="80" spans="10:10">
      <c r="J80" s="27" t="s">
        <v>563</v>
      </c>
    </row>
    <row r="81" spans="10:10">
      <c r="J81" s="27" t="s">
        <v>564</v>
      </c>
    </row>
    <row r="82" spans="10:10">
      <c r="J82" s="27" t="s">
        <v>565</v>
      </c>
    </row>
    <row r="83" spans="10:10">
      <c r="J83" s="27" t="s">
        <v>566</v>
      </c>
    </row>
    <row r="84" spans="10:10">
      <c r="J84" s="27" t="s">
        <v>567</v>
      </c>
    </row>
    <row r="85" spans="10:10">
      <c r="J85" s="27" t="s">
        <v>568</v>
      </c>
    </row>
    <row r="86" spans="10:10">
      <c r="J86" s="27" t="s">
        <v>569</v>
      </c>
    </row>
    <row r="87" spans="10:10">
      <c r="J87" s="27" t="s">
        <v>570</v>
      </c>
    </row>
    <row r="88" spans="10:10">
      <c r="J88" s="27" t="s">
        <v>571</v>
      </c>
    </row>
    <row r="89" spans="10:10">
      <c r="J89" s="27" t="s">
        <v>572</v>
      </c>
    </row>
    <row r="90" spans="10:10">
      <c r="J90" s="27" t="s">
        <v>573</v>
      </c>
    </row>
    <row r="91" spans="10:10">
      <c r="J91" s="27" t="s">
        <v>574</v>
      </c>
    </row>
    <row r="92" spans="10:10">
      <c r="J92" s="27" t="s">
        <v>575</v>
      </c>
    </row>
    <row r="93" spans="10:10">
      <c r="J93" s="27" t="s">
        <v>576</v>
      </c>
    </row>
    <row r="94" spans="10:10">
      <c r="J94" s="27" t="s">
        <v>577</v>
      </c>
    </row>
    <row r="95" spans="10:10">
      <c r="J95" s="27" t="s">
        <v>578</v>
      </c>
    </row>
    <row r="96" spans="10:10">
      <c r="J96" s="27" t="s">
        <v>579</v>
      </c>
    </row>
    <row r="97" spans="10:10">
      <c r="J97" s="27" t="s">
        <v>580</v>
      </c>
    </row>
    <row r="98" spans="10:10">
      <c r="J98" s="27" t="s">
        <v>581</v>
      </c>
    </row>
    <row r="99" spans="10:10">
      <c r="J99" s="27" t="s">
        <v>582</v>
      </c>
    </row>
    <row r="100" spans="10:10">
      <c r="J100" s="27" t="s">
        <v>583</v>
      </c>
    </row>
    <row r="101" spans="10:10">
      <c r="J101" s="27" t="s">
        <v>584</v>
      </c>
    </row>
    <row r="102" spans="10:10">
      <c r="J102" s="27" t="s">
        <v>585</v>
      </c>
    </row>
    <row r="103" spans="10:10">
      <c r="J103" s="27" t="s">
        <v>586</v>
      </c>
    </row>
    <row r="104" spans="10:10">
      <c r="J104" s="27" t="s">
        <v>587</v>
      </c>
    </row>
    <row r="105" spans="10:10">
      <c r="J105" s="27" t="s">
        <v>588</v>
      </c>
    </row>
    <row r="106" spans="10:10">
      <c r="J106" s="27" t="s">
        <v>589</v>
      </c>
    </row>
    <row r="107" spans="10:10">
      <c r="J107" s="27" t="s">
        <v>590</v>
      </c>
    </row>
    <row r="108" spans="10:10">
      <c r="J108" s="27" t="s">
        <v>591</v>
      </c>
    </row>
    <row r="109" spans="10:10">
      <c r="J109" s="27" t="s">
        <v>592</v>
      </c>
    </row>
    <row r="110" spans="10:10">
      <c r="J110" s="27" t="s">
        <v>593</v>
      </c>
    </row>
    <row r="111" spans="10:10">
      <c r="J111" s="27" t="s">
        <v>594</v>
      </c>
    </row>
    <row r="112" spans="10:10">
      <c r="J112" s="27" t="s">
        <v>595</v>
      </c>
    </row>
    <row r="113" spans="10:10">
      <c r="J113" s="27" t="s">
        <v>596</v>
      </c>
    </row>
    <row r="114" spans="10:10">
      <c r="J114" s="27" t="s">
        <v>597</v>
      </c>
    </row>
    <row r="115" spans="10:10">
      <c r="J115" s="27" t="s">
        <v>598</v>
      </c>
    </row>
    <row r="116" spans="10:10">
      <c r="J116" s="27" t="s">
        <v>599</v>
      </c>
    </row>
    <row r="117" spans="10:10">
      <c r="J117" s="27" t="s">
        <v>600</v>
      </c>
    </row>
    <row r="118" spans="10:10">
      <c r="J118" s="27" t="s">
        <v>601</v>
      </c>
    </row>
    <row r="119" spans="10:10">
      <c r="J119" s="27" t="s">
        <v>602</v>
      </c>
    </row>
    <row r="120" spans="10:10">
      <c r="J120" s="27" t="s">
        <v>603</v>
      </c>
    </row>
    <row r="121" spans="10:10">
      <c r="J121" s="27" t="s">
        <v>604</v>
      </c>
    </row>
    <row r="122" spans="10:10">
      <c r="J122" s="27" t="s">
        <v>605</v>
      </c>
    </row>
    <row r="123" spans="10:10">
      <c r="J123" s="27" t="s">
        <v>606</v>
      </c>
    </row>
    <row r="124" spans="10:10">
      <c r="J124" s="27" t="s">
        <v>607</v>
      </c>
    </row>
    <row r="125" spans="10:10">
      <c r="J125" s="27" t="s">
        <v>608</v>
      </c>
    </row>
    <row r="126" spans="10:10">
      <c r="J126" s="27" t="s">
        <v>609</v>
      </c>
    </row>
    <row r="127" spans="10:10">
      <c r="J127" s="27" t="s">
        <v>610</v>
      </c>
    </row>
    <row r="128" spans="10:10">
      <c r="J128" s="27" t="s">
        <v>611</v>
      </c>
    </row>
    <row r="129" spans="10:10">
      <c r="J129" s="27" t="s">
        <v>612</v>
      </c>
    </row>
    <row r="130" spans="10:10">
      <c r="J130" s="27" t="s">
        <v>613</v>
      </c>
    </row>
    <row r="131" spans="10:10">
      <c r="J131" s="27" t="s">
        <v>614</v>
      </c>
    </row>
    <row r="132" spans="10:10">
      <c r="J132" s="27" t="s">
        <v>615</v>
      </c>
    </row>
    <row r="133" spans="10:10">
      <c r="J133" s="27" t="s">
        <v>616</v>
      </c>
    </row>
    <row r="134" spans="10:10">
      <c r="J134" s="27" t="s">
        <v>617</v>
      </c>
    </row>
    <row r="135" spans="10:10">
      <c r="J135" s="27" t="s">
        <v>618</v>
      </c>
    </row>
    <row r="136" spans="10:10">
      <c r="J136" s="27" t="s">
        <v>619</v>
      </c>
    </row>
    <row r="137" spans="10:10">
      <c r="J137" s="27" t="s">
        <v>620</v>
      </c>
    </row>
    <row r="138" spans="10:10">
      <c r="J138" s="27" t="s">
        <v>621</v>
      </c>
    </row>
    <row r="139" spans="10:10">
      <c r="J139" s="27" t="s">
        <v>622</v>
      </c>
    </row>
    <row r="140" spans="10:10">
      <c r="J140" s="27" t="s">
        <v>623</v>
      </c>
    </row>
    <row r="141" spans="10:10">
      <c r="J141" s="27" t="s">
        <v>624</v>
      </c>
    </row>
    <row r="142" spans="10:10">
      <c r="J142" s="27" t="s">
        <v>625</v>
      </c>
    </row>
    <row r="143" spans="10:10">
      <c r="J143" s="27" t="s">
        <v>626</v>
      </c>
    </row>
    <row r="144" spans="10:10">
      <c r="J144" s="187"/>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5"/>
  <sheetViews>
    <sheetView zoomScaleNormal="100" workbookViewId="0">
      <selection activeCell="N19" sqref="N19"/>
    </sheetView>
  </sheetViews>
  <sheetFormatPr defaultRowHeight="14.45"/>
  <sheetData>
    <row r="1" spans="1:2">
      <c r="A1" s="48" t="s">
        <v>627</v>
      </c>
      <c r="B1" t="s">
        <v>628</v>
      </c>
    </row>
    <row r="2" spans="1:2">
      <c r="A2" s="48" t="s">
        <v>428</v>
      </c>
      <c r="B2" t="s">
        <v>629</v>
      </c>
    </row>
    <row r="3" spans="1:2">
      <c r="A3" s="48" t="s">
        <v>630</v>
      </c>
      <c r="B3" t="s">
        <v>631</v>
      </c>
    </row>
    <row r="4" spans="1:2">
      <c r="A4" s="48" t="s">
        <v>632</v>
      </c>
      <c r="B4" t="s">
        <v>633</v>
      </c>
    </row>
    <row r="5" spans="1:2">
      <c r="A5" s="48" t="s">
        <v>634</v>
      </c>
      <c r="B5" t="s">
        <v>635</v>
      </c>
    </row>
    <row r="6" spans="1:2">
      <c r="A6" s="48" t="s">
        <v>636</v>
      </c>
      <c r="B6" t="s">
        <v>637</v>
      </c>
    </row>
    <row r="7" spans="1:2">
      <c r="A7" s="48" t="s">
        <v>638</v>
      </c>
      <c r="B7" t="s">
        <v>639</v>
      </c>
    </row>
    <row r="8" spans="1:2">
      <c r="A8" s="48" t="s">
        <v>640</v>
      </c>
      <c r="B8" t="s">
        <v>641</v>
      </c>
    </row>
    <row r="9" spans="1:2">
      <c r="A9" s="48" t="s">
        <v>642</v>
      </c>
      <c r="B9" t="s">
        <v>643</v>
      </c>
    </row>
    <row r="10" spans="1:2">
      <c r="A10" s="48" t="s">
        <v>644</v>
      </c>
      <c r="B10" t="s">
        <v>645</v>
      </c>
    </row>
    <row r="11" spans="1:2">
      <c r="A11" s="48" t="s">
        <v>646</v>
      </c>
      <c r="B11" t="s">
        <v>647</v>
      </c>
    </row>
    <row r="12" spans="1:2">
      <c r="A12" s="48" t="s">
        <v>648</v>
      </c>
      <c r="B12" t="s">
        <v>649</v>
      </c>
    </row>
    <row r="13" spans="1:2">
      <c r="A13" s="48" t="s">
        <v>650</v>
      </c>
      <c r="B13" t="s">
        <v>651</v>
      </c>
    </row>
    <row r="14" spans="1:2">
      <c r="A14" s="48" t="s">
        <v>652</v>
      </c>
      <c r="B14" t="s">
        <v>653</v>
      </c>
    </row>
    <row r="15" spans="1:2">
      <c r="A15" s="48" t="s">
        <v>654</v>
      </c>
      <c r="B15" t="s">
        <v>655</v>
      </c>
    </row>
  </sheetData>
  <phoneticPr fontId="3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TaxCatchAll xmlns="b7c0ead1-1596-430a-9f15-fe6efc5e9c7f" xsi:nil="true"/>
    <lcf76f155ced4ddcb4097134ff3c332f xmlns="0d090553-ac12-4b9f-ace9-08ae9ba4987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BAFB83A586EF4F94E7F07E84C3D94B" ma:contentTypeVersion="19" ma:contentTypeDescription="Create a new document." ma:contentTypeScope="" ma:versionID="d39c904b16324dc4317d6ea7776b1f27">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ae8a8aa7f63a1d17c1aa9281860511cb"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2bee817-e277-44d7-b1b3-2d258cf7fc2d}" ma:internalName="TaxCatchAll" ma:showField="CatchAllData" ma:web="b7c0ead1-1596-430a-9f15-fe6efc5e9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02EAF0-2AA9-4A84-A04C-8376A13F02F4}"/>
</file>

<file path=customXml/itemProps2.xml><?xml version="1.0" encoding="utf-8"?>
<ds:datastoreItem xmlns:ds="http://schemas.openxmlformats.org/officeDocument/2006/customXml" ds:itemID="{78DFA6C9-3F96-4413-B912-D348D4E4188B}"/>
</file>

<file path=customXml/itemProps3.xml><?xml version="1.0" encoding="utf-8"?>
<ds:datastoreItem xmlns:ds="http://schemas.openxmlformats.org/officeDocument/2006/customXml" ds:itemID="{3F989C56-AD18-4F76-B6C7-B95B080B57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
  <dc:creator>Genc Kastrati</dc:creator>
  <cp:keywords/>
  <dc:description/>
  <cp:lastModifiedBy/>
  <cp:revision/>
  <dcterms:created xsi:type="dcterms:W3CDTF">2008-11-20T16:06:13Z</dcterms:created>
  <dcterms:modified xsi:type="dcterms:W3CDTF">2025-03-04T06:38:01Z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ContentTypeId">
    <vt:lpwstr>0x0101004EBAFB83A586EF4F94E7F07E84C3D94B</vt:lpwstr>
  </property>
  <property fmtid="{D5CDD505-2E9C-101B-9397-08002B2CF9AE}" pid="29" name="AuthorIds_UIVersion_512">
    <vt:lpwstr>21</vt:lpwstr>
  </property>
  <property fmtid="{D5CDD505-2E9C-101B-9397-08002B2CF9AE}" pid="30" name="AuthorIds_UIVersion_1024">
    <vt:lpwstr>21</vt:lpwstr>
  </property>
  <property fmtid="{D5CDD505-2E9C-101B-9397-08002B2CF9AE}" pid="31" name="AuthorIds_UIVersion_40960">
    <vt:lpwstr>13</vt:lpwstr>
  </property>
  <property fmtid="{D5CDD505-2E9C-101B-9397-08002B2CF9AE}" pid="32" name="AuthorIds_UIVersion_41472">
    <vt:lpwstr>21</vt:lpwstr>
  </property>
  <property fmtid="{D5CDD505-2E9C-101B-9397-08002B2CF9AE}" pid="33" name="AuthorIds_UIVersion_43008">
    <vt:lpwstr>31,21</vt:lpwstr>
  </property>
  <property fmtid="{D5CDD505-2E9C-101B-9397-08002B2CF9AE}" pid="34" name="MediaServiceImageTags">
    <vt:lpwstr/>
  </property>
</Properties>
</file>