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labovic\United Nations Development Programme\GF.UNDP.KG Public - Documents\General\CCM Dashboard\HIV-TB\"/>
    </mc:Choice>
  </mc:AlternateContent>
  <bookViews>
    <workbookView xWindow="0" yWindow="0" windowWidth="28800" windowHeight="11730" tabRatio="793" activeTab="6"/>
  </bookViews>
  <sheets>
    <sheet name="Меню" sheetId="1" r:id="rId1"/>
    <sheet name="Показатели" sheetId="45" r:id="rId2"/>
    <sheet name="Ввод данных" sheetId="29" r:id="rId3"/>
    <sheet name="Сведения о гранте" sheetId="27" r:id="rId4"/>
    <sheet name="Финансирование" sheetId="30" r:id="rId5"/>
    <sheet name="Управление" sheetId="35" r:id="rId6"/>
    <sheet name="Программа" sheetId="37" r:id="rId7"/>
    <sheet name="Рекомендации" sheetId="42" r:id="rId8"/>
    <sheet name="Действия" sheetId="39" r:id="rId9"/>
    <sheet name="Установки" sheetId="32" state="hidden" r:id="rId10"/>
    <sheet name="Акронимы" sheetId="46" state="hidden" r:id="rId11"/>
    <sheet name="Лист1" sheetId="47" r:id="rId12"/>
  </sheet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_xlnm.Print_Area" localSheetId="8">Действия!$A$1:$L$43</definedName>
    <definedName name="_xlnm.Print_Area" localSheetId="6">Программа!$A$1:$Q$55</definedName>
    <definedName name="_xlnm.Print_Area" localSheetId="5">Управление!$A$1:$M$54</definedName>
    <definedName name="_xlnm.Print_Area" localSheetId="4">Финансирование!$A$2:$M$31</definedName>
    <definedName name="PrintA">Действия!$A$2:$L$34</definedName>
    <definedName name="PrintDataF">'Ввод данных'!$A$25:$I$74</definedName>
    <definedName name="PrintDataM">'Ввод данных'!$A$76:$G$163</definedName>
    <definedName name="PrintF">Финансирование!$A$2:$M$31</definedName>
    <definedName name="PrintGD">'Сведения о гранте'!$A$2:$J$13</definedName>
    <definedName name="PrintM" localSheetId="8">Действия!$A$2:$L$6</definedName>
    <definedName name="PrintM">Управление!$A$2:$M$68</definedName>
    <definedName name="PrintP">Программа!$A$2:$P$56</definedName>
    <definedName name="PrintR">Рекомендации!$A$2:$N$41</definedName>
    <definedName name="Rating">Установки!$G$9:$G$14</definedName>
    <definedName name="Round">Установки!$D$9:$D$21</definedName>
    <definedName name="мва">Установки!$I$9:$I$30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6" i="29" l="1"/>
  <c r="F115" i="29"/>
  <c r="F114" i="29"/>
  <c r="D125" i="29"/>
  <c r="F125" i="29"/>
  <c r="M57" i="35"/>
  <c r="M48" i="35"/>
  <c r="M49" i="35"/>
  <c r="F139" i="29"/>
  <c r="H139" i="29"/>
  <c r="F140" i="29"/>
  <c r="H140" i="29"/>
  <c r="J139" i="29"/>
  <c r="J140" i="29"/>
  <c r="D138" i="29"/>
  <c r="F138" i="29"/>
  <c r="H138" i="29"/>
  <c r="J138" i="29"/>
  <c r="G123" i="29"/>
  <c r="F144" i="29"/>
  <c r="H144" i="29"/>
  <c r="J144" i="29"/>
  <c r="X34" i="37"/>
  <c r="W34" i="37"/>
  <c r="V34" i="37"/>
  <c r="U34" i="37"/>
  <c r="T34" i="37"/>
  <c r="M51" i="35"/>
  <c r="M52" i="35"/>
  <c r="M53" i="35"/>
  <c r="M50" i="35"/>
  <c r="M32" i="35"/>
  <c r="M33" i="35"/>
  <c r="M34" i="35"/>
  <c r="M35" i="35"/>
  <c r="M36" i="35"/>
  <c r="M37" i="35"/>
  <c r="M38" i="35"/>
  <c r="M39" i="35"/>
  <c r="M40" i="35"/>
  <c r="M41" i="35"/>
  <c r="M42" i="35"/>
  <c r="M43" i="35"/>
  <c r="F137" i="29"/>
  <c r="H137" i="29"/>
  <c r="J137" i="29"/>
  <c r="D123" i="29"/>
  <c r="F123" i="29"/>
  <c r="H123" i="29"/>
  <c r="J123" i="29"/>
  <c r="D124" i="29"/>
  <c r="F124" i="29"/>
  <c r="H124" i="29"/>
  <c r="J124" i="29"/>
  <c r="H125" i="29"/>
  <c r="J125" i="29"/>
  <c r="D126" i="29"/>
  <c r="F126" i="29"/>
  <c r="H126" i="29"/>
  <c r="J126" i="29"/>
  <c r="D127" i="29"/>
  <c r="F127" i="29"/>
  <c r="H127" i="29"/>
  <c r="J127" i="29"/>
  <c r="D128" i="29"/>
  <c r="F128" i="29"/>
  <c r="H128" i="29"/>
  <c r="J128" i="29"/>
  <c r="D129" i="29"/>
  <c r="F129" i="29"/>
  <c r="H129" i="29"/>
  <c r="J129" i="29"/>
  <c r="D130" i="29"/>
  <c r="F130" i="29"/>
  <c r="H130" i="29"/>
  <c r="J130" i="29"/>
  <c r="D131" i="29"/>
  <c r="F131" i="29"/>
  <c r="H131" i="29"/>
  <c r="J131" i="29"/>
  <c r="D132" i="29"/>
  <c r="F132" i="29"/>
  <c r="H132" i="29"/>
  <c r="J132" i="29"/>
  <c r="D133" i="29"/>
  <c r="F133" i="29"/>
  <c r="H133" i="29"/>
  <c r="J133" i="29"/>
  <c r="D134" i="29"/>
  <c r="F134" i="29"/>
  <c r="H134" i="29"/>
  <c r="J134" i="29"/>
  <c r="D135" i="29"/>
  <c r="F135" i="29"/>
  <c r="H135" i="29"/>
  <c r="J135" i="29"/>
  <c r="D136" i="29"/>
  <c r="F136" i="29"/>
  <c r="H136" i="29"/>
  <c r="J136" i="29"/>
  <c r="M71" i="35"/>
  <c r="M70" i="35"/>
  <c r="M69" i="35"/>
  <c r="F157" i="29"/>
  <c r="H157" i="29"/>
  <c r="J157" i="29"/>
  <c r="E115" i="29"/>
  <c r="M74" i="35"/>
  <c r="M56" i="35"/>
  <c r="M58" i="35"/>
  <c r="M59" i="35"/>
  <c r="M60" i="35"/>
  <c r="M61" i="35"/>
  <c r="M62" i="35"/>
  <c r="M63" i="35"/>
  <c r="M64" i="35"/>
  <c r="M65" i="35"/>
  <c r="M66" i="35"/>
  <c r="M67" i="35"/>
  <c r="M68" i="35"/>
  <c r="M72" i="35"/>
  <c r="M73" i="35"/>
  <c r="M46" i="35"/>
  <c r="M47" i="35"/>
  <c r="M54" i="35"/>
  <c r="M55" i="35"/>
  <c r="M45" i="35"/>
  <c r="M44" i="35"/>
  <c r="B52" i="37"/>
  <c r="G196" i="29"/>
  <c r="G195" i="29"/>
  <c r="F158" i="29"/>
  <c r="H158" i="29"/>
  <c r="J158" i="29"/>
  <c r="F142" i="29"/>
  <c r="H142" i="29"/>
  <c r="J142" i="29"/>
  <c r="F143" i="29"/>
  <c r="H143" i="29"/>
  <c r="J143" i="29"/>
  <c r="F145" i="29"/>
  <c r="H145" i="29"/>
  <c r="J145" i="29"/>
  <c r="F146" i="29"/>
  <c r="H146" i="29"/>
  <c r="J146" i="29"/>
  <c r="F147" i="29"/>
  <c r="H147" i="29"/>
  <c r="J147" i="29"/>
  <c r="F148" i="29"/>
  <c r="H148" i="29"/>
  <c r="J148" i="29"/>
  <c r="F149" i="29"/>
  <c r="H149" i="29"/>
  <c r="J149" i="29"/>
  <c r="F150" i="29"/>
  <c r="H150" i="29"/>
  <c r="J150" i="29"/>
  <c r="F151" i="29"/>
  <c r="H151" i="29"/>
  <c r="J151" i="29"/>
  <c r="F152" i="29"/>
  <c r="H152" i="29"/>
  <c r="J152" i="29"/>
  <c r="F153" i="29"/>
  <c r="H153" i="29"/>
  <c r="J153" i="29"/>
  <c r="F154" i="29"/>
  <c r="H154" i="29"/>
  <c r="J154" i="29"/>
  <c r="F155" i="29"/>
  <c r="H155" i="29"/>
  <c r="J155" i="29"/>
  <c r="F156" i="29"/>
  <c r="H156" i="29"/>
  <c r="J156" i="29"/>
  <c r="F141" i="29"/>
  <c r="H141" i="29"/>
  <c r="J141" i="29"/>
  <c r="B28" i="35"/>
  <c r="B50" i="37"/>
  <c r="B51" i="37"/>
  <c r="B53" i="37"/>
  <c r="B54" i="37"/>
  <c r="B55" i="37"/>
  <c r="D115" i="29"/>
  <c r="D105" i="29"/>
  <c r="D106" i="29"/>
  <c r="D104" i="29"/>
  <c r="X33" i="37"/>
  <c r="W33" i="37"/>
  <c r="V33" i="37"/>
  <c r="U33" i="37"/>
  <c r="T33" i="37"/>
  <c r="X32" i="37"/>
  <c r="W32" i="37"/>
  <c r="V32" i="37"/>
  <c r="U32" i="37"/>
  <c r="T32" i="37"/>
  <c r="X29" i="37"/>
  <c r="W29" i="37"/>
  <c r="V29" i="37"/>
  <c r="U29" i="37"/>
  <c r="T29" i="37"/>
  <c r="X28" i="37"/>
  <c r="W28" i="37"/>
  <c r="V28" i="37"/>
  <c r="U28" i="37"/>
  <c r="T28" i="37"/>
  <c r="AA26" i="37"/>
  <c r="X26" i="37"/>
  <c r="W26" i="37"/>
  <c r="V26" i="37"/>
  <c r="U26" i="37"/>
  <c r="T26" i="37"/>
  <c r="AA25" i="37"/>
  <c r="X25" i="37"/>
  <c r="W25" i="37"/>
  <c r="V25" i="37"/>
  <c r="U25" i="37"/>
  <c r="T25" i="37"/>
  <c r="AF23" i="37"/>
  <c r="AE23" i="37"/>
  <c r="AD23" i="37"/>
  <c r="AC23" i="37"/>
  <c r="AB23" i="37"/>
  <c r="X23" i="37"/>
  <c r="W23" i="37"/>
  <c r="V23" i="37"/>
  <c r="U23" i="37"/>
  <c r="T23" i="37"/>
  <c r="I54" i="35"/>
  <c r="I32" i="35"/>
  <c r="D90" i="29"/>
  <c r="E199" i="29"/>
  <c r="D199" i="29"/>
  <c r="A199" i="29"/>
  <c r="E197" i="29"/>
  <c r="D197" i="29"/>
  <c r="A197" i="29"/>
  <c r="E195" i="29"/>
  <c r="D195" i="29"/>
  <c r="A195" i="29"/>
  <c r="H204" i="29"/>
  <c r="G224" i="29"/>
  <c r="H224" i="29"/>
  <c r="I224" i="29"/>
  <c r="J224" i="29"/>
  <c r="K224" i="29"/>
  <c r="L224" i="29"/>
  <c r="M224" i="29"/>
  <c r="N224" i="29"/>
  <c r="O224" i="29"/>
  <c r="P224" i="29"/>
  <c r="Q224" i="29"/>
  <c r="A225" i="29"/>
  <c r="D225" i="29"/>
  <c r="E225" i="29"/>
  <c r="G225" i="29"/>
  <c r="H225" i="29"/>
  <c r="I225" i="29"/>
  <c r="J225" i="29"/>
  <c r="K225" i="29"/>
  <c r="L225" i="29"/>
  <c r="M225" i="29"/>
  <c r="N225" i="29"/>
  <c r="O225" i="29"/>
  <c r="P225" i="29"/>
  <c r="Q225" i="29"/>
  <c r="G226" i="29"/>
  <c r="H226" i="29"/>
  <c r="I226" i="29"/>
  <c r="J226" i="29"/>
  <c r="K226" i="29"/>
  <c r="L226" i="29"/>
  <c r="M226" i="29"/>
  <c r="N226" i="29"/>
  <c r="O226" i="29"/>
  <c r="P226" i="29"/>
  <c r="Q226" i="29"/>
  <c r="A227" i="29"/>
  <c r="D227" i="29"/>
  <c r="E227" i="29"/>
  <c r="G227" i="29"/>
  <c r="H227" i="29"/>
  <c r="I227" i="29"/>
  <c r="J227" i="29"/>
  <c r="K227" i="29"/>
  <c r="L227" i="29"/>
  <c r="M227" i="29"/>
  <c r="N227" i="29"/>
  <c r="O227" i="29"/>
  <c r="P227" i="29"/>
  <c r="Q227" i="29"/>
  <c r="G228" i="29"/>
  <c r="H228" i="29"/>
  <c r="I228" i="29"/>
  <c r="J228" i="29"/>
  <c r="K228" i="29"/>
  <c r="L228" i="29"/>
  <c r="M228" i="29"/>
  <c r="N228" i="29"/>
  <c r="O228" i="29"/>
  <c r="P228" i="29"/>
  <c r="Q228" i="29"/>
  <c r="A229" i="29"/>
  <c r="D229" i="29"/>
  <c r="E229" i="29"/>
  <c r="G229" i="29"/>
  <c r="H229" i="29"/>
  <c r="I229" i="29"/>
  <c r="J229" i="29"/>
  <c r="K229" i="29"/>
  <c r="L229" i="29"/>
  <c r="M229" i="29"/>
  <c r="N229" i="29"/>
  <c r="O229" i="29"/>
  <c r="P229" i="29"/>
  <c r="Q229" i="29"/>
  <c r="G230" i="29"/>
  <c r="H230" i="29"/>
  <c r="I230" i="29"/>
  <c r="J230" i="29"/>
  <c r="K230" i="29"/>
  <c r="L230" i="29"/>
  <c r="M230" i="29"/>
  <c r="N230" i="29"/>
  <c r="O230" i="29"/>
  <c r="P230" i="29"/>
  <c r="Q230" i="29"/>
  <c r="F83" i="29"/>
  <c r="F84" i="29"/>
  <c r="D116" i="29"/>
  <c r="E116" i="29"/>
  <c r="B33" i="29"/>
  <c r="Q29" i="29"/>
  <c r="B34" i="29"/>
  <c r="C34" i="29"/>
  <c r="D34" i="29"/>
  <c r="E34" i="29"/>
  <c r="B56" i="29"/>
  <c r="E56" i="29"/>
  <c r="C56" i="29"/>
  <c r="I27" i="47"/>
  <c r="I28" i="47"/>
  <c r="G29" i="47"/>
  <c r="G31" i="47"/>
  <c r="G27" i="47"/>
  <c r="G28" i="47"/>
  <c r="G26" i="47"/>
  <c r="F20" i="47"/>
  <c r="G19" i="47"/>
  <c r="G18" i="47"/>
  <c r="D22" i="47"/>
  <c r="E19" i="47"/>
  <c r="E20" i="47"/>
  <c r="E18" i="47"/>
  <c r="F14" i="47"/>
  <c r="E14" i="47"/>
  <c r="K10" i="47"/>
  <c r="J10" i="47"/>
  <c r="C14" i="47"/>
  <c r="D13" i="47"/>
  <c r="D12" i="47"/>
  <c r="D11" i="47"/>
  <c r="D6" i="47"/>
  <c r="C6" i="47"/>
  <c r="D64" i="29"/>
  <c r="D63" i="29"/>
  <c r="D62" i="29"/>
  <c r="D61" i="29"/>
  <c r="H164" i="29"/>
  <c r="D12" i="42"/>
  <c r="D41" i="42"/>
  <c r="D34" i="42"/>
  <c r="D35" i="42"/>
  <c r="D36" i="42"/>
  <c r="D37" i="42"/>
  <c r="D38" i="42"/>
  <c r="D39" i="42"/>
  <c r="D40" i="42"/>
  <c r="D33" i="42"/>
  <c r="D32" i="42"/>
  <c r="D31" i="42"/>
  <c r="D30" i="42"/>
  <c r="D29" i="42"/>
  <c r="D24" i="42"/>
  <c r="D23" i="42"/>
  <c r="D22" i="42"/>
  <c r="D21" i="42"/>
  <c r="D20" i="42"/>
  <c r="D19" i="42"/>
  <c r="D13" i="42"/>
  <c r="D11" i="42"/>
  <c r="B13" i="27"/>
  <c r="D10" i="27"/>
  <c r="B10" i="27"/>
  <c r="B9" i="27"/>
  <c r="B8" i="45"/>
  <c r="B23" i="45"/>
  <c r="B2" i="37"/>
  <c r="B2" i="35"/>
  <c r="B2" i="45"/>
  <c r="B3" i="27"/>
  <c r="B3" i="32" s="1"/>
  <c r="B2" i="30"/>
  <c r="B2" i="1"/>
  <c r="B2" i="39"/>
  <c r="B2" i="42"/>
  <c r="K3" i="30"/>
  <c r="M3" i="30"/>
  <c r="J8" i="30" s="1"/>
  <c r="A32" i="29"/>
  <c r="B3" i="39"/>
  <c r="B3" i="42"/>
  <c r="C4" i="42"/>
  <c r="B4" i="1"/>
  <c r="C3" i="37"/>
  <c r="B3" i="37"/>
  <c r="B3" i="30"/>
  <c r="B6" i="27"/>
  <c r="C4" i="30"/>
  <c r="C4" i="35"/>
  <c r="C4" i="37"/>
  <c r="C4" i="39"/>
  <c r="D60" i="29"/>
  <c r="C38" i="29"/>
  <c r="B38" i="29"/>
  <c r="B9" i="45"/>
  <c r="K3" i="35"/>
  <c r="I28" i="35" s="1"/>
  <c r="M3" i="35"/>
  <c r="I11" i="27"/>
  <c r="B12" i="27"/>
  <c r="C3" i="35"/>
  <c r="B3" i="35"/>
  <c r="B4" i="35"/>
  <c r="E4" i="35"/>
  <c r="K4" i="35"/>
  <c r="M4" i="35"/>
  <c r="D5" i="35"/>
  <c r="L5" i="35"/>
  <c r="M5" i="35"/>
  <c r="B40" i="35"/>
  <c r="J3" i="39"/>
  <c r="L3" i="39"/>
  <c r="B4" i="39"/>
  <c r="E4" i="39"/>
  <c r="J4" i="39"/>
  <c r="L4" i="39"/>
  <c r="K5" i="39"/>
  <c r="L5" i="39"/>
  <c r="L3" i="42"/>
  <c r="M3" i="42"/>
  <c r="B4" i="42"/>
  <c r="E4" i="42"/>
  <c r="L4" i="42"/>
  <c r="M4" i="42"/>
  <c r="L5" i="42"/>
  <c r="M5" i="42"/>
  <c r="D14" i="42"/>
  <c r="O3" i="37"/>
  <c r="Q3" i="37"/>
  <c r="B4" i="37"/>
  <c r="E4" i="37"/>
  <c r="P4" i="37"/>
  <c r="Q4" i="37"/>
  <c r="D5" i="37"/>
  <c r="P5" i="37"/>
  <c r="Q5" i="37"/>
  <c r="B36" i="37"/>
  <c r="F36" i="37"/>
  <c r="L36" i="37"/>
  <c r="T51" i="37"/>
  <c r="U51" i="37"/>
  <c r="T52" i="37"/>
  <c r="U52"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F35" i="29"/>
  <c r="H35" i="29"/>
  <c r="Q59" i="29"/>
  <c r="K35" i="29"/>
  <c r="M35" i="29"/>
  <c r="D92" i="29"/>
  <c r="B10" i="45"/>
  <c r="B11" i="45"/>
  <c r="B19" i="45"/>
  <c r="B20" i="45"/>
  <c r="B21" i="45"/>
  <c r="B22" i="45"/>
  <c r="B25" i="45"/>
  <c r="H4" i="1"/>
  <c r="I35" i="29"/>
  <c r="G35" i="29"/>
  <c r="Q35" i="29"/>
  <c r="J35" i="29"/>
  <c r="Q33" i="29"/>
  <c r="Q34" i="29"/>
  <c r="B35" i="29"/>
  <c r="Q58" i="29"/>
  <c r="L35" i="29"/>
  <c r="P60" i="29"/>
  <c r="C33" i="29"/>
  <c r="Q30" i="29"/>
  <c r="D14" i="47"/>
  <c r="F22" i="47"/>
  <c r="AF25" i="37"/>
  <c r="AC25" i="37"/>
  <c r="AB25" i="37"/>
  <c r="AE25" i="37"/>
  <c r="AD25" i="37"/>
  <c r="AE26" i="37"/>
  <c r="AD26" i="37"/>
  <c r="AF26" i="37"/>
  <c r="AC26" i="37"/>
  <c r="AB26" i="37"/>
  <c r="B8" i="30"/>
  <c r="B18" i="35"/>
  <c r="D33" i="29"/>
  <c r="C35" i="29"/>
  <c r="E33" i="29"/>
  <c r="D35" i="29"/>
  <c r="Q31" i="29"/>
  <c r="Q32" i="29"/>
  <c r="E35" i="29"/>
  <c r="B7" i="35" l="1"/>
  <c r="J22" i="30"/>
  <c r="I18" i="35"/>
  <c r="B22" i="30"/>
  <c r="I7" i="35"/>
</calcChain>
</file>

<file path=xl/comments1.xml><?xml version="1.0" encoding="utf-8"?>
<comments xmlns="http://schemas.openxmlformats.org/spreadsheetml/2006/main">
  <authors>
    <author>mgleixner</author>
    <author>molszak</author>
  </authors>
  <commentList>
    <comment ref="A30" authorId="0" shapeId="0">
      <text>
        <r>
          <rPr>
            <sz val="8"/>
            <color indexed="81"/>
            <rFont val="Tahoma"/>
            <family val="2"/>
          </rPr>
          <t>To define your periods (eg. P1, P2, P3 etc or P9, P10, P11 etc) you need to unprotect the cells.</t>
        </r>
      </text>
    </comment>
    <comment ref="A81" authorId="1" shapeId="0">
      <text>
        <r>
          <rPr>
            <b/>
            <sz val="8"/>
            <color indexed="81"/>
            <rFont val="Tahoma"/>
            <family val="2"/>
          </rPr>
          <t xml:space="preserve">If data are not available, do not enter zeros; rather, leave the cells in the table blank. </t>
        </r>
      </text>
    </comment>
    <comment ref="A82" authorId="1" shapeId="0">
      <text>
        <r>
          <rPr>
            <b/>
            <sz val="8"/>
            <color indexed="81"/>
            <rFont val="Tahoma"/>
            <family val="2"/>
          </rPr>
          <t>If data are not available, do not enter zeros; rather, leave the cells in this table blank.</t>
        </r>
      </text>
    </comment>
    <comment ref="A83" authorId="1" shapeId="0">
      <text>
        <r>
          <rPr>
            <b/>
            <sz val="8"/>
            <color indexed="81"/>
            <rFont val="Tahoma"/>
            <family val="2"/>
          </rPr>
          <t xml:space="preserve">If data are not available, do not enter zeros; rather, leave the cells in the table blank. </t>
        </r>
      </text>
    </comment>
    <comment ref="A84" authorId="1" shapeId="0">
      <text>
        <r>
          <rPr>
            <b/>
            <sz val="8"/>
            <color indexed="81"/>
            <rFont val="Tahoma"/>
            <family val="2"/>
          </rPr>
          <t>If data are not available, do not enter zeros; rather, leave the cells in this table blank.</t>
        </r>
      </text>
    </comment>
    <comment ref="A91" authorId="0" shapeId="0">
      <text>
        <r>
          <rPr>
            <sz val="8"/>
            <color indexed="81"/>
            <rFont val="Tahoma"/>
            <family val="2"/>
          </rPr>
          <t xml:space="preserve">If data are not available, do not enter zeros; rather, leave the cells in this table blank. </t>
        </r>
      </text>
    </comment>
    <comment ref="A92" authorId="0" shapeId="0">
      <text>
        <r>
          <rPr>
            <sz val="8"/>
            <color indexed="81"/>
            <rFont val="Tahoma"/>
            <family val="2"/>
          </rPr>
          <t xml:space="preserve">If data are not available, do not enter zeros; rather, leave the cells in this table blank. </t>
        </r>
      </text>
    </comment>
    <comment ref="A110" authorId="0" shapeId="0">
      <text>
        <r>
          <rPr>
            <sz val="8"/>
            <color indexed="81"/>
            <rFont val="Tahoma"/>
            <family val="2"/>
          </rPr>
          <t>To define your periods (eg. P1, P2, P3 etc or P9, P10, P11 etc) you need to unprotect the cells.</t>
        </r>
      </text>
    </comment>
  </commentList>
</comments>
</file>

<file path=xl/comments2.xml><?xml version="1.0" encoding="utf-8"?>
<comments xmlns="http://schemas.openxmlformats.org/spreadsheetml/2006/main">
  <authors>
    <author>Elena Mikhalchenko</author>
  </authors>
  <commentList>
    <comment ref="D6"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 ref="D14"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List>
</comments>
</file>

<file path=xl/sharedStrings.xml><?xml version="1.0" encoding="utf-8"?>
<sst xmlns="http://schemas.openxmlformats.org/spreadsheetml/2006/main" count="1033" uniqueCount="697">
  <si>
    <t>V1.0</t>
  </si>
  <si>
    <t>Финансирование</t>
  </si>
  <si>
    <t>Наименование:</t>
  </si>
  <si>
    <t>Определение</t>
  </si>
  <si>
    <t>Измерение</t>
  </si>
  <si>
    <t>Источник данных</t>
  </si>
  <si>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</si>
  <si>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</si>
  <si>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Банковская или бухгалтерская информация ОР; уведомления ГФ о выплате средств; ОПР/ЗПС; веб-сайт ГФ.</t>
  </si>
  <si>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</si>
  <si>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</si>
  <si>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</si>
  <si>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</si>
  <si>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rPr>
        <sz val="11"/>
        <rFont val="Arial"/>
        <family val="2"/>
      </rPr>
      <t>ОПР/ЗПС</t>
    </r>
    <r>
      <rPr>
        <sz val="11"/>
        <color indexed="8"/>
        <rFont val="Arial"/>
        <family val="2"/>
      </rPr>
      <t>; данные ОР; отчеты СР  основному реципиенту.</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</si>
  <si>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</si>
  <si>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</si>
  <si>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</si>
  <si>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Управление</t>
  </si>
  <si>
    <t>Источники Данных</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</si>
  <si>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</si>
  <si>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</si>
  <si>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</si>
  <si>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</si>
  <si>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t>Количество в текущем отчетном периоде.</t>
  </si>
  <si>
    <t xml:space="preserve">Документация ОР. </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</si>
  <si>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</si>
  <si>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</si>
  <si>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Документация ОР; соглашения с субреципиентами/ меморандум о взаимопонимании (МоВ); документация СКК.</t>
  </si>
  <si>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</si>
  <si>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Количество  полученных отчетов. Эта цифра отражает только отчетный период; она не является совокупной.</t>
  </si>
  <si>
    <t>Документация ОР и СР.</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</si>
  <si>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</si>
  <si>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Валюта финансирования гранта (долл. США или евро).</t>
  </si>
  <si>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</si>
  <si>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</si>
  <si>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</si>
  <si>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Количество месяцев.</t>
  </si>
  <si>
    <t>Документация ОР: складские данные</t>
  </si>
  <si>
    <t>Программные показатели (Система оценки результатов реализации)</t>
  </si>
  <si>
    <t>Показатель по ВИЧ /СПИД</t>
  </si>
  <si>
    <t>Определение (на основании Плана мониторинга и оценки)</t>
  </si>
  <si>
    <t>Процент ЛУИН, охваченных программами по профилактике ВИЧ</t>
  </si>
  <si>
    <t>Индикатор  отражает процент ЛУИН, которые получили минимальный пакет услуг (шприцы, иглы, салфетки), презервативы и информационный материал (в виде информационных брошюр или информационных сессий) хотя бы один раз в течение отчетного периода из оценочного числа ЛУИН.</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</si>
  <si>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за отчетный период, включая заключенных ЛУИН; знаменатель: оценочное количество ЛУИН за 2013 г. </t>
  </si>
  <si>
    <t>Отчетная документация организаций - СР (ежеквартально), БД МИС.</t>
  </si>
  <si>
    <t>Процент взрослых и детей, получающих в настоящее время антиретровирусную терапию, от оценочного числа всех взрослых и детей, живущих с ВИЧ</t>
  </si>
  <si>
    <t>Все лица с известным статусом на конец отчетного периода получающие АРТ в соответствии с утвержденным национальным протоколом лечения из оценочного числа ЛЖВ. </t>
  </si>
  <si>
    <t>Индикатор не кумулятивный, состоит из двух частей. Числитель: Число людей, находящихся на АРТ в данный момент (на конец отчетного периода), знаменатель: оценочное число ЛЖВ по Спектруму. </t>
  </si>
  <si>
    <t>Данные РЦ СПИД, ЭС.</t>
  </si>
  <si>
    <t>Процент ЛЖВ, получающих АРТ и достигших неопределяемую вирусную нагрузку (т.е. ≤1000 копий)</t>
  </si>
  <si>
    <t>Индикатор отражает процент ЛЖВ, получающих АРТ и достигших неопределяемую вирусную нагрузку из общего числа ЛЖВ, находящихся на АРТ на конец отчетного периода. </t>
  </si>
  <si>
    <t xml:space="preserve">Индикатор кумулятивный за год, состоит их двух частей. Числитель: Число ЛЖВ, получающих АРТ и достигших неопределяемую вирусную нагрузку, знаменатель: общее число ЛЖВ, находящихся на АРТ на конец отчетного периода. </t>
  </si>
  <si>
    <t>Процент ЛУИН получающих ОЗТ, которые находятся на лечении не менее 6 месяцев после начала лечения </t>
  </si>
  <si>
    <t>Индикатор отражает приверженность/удержание на опиоидной заместительной терапии и охватывает и гражданский, пенитенциарный системы (по стране). </t>
  </si>
  <si>
    <t>Измеряется в процентах, количество людей вступивших в программу ОЗТ в период предыдущий отчетному на  количество людей продолживших терапию в течении 6 месяцев после ее начала. Не кумулятивный.</t>
  </si>
  <si>
    <t>Данные РЦН, ЭРЗПТ</t>
  </si>
  <si>
    <t>Процент ЛУИН, протестированных на ВИЧ и знающих свой результат</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</si>
  <si>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</si>
  <si>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</si>
  <si>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заключенных, протестированных на ВИЧ и знающих свой результат</t>
  </si>
  <si>
    <t>Процент заключенных,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</si>
  <si>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 Числитель: Число заключенных, прошедших тестирование на ВИЧ в течение отчетного периода и знающих их результаты.
Знаменатель: фактическое число заключенных. </t>
  </si>
  <si>
    <t>Источником данных являются отчеты суб-получателей.</t>
  </si>
  <si>
    <t>Процент СР охваченных, программами по профилактике ВИЧ</t>
  </si>
  <si>
    <t>Процент СР, которые получили хотя бы один раз минимальный пакет услуг в течение отчетного периода из оценочного числа.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</si>
  <si>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СР за 2013 г. </t>
  </si>
  <si>
    <t>Отчетная документация организаций - СР (ежеквартально), БД МИС</t>
  </si>
  <si>
    <t>Процент СР, протестированных на ВИЧ и знающих свой результат</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</si>
  <si>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</si>
  <si>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</si>
  <si>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охваченных, программами по профилактике ВИЧ</t>
  </si>
  <si>
    <t>Процент МСМ, которые получили хотя бы один раз минимальный пакет услуг в течение отчетного периода.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</si>
  <si>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МСМ за 2013 г. </t>
  </si>
  <si>
    <t>Процент МСМ, протестированных на ВИЧ и знающих свой результат</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</si>
  <si>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</si>
  <si>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МСМ за 2013 г. </t>
  </si>
  <si>
    <t>Процент ЛЖВ (включая ППМР), у которых ТБ статус  оценивался в отчетном периоде, из числа доступных</t>
  </si>
  <si>
    <t>Процент ЛЖВ, которым была проведена оценка ТБ статуса в соответствии с национальным клиническим протоколом за отчетный период.</t>
  </si>
  <si>
    <t>Не кумулятивный. Числитель: количество ЛЖВ, которым была проведена оценка ТБ статуса, знаменатель: количество ЛЖВ, вовлеченных в уход по ВИЧ (доступных)</t>
  </si>
  <si>
    <t>Процент ВИЧ-положительных новых и рецидивирующих больных туберкулезом, получающих АРТ во время лечения ТБ</t>
  </si>
  <si>
    <t xml:space="preserve">Процент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t>
  </si>
  <si>
    <t xml:space="preserve">Не кумулятивный. Числитель: Число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Знаменатель: Число ВИЧ-положительных новых и рецидивирующих больных туберкулезом, зарегистрированных за отчетный период. </t>
  </si>
  <si>
    <t>Данные РЦ СПИД, программа ЭС.</t>
  </si>
  <si>
    <t>Процент ВИЧ-положительных беременных женщин, получивших АРТ во время беременности</t>
  </si>
  <si>
    <t>Индикатор отражает процент беременных женщин с положительным статусом ВИЧ, которые родили и получили АРТ в период риска ПМР среди общего числа ВИЧ- положительных беременных, родивших за отчетный период.</t>
  </si>
  <si>
    <t>Кумулятивно за год. 
Числитель: Число ВИЧ-положительных беременных женщин, которые родили и получили АРТ в период риска ПМР.
Знаменатель: Число ВИЧ-положительных беременных, фактически родивших в течение отчетного периода.</t>
  </si>
  <si>
    <t>Данные РЦ СПИД, программа ЭС, Спектрум.</t>
  </si>
  <si>
    <t>Показатель по ТБ</t>
  </si>
  <si>
    <t>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t>
  </si>
  <si>
    <t xml:space="preserve">Количество всех форм ТБ случаев (бактериологически подтвержденных и клинически диагностированных) зарегистрированных национальными организациями здравоохранения в течение отчетного периода. Включает новые случаи и рецидивы. </t>
  </si>
  <si>
    <t>Измеряется в абсолютных числах  на основании ежеквартальных статистических данных РЦИиЭ НЦФ.</t>
  </si>
  <si>
    <t>Отчетный инструмент  относится к форме ТБ 06, табл. 1. </t>
  </si>
  <si>
    <t>MDR TB-2: Количество бактериологически подтвержденных зарегистрированных ЛУ-ТБ случаев (РУ-ТБ и/или МЛУ-ТБ)</t>
  </si>
  <si>
    <t xml:space="preserve">    Абсолютное количество бактериологически подтвержденных случаев ЛУ РУ ТБ и/или МЛУ/ШЛУ, зарегистрированных за отчетный период.                                      
</t>
  </si>
  <si>
    <t>Отчетный инструмент  относится к форме ТБ 06 У, табл. 1. </t>
  </si>
  <si>
    <t>MDR TB-3: Количество случаев с РУ/МЛУ ТБ, начавших лечение препаратами второго ряда</t>
  </si>
  <si>
    <t>Индикатор включает абсолютное число лабораторно-подтвержденных случаев РУ/МЛУ/ШЛУ ТБ, взятых на лечение преапаратами второго ряда в отчетный период</t>
  </si>
  <si>
    <t>База данных МЛУ-ТБ НЦФ РЦИиЭ</t>
  </si>
  <si>
    <t>MDR TB-7: Процент подтвержденных МЛУ-ТБ случаев, протестированных на чувствительность к фторхинолонам и инъекционным препаратам второго ряда</t>
  </si>
  <si>
    <t>Измеряется количество подтвержденных РУ/МЛУ ТБ случаев, протестированных на чувствительность к любым фторхинолонам и любым инъекционным препаратам второго ряда в отчетный период любым методом (Хайн-тест 2го ряда или фенотипический ТЛЧ). </t>
  </si>
  <si>
    <t>Числитель: Количество подтвержденных РУ/МЛУ ТБ случаев протестированных на чувствительность к фторхинолонам и инъекционным препаратам второго ряда в отчетный период. Знаменатель: Общее количество подтвержденных случаев РУ/МЛУ, зарегистрированных в отчетный период. </t>
  </si>
  <si>
    <t>Отчетный инструмент  относится к форме ТБ 06, табл. 3а и 3б. </t>
  </si>
  <si>
    <t>MDR TB-8: Количество случаев ШЛУ ТБ, взятых на лечение</t>
  </si>
  <si>
    <t>Количество зарегистрипрованных  подтвержденных случаев ШЛУ ТБ, которые начали  назначенное ШЛУ лечение в течение отчетного периода.</t>
  </si>
  <si>
    <t>Измеряется в абсолютных числах  на основании ежеквартальных статистических данных РЦИиЭ НЦФ.</t>
  </si>
  <si>
    <t>TB/HIV-5: Процент зарегистрированных пациентов  (новых случаев и рецидивов), которые имеют задокументированный статус ВИЧ</t>
  </si>
  <si>
    <t>Количество новых случаев и рецидивов, зарегистрированный в отченный период, у которых имеется задокументированный ВИЧ статус</t>
  </si>
  <si>
    <t xml:space="preserve">Числитель: Количество пациентов (новые случаи и рецидивы), зарегистрированные в отчетный период, у которых имеется результат теста на ВМЧ (положительный или отрицательный), записанный в ТБ регистре. Знаменатель: Количество пациентов (новые случаи и рецидивы), зарегистированные в ТБ регистре в течение отчетного периода.  </t>
  </si>
  <si>
    <t>Отчетный инструмент  относится к форме ТБ 06 У, табл. 4. </t>
  </si>
  <si>
    <t>Номер показателя: название (№ в Системе оценки результатов реализации)</t>
  </si>
  <si>
    <t>Показатели должны быть выбраны ОР и членами СКК или Техническим комитетом СКК, см. Систему оценки результатов реализации</t>
  </si>
  <si>
    <t>Система оценки результатов реализации</t>
  </si>
  <si>
    <t>Информация о гранте</t>
  </si>
  <si>
    <t>Страна:</t>
  </si>
  <si>
    <t>Кыргызстан</t>
  </si>
  <si>
    <t>Название гранта:</t>
  </si>
  <si>
    <t>«Эффективный контроль за ВИЧ-инфекцией и туберкулезом в Кыргызской Республике»</t>
  </si>
  <si>
    <t>Грант №</t>
  </si>
  <si>
    <t>KGZ-C-UNDP</t>
  </si>
  <si>
    <t>Компонент:</t>
  </si>
  <si>
    <t>ВИЧ/СПИД/ТБ</t>
  </si>
  <si>
    <t>Общая сумма:</t>
  </si>
  <si>
    <t>Основной реципиент:</t>
  </si>
  <si>
    <t>ПРООН</t>
  </si>
  <si>
    <t>Раунд:</t>
  </si>
  <si>
    <t>Фаза:</t>
  </si>
  <si>
    <t>Дата начала (дд/ммм/гг):</t>
  </si>
  <si>
    <t>Местный агент Фонда:</t>
  </si>
  <si>
    <t>UNOPS</t>
  </si>
  <si>
    <t>Последняя оценка:</t>
  </si>
  <si>
    <t>A2</t>
  </si>
  <si>
    <t>Менеджер портфолио Фонда:</t>
  </si>
  <si>
    <t>Ольга Авдеева</t>
  </si>
  <si>
    <t>Период предоставления отчетной информации</t>
  </si>
  <si>
    <t>Отчетный период</t>
  </si>
  <si>
    <t>P1</t>
  </si>
  <si>
    <t>с:</t>
  </si>
  <si>
    <t>до:</t>
  </si>
  <si>
    <t>Дата ввода информации:</t>
  </si>
  <si>
    <t>Кем подготовлено:</t>
  </si>
  <si>
    <t>Информация об индикаторах</t>
  </si>
  <si>
    <t>Введите данные в ячейки соответствующего цвета</t>
  </si>
  <si>
    <t xml:space="preserve">Информация о финансировании: </t>
  </si>
  <si>
    <t xml:space="preserve">Информация об управлении: </t>
  </si>
  <si>
    <t xml:space="preserve">Информация о программе: </t>
  </si>
  <si>
    <t xml:space="preserve">     Введите финансовые данные в каждую ячейку оранжевого цвета.</t>
  </si>
  <si>
    <t>Валюта финансирования гранта</t>
  </si>
  <si>
    <t>$</t>
  </si>
  <si>
    <t>F1: Бюджет и выплаты Глобальным фондом</t>
  </si>
  <si>
    <t>Выплаты</t>
  </si>
  <si>
    <t>P2</t>
  </si>
  <si>
    <t>P3</t>
  </si>
  <si>
    <t>P4</t>
  </si>
  <si>
    <t>P5</t>
  </si>
  <si>
    <t>P6</t>
  </si>
  <si>
    <t>P7</t>
  </si>
  <si>
    <t>P8</t>
  </si>
  <si>
    <t>P9</t>
  </si>
  <si>
    <t>P10</t>
  </si>
  <si>
    <t>P11</t>
  </si>
  <si>
    <t>P12</t>
  </si>
  <si>
    <t>% Общего объема</t>
  </si>
  <si>
    <t>Бюджет (в $)</t>
  </si>
  <si>
    <t>Общий бюджет</t>
  </si>
  <si>
    <t>Общая сумма выплат</t>
  </si>
  <si>
    <t>F2: Бюджет и фактические расходы согласно задачам гранта</t>
  </si>
  <si>
    <t>Комментарии</t>
  </si>
  <si>
    <t>Профилактика - Работники секс-бизнеса и их клиенты</t>
  </si>
  <si>
    <t>Данная задача включает бюджет на:- закупки  женских и мужских презервативов, любрикантов, тестов, антисептических салфеток, а также соответствующие затраты на управление поставками,  целевые расходы СП: 7 ПОУ на базе НПО, работающие в данном направлении, включая з/п социальных и аутрич работников.  За весь период было израсходовано 21% выделенного бюджета согласно фактическим потребностям. При этом на конец отчетного периода имеются финансовые обязательства, в основном,  по закупкам на 8 927$, с учетом которых освоение будет 23% в рамках данной задачи. Закуп презервативов и любрикантов был перенесен на 2019 в виду достаточного текущего запаса.</t>
  </si>
  <si>
    <t>Профилактика - ПИН и их партнеры</t>
  </si>
  <si>
    <t>Данная задача включает бюджет на:- закупки метадона, налоксона, шприцов, мужских презервативов, тестов, антисептических салфеток, пластиковых стаканов,  а также соответствующие затраты на управление поставками, ремонт ОЗТ,  целевые расходы СП (РЦН и НПО, работающие в данном направлении), включая з/п социальных и аутрич работников. За весь период было израсходовано 69% выделенного бюджета согласно фактическим потребностям. При этом на конец отчетного периода имеются финансовые обязательства по закупкам на 326 250$, с учетом которых освоение будет 114% в рамках данной задачи.</t>
  </si>
  <si>
    <t>Профилактика - Другие уязвимые группы населения </t>
  </si>
  <si>
    <t xml:space="preserve"> -     </t>
  </si>
  <si>
    <t xml:space="preserve">Данная задача включает бюджет на:- закупки  тестов,  а также соответствующие затраты на управление поставками. На конец отчетного периода имеются финансовые обязательства по закупкам на 695$, с учетом которых освоение будет 24% в рамках данной задачи. </t>
  </si>
  <si>
    <t>ППМР</t>
  </si>
  <si>
    <t xml:space="preserve">Данная задача включает бюджет на:- закупки Антиретровирусных препаратов,  тест-наборы,  а также соответствующие затраты на управление поставками. На конец отчетного периода имеются финансовые обязательства по закупкам на 16 919$, с учетом которых освоение будет 51% в рамках данной задачи. </t>
  </si>
  <si>
    <t xml:space="preserve">Лечение, уход и поддержка </t>
  </si>
  <si>
    <t xml:space="preserve">Данная задача включает бюджет на:- закупки Антиретровирусных препаратов, Тестирование на ВИЧ CD4 расходные материалы / тест-наборы: расходные материалы- вирусологическое тестирование на ВИЧ / тест-наборы,  а также соответствующие затраты на управление поставками,  целевые расходы СП (РЦ «СПИД» и региональные центры по борьбе со СПИДом, и 7 НПО, включая з/п социальных и аутрич работников и мед.технического персонала, транспортировку биологических образцов, Поддержку  оплаты стимулов ЛЖВ за приверженность к АРТ. За отчетный период было израсходовано 37% выделенного бюджета согласно фактическим потребностям. При этом на конец отчетного периода имеются финансовые обязательства, в основном, по закупкам на 711 672$, с учетом которых освоение будет 106% в рамках данной задачи. </t>
  </si>
  <si>
    <t>ТБ/ВИЧ</t>
  </si>
  <si>
    <t xml:space="preserve">Данная задача включает бюджет на:- закупки на Pyrodoxine,  а также соответствующие затраты на управление поставками. На конец отчетного периода имеются финансовые обязательства по закупкам на 887$, с учетом которых освоение будет 11% в рамках данной задачи. </t>
  </si>
  <si>
    <t>МЛУ-ТБ</t>
  </si>
  <si>
    <t xml:space="preserve">Данная задача включает бюджет на:- закупки на  ПТП, лабораторные реагенты, шприцы, респираторы, картриджы для Xpert, GeneXpert,  а также соответствующие затраты на управление поставками, Услуги томографии и диагностика больных туберкулезом; Ежегодный операционный взнос в комитет Green Light; з/п отдела логистики по транспортировки мокроты, з/п психологов для пациентов, целевые расходы СП на базе НПО, транпсортировку мокроты, моивационные выплаты пациентам, соблюдающим лечение, МиО визиты и тренингы по Базе Данных по ТБ. За отчетный период было израсходовано 28% выделенного бюджета согласно фактическим потребностям. При этом на конец отчетного периода имеются финансовые обязательства, в основном, по закупкам на 2 152 664$, с учетом которых освоение будет 85% в рамках данной задачи. </t>
  </si>
  <si>
    <t>Укрепление систем сообществ</t>
  </si>
  <si>
    <t>Данная задача включает бюджет на  целевые расходы СП- 2-х национальных сетей по ТБ и ВИЧ:  транспортные расходы, связанные с МиО визитами;  зарплата сотрудникам программ. За отчетный период было израсходовано 81% выделенного бюджета согласно фактическим потребностям</t>
  </si>
  <si>
    <t>УC3 - Информационные системы здравоохранения и МиО</t>
  </si>
  <si>
    <t>Данная задача включает бюджет на:  целевые расходы СП ( РЦН, центров по борьбе со СПИДом, ТБ центры), включая оплату специалистов по контролю качества лабораторных услуг, технических специалистов НТП по реализации гранта ГФ; специалистов по по мониторингу и оценке для обеспечения верификации данных; МиО визиты центров по борьбе со СПИДом. За отчетный период было израсходовано 93% выделенного бюджета согласно фактическим потребностям. При этом на конец отчетного периода имеются финансовые обязательства СП на 1 118$, с учетом которых освоение будет 97% в рамках данной задачи.</t>
  </si>
  <si>
    <t>Управление программой</t>
  </si>
  <si>
    <t>Данная задача включает бюджет в основном на административные расходы СП и ОП в рамках реализации проекта, ежегодный аудит СП, модернизация Базы Данных по ТБ, техническую поддержку СП в виде наемных консультантов, закуп USB модемов и расходы на мобильный интернет для Базы Данных по ТБ, содержание камер наблюдения для РЦН, ежегодные встречи СП по компоненту ТБ, тренинги по адвокации и правам человека, МиО визиты СП, а также административные расходы в рамках Matching Funds (MF).. За отчетный период было израсходовано 66% выделенного бюджета. При этом на конец отчетного периода имеются финансовые обязательства на 67 914$, с учетом которых освоение будет 71% в рамках данной задачи. Обязательства включают невыплаченную премиальную часть з/п координаторов СП за 4-й кв 2018; неоплаченные офисные расходы за декабрь 2018; неоплаченный GMS по обязательствам.</t>
  </si>
  <si>
    <t xml:space="preserve">Профилактика - заключенные </t>
  </si>
  <si>
    <t xml:space="preserve">Данная задача включает бюджет на:- закупки  тестов, антисептических салфеток, а также соответствующие затраты на управление поставками- целевые расходы РЦН, включая з/п социальных и аутрич работников 13 ПОШ в тюрьмах, расходы с МиО визитами. За отчетный период было израсходовано 65% выделенного бюджета согласно фактическим потребностям. При этом на конец отчетного периода имеются финансовые обязательства по закупкам на 29 820$, с учетом которых освоение будет 127% в рамках данной задачи. </t>
  </si>
  <si>
    <t>Профилактика - МСМ и трансгендерные лица</t>
  </si>
  <si>
    <t>Данная задача включает бюджет на:- закупки  мужских презервативов, любрикантов, тестов, антисептических салфеток, а также соответствующие затраты на управление поставками, целевые расходы СП: 7 ПОУ на базе НПО, работающие в данном направлении, включая з/п социальных и аутрич работников.  За весь период было израсходовано 50% выделенного бюджета согласно фактическим потребностям. При этом на конец отчетного периода имеются финансовые обязательства, в основном,  по закупкам на 28 989$, с учетом которых освоение будет 67% в рамках данной задачи. Закуп презервативов и любрикантов был перенесен на 2019 в виду достаточного текущего запаса.</t>
  </si>
  <si>
    <t>Устранение правовых барьеров к доступу</t>
  </si>
  <si>
    <t>Данная задача включает бюджет на: мероприятия по Matching Funds, которые были перенесы на 2019, - целевые расходы по Проекту «Уличные юристы»,  на базе НПО - оплата аутрич-работников, обучения аутрич-работников и регулярных рабочих встреч с консультантами:- форумы  для общин (ЛЖВ, ПИН,СР, МСМ); За отчетный период было израсходовано 76% выделенного бюджета согласно фактическим потребностям. При этом на конец отчетного периода имеются финансовые обязательства СП на 2 806$, с учетом которых освоение будет 77% в рамках данной задачи.</t>
  </si>
  <si>
    <t>Всего:</t>
  </si>
  <si>
    <t>F3: Выплаты и расходы</t>
  </si>
  <si>
    <t>До отчетного периода</t>
  </si>
  <si>
    <t>Текущий отчетный период</t>
  </si>
  <si>
    <t>Выплачено Глобальным фондом</t>
  </si>
  <si>
    <t>Расходы и платежи ОР</t>
  </si>
  <si>
    <t>Выплачено субреципиентам</t>
  </si>
  <si>
    <t>Расходы субреципиентов</t>
  </si>
  <si>
    <t>F4: Последний отчетный и платежный цикл ОР</t>
  </si>
  <si>
    <t>Последняя выплата средств: количество календарных дней</t>
  </si>
  <si>
    <t>Расчетные (дни)</t>
  </si>
  <si>
    <t>Фактические (дни)</t>
  </si>
  <si>
    <t xml:space="preserve">Сколько дней понадобилось для подачи ИОР/ЗПС в офис МАФ </t>
  </si>
  <si>
    <t xml:space="preserve">Спустя сколько дней ОР получил платеж </t>
  </si>
  <si>
    <t>н/п</t>
  </si>
  <si>
    <t>Спустя сколько дней суб-реципиенты получили платежи</t>
  </si>
  <si>
    <t>Информация об управлении:</t>
  </si>
  <si>
    <t>Введите данные об управлении в каждую ячейку голубого цвета.</t>
  </si>
  <si>
    <t>M1: Статус Предварительных условий (ПУ) и Действий с установленным сроком исполнения (ДУС)</t>
  </si>
  <si>
    <t>Выполненные</t>
  </si>
  <si>
    <t>Невыполненные, но непросроченные</t>
  </si>
  <si>
    <t>Невыполненные и просроченные</t>
  </si>
  <si>
    <t>Всего</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</si>
  <si>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</si>
  <si>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</si>
  <si>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</si>
  <si>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</si>
  <si>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M2: Статус ключевых руководящих должностей в структуре ОР</t>
  </si>
  <si>
    <t>Отдел управления проектом</t>
  </si>
  <si>
    <t>Запланировано</t>
  </si>
  <si>
    <t>Заполнено</t>
  </si>
  <si>
    <t>Вакантно</t>
  </si>
  <si>
    <t>ВИЧ/СПИД</t>
  </si>
  <si>
    <t>ТБ</t>
  </si>
  <si>
    <t xml:space="preserve">M3: Контрактные соглашения (СР) </t>
  </si>
  <si>
    <t>Определеные</t>
  </si>
  <si>
    <t>Прошедшие оценку</t>
  </si>
  <si>
    <t>Одобренные</t>
  </si>
  <si>
    <t>Подписавшие соглашение</t>
  </si>
  <si>
    <t>Получающие финансирование</t>
  </si>
  <si>
    <t>СР ВИЧ/СПИД</t>
  </si>
  <si>
    <t>СР ТБ</t>
  </si>
  <si>
    <t>M4: Количество полных отчетов, полученных к установленному сроку</t>
  </si>
  <si>
    <t>Ожидаемое кол-во</t>
  </si>
  <si>
    <t>Полученное кол-во</t>
  </si>
  <si>
    <t>Незавершенные</t>
  </si>
  <si>
    <t>Отчеты ССР для СР ВИЧ/СПИД</t>
  </si>
  <si>
    <t>Отчеты СР для ОР ВИЧ СПИД</t>
  </si>
  <si>
    <t>Отчеты ССР для СР ТБ</t>
  </si>
  <si>
    <t>Отчеты СР для ОР ТБ</t>
  </si>
  <si>
    <t>M5: Бюджет и закупки товаров медицинского назначения, медицинского оборудования,  лекарственных средств и фармацевтических препаратов</t>
  </si>
  <si>
    <t>Утвержденный бюджет*</t>
  </si>
  <si>
    <t>Финансовые обязательства</t>
  </si>
  <si>
    <t>Расходы</t>
  </si>
  <si>
    <t>Совокупный утвердженный бюджет*</t>
  </si>
  <si>
    <t>Общий объем финансовых обязательств</t>
  </si>
  <si>
    <t>Общий объем расходов</t>
  </si>
  <si>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</si>
  <si>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M6: Разница между текущим и резервным запасами</t>
  </si>
  <si>
    <t>Компонент</t>
  </si>
  <si>
    <t>Продукция</t>
  </si>
  <si>
    <t>(1)
Кол-во таблеток на 1 пациента в день
(см. Национальный протокол по лечению)</t>
  </si>
  <si>
    <t>(2 = 1 x 30)
Месячный курс лечения 
(кол-во таблеток на 1 пациента на 30 дней)</t>
  </si>
  <si>
    <t>(3)
Общее кол-во пациентов, получающих лечение</t>
  </si>
  <si>
    <t>(4 = 2 x 3)
Общее кол-во таблеток, необходимое для всех пациентов на 1месяц</t>
  </si>
  <si>
    <t>(5)
Текущие запасы на центральном складе (с действительным сроком годности на ближайшие 3 месяца)</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</si>
  <si>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</si>
  <si>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</si>
  <si>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</si>
  <si>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ВИЧ / СПИД</t>
  </si>
  <si>
    <t>3TC 150 mg</t>
  </si>
  <si>
    <t>ABC 300 mg</t>
  </si>
  <si>
    <t>AZT 300 mg</t>
  </si>
  <si>
    <t>FDC (AZT+3TC) 300/150 mg</t>
  </si>
  <si>
    <t>EFV 200</t>
  </si>
  <si>
    <t>EFV 600</t>
  </si>
  <si>
    <t>LPV/r 200/50 mg</t>
  </si>
  <si>
    <t>NVP 200</t>
  </si>
  <si>
    <t>TDF 300 mg</t>
  </si>
  <si>
    <t>FDC (TDF/FTC) 300/200 mg</t>
  </si>
  <si>
    <t>FDC  (TDF/FTC/EFV) 300/200/600 mg</t>
  </si>
  <si>
    <t>FDC (ABC/3TC) 600/300 mg</t>
  </si>
  <si>
    <t>FDC (ABC/3TC) 60/30 mg</t>
  </si>
  <si>
    <t>NVP 50</t>
  </si>
  <si>
    <t>LPV/r_сироп_80</t>
  </si>
  <si>
    <t>FDC (AZT+3TC) 60/30</t>
  </si>
  <si>
    <t>DTG 50 mg</t>
  </si>
  <si>
    <t>ATV 300mg</t>
  </si>
  <si>
    <t>Capreomycin  1000mg  Порошок для инъекций</t>
  </si>
  <si>
    <t>Kanamycin  1000mg  Порошок для инъекций</t>
  </si>
  <si>
    <t>Amikacin 500 mg/2 ml инъекции</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</si>
  <si>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</si>
  <si>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</si>
  <si>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</si>
  <si>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</si>
  <si>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</si>
  <si>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</si>
  <si>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</si>
  <si>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</si>
  <si>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Rifampicin  150mg  Таблетки в оболочке</t>
  </si>
  <si>
    <t>Pyrazinamide  400mg  Таблетки без оболочки</t>
  </si>
  <si>
    <t>Клофаземин 100 мг</t>
  </si>
  <si>
    <t>Имипенем500/Циластатин 500</t>
  </si>
  <si>
    <t>Линезолид 600 мг</t>
  </si>
  <si>
    <t>Бедаквилин 100 мг</t>
  </si>
  <si>
    <t>Деламанид 50 мг</t>
  </si>
  <si>
    <t>Информация о программе: ВИЧ/СПИД</t>
  </si>
  <si>
    <t xml:space="preserve">     Введите данные о реализации программы в каждую ячейку желтого цвета.</t>
  </si>
  <si>
    <t>Код</t>
  </si>
  <si>
    <t>Связаны напрямую?</t>
  </si>
  <si>
    <t>Топ 10</t>
  </si>
  <si>
    <t>с текущим грантом</t>
  </si>
  <si>
    <t>Целевой показатель</t>
  </si>
  <si>
    <t>Достигнуто </t>
  </si>
  <si>
    <t>Процент ЛЖВ, получающих АРТ и достигших неопределяемую вирусную нагрузку (т.е. ≤1000 копий)</t>
  </si>
  <si>
    <t>Ч:150
З:250
%:60</t>
  </si>
  <si>
    <t>Ч:77
З:140
%:55</t>
  </si>
  <si>
    <t>Ч: 2800
З: 8300
%: 33.7</t>
  </si>
  <si>
    <t>Ч: 2865
З: 8690
%: 32.9</t>
  </si>
  <si>
    <t>Ч:4970
З: 7103
%: 69.9</t>
  </si>
  <si>
    <t>Ч:4359
З: 7103
%: 61.4</t>
  </si>
  <si>
    <t xml:space="preserve"> Топ 10</t>
  </si>
  <si>
    <t>Ч: 6700
З: 11692
%: 57.3</t>
  </si>
  <si>
    <t>Ч: 8503
З: 11692
%:72.7</t>
  </si>
  <si>
    <t>Ч: 7313
З: 25000
%: 29.2</t>
  </si>
  <si>
    <t>Ч: 8576
З: 25000
%: 34.3</t>
  </si>
  <si>
    <t>Ч:2237
З: 7103
%: 31.5</t>
  </si>
  <si>
    <t>Ч:2218
З: 7103
%: 31.2</t>
  </si>
  <si>
    <t>Ч: 2793
З: 11692
%: 23.8</t>
  </si>
  <si>
    <t>Ч: 3419
З: 11692
%: 29.2</t>
  </si>
  <si>
    <t>Процент ЛЖВ (включая ППМР), у которых ТБ статус оценивался в отчетном периоде, из числа доступных</t>
  </si>
  <si>
    <t xml:space="preserve"> с текущим грантом</t>
  </si>
  <si>
    <t>Таблица обновляется автоматически. Данные в эти ячейки не вводятся</t>
  </si>
  <si>
    <t>Информация о программе: ТБ</t>
  </si>
  <si>
    <t>Р1</t>
  </si>
  <si>
    <t>Р2</t>
  </si>
  <si>
    <t>да</t>
  </si>
  <si>
    <t>Достигнуто</t>
  </si>
  <si>
    <t xml:space="preserve">MDR TB-2: Количество бактериологически подтвержденных зарегистрированных ЛУ-ТБ случаев (РУ-ТБ и/или МЛУ-ТБ)		</t>
  </si>
  <si>
    <t xml:space="preserve">MDR TB-3: Количество случаев с РУ/МЛУ ТБ, начавших лечение препаратами второго ряда		</t>
  </si>
  <si>
    <t xml:space="preserve">MDR TB-8: Количество случаев ШЛУ ТБ, взятых на лечение		</t>
  </si>
  <si>
    <t xml:space="preserve">Процент и количество пациентов с симптомами или подозрениями на ТБ, обследованных методом Xpert MTB/RIF и подтвержденным активным ТБ  </t>
  </si>
  <si>
    <t>Грант №:</t>
  </si>
  <si>
    <t>Дата начала:</t>
  </si>
  <si>
    <t>Общ. финансирование:</t>
  </si>
  <si>
    <t>Отчетный период:</t>
  </si>
  <si>
    <t>дo:</t>
  </si>
  <si>
    <t>Последняя оценка</t>
  </si>
  <si>
    <t>Портфолио Менеджер  Фонда:</t>
  </si>
  <si>
    <t>Кем подготовлен:</t>
  </si>
  <si>
    <t>Дата подготовки отчета:</t>
  </si>
  <si>
    <t>Финансовые показатели</t>
  </si>
  <si>
    <t>Комментарии:</t>
  </si>
  <si>
    <t xml:space="preserve">ГФ в июле и октябре 2018 г. произвел выплату двумя траншами на общую сумму 9 283 289$, что превышает бюджет отчетного периода на 20% в виду предварительного запроса от ОР на проведение закупок из будущего периода в отчетном. </t>
  </si>
  <si>
    <t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t>
  </si>
  <si>
    <t xml:space="preserve">В отчетном периоде ОП подготовил и направил ИОР/ЗПС в ГФ и офис МАФ в установленные сроки. Платеж от ГФ на отчетный период был получен  в  июле и октябре 2018 согласно графика платежей ГФ. </t>
  </si>
  <si>
    <t>Совокупный бюджет</t>
  </si>
  <si>
    <t>Совокупные расходы</t>
  </si>
  <si>
    <t>Показатели по управлению</t>
  </si>
  <si>
    <t>Комментарии по ВИЧ:</t>
  </si>
  <si>
    <t>Медикаменты и ИМН закуплены согласно потребности на 2018 год. В расчетах потребности учтены текущий запас, ожидаемые поставки и наличие бюджета</t>
  </si>
  <si>
    <t>Комментарии по ТБ:</t>
  </si>
  <si>
    <t>Представленная информация по АРВ препаратам отражает ситуацию на 31/12/18 (Данные Электронной базы слежения за случаями ВИЧ и данным РЦ СПИД) данные по пациентам согласно Клиническому протоколу. Запасы отслеживаются, критических ситуаций с запасами не наблюдается. У препаратов с запасом  свыше 10 месяцев срок годности приемлемый и будет использован до истечения срока годности. Касательно препаратов и тест систем  с уровнем запаса менне 3х месяцев, плановая поставка препаратов покроет потребность на 2019 год. Относительно экспресс тестирования, тест исследования покроют потребности на 2019 с увеличением количества  протестированных среди ключевых групп по сравнению с 2018 годом.</t>
  </si>
  <si>
    <t>Лекарственные средства и продукты медицинского назначения</t>
  </si>
  <si>
    <t>Уровень запасов, выраженный в месяцах лечения для всех имеющихся пациентов</t>
  </si>
  <si>
    <t xml:space="preserve">Уровень резервных запасов в месяцах </t>
  </si>
  <si>
    <t>Разница между имеющимся и безопасным уровнем запасов</t>
  </si>
  <si>
    <t>Метадон</t>
  </si>
  <si>
    <t>Картриджи (CD 4)</t>
  </si>
  <si>
    <t>Картриджи (Вирусная нагрузка)</t>
  </si>
  <si>
    <t>Экспресс тестирование (по околодесновой жидкости)</t>
  </si>
  <si>
    <t>Capreomycin  1000mg  Порошок для инъекций</t>
  </si>
  <si>
    <t>Kanamycin  1000mg  Порошок для инъекций</t>
  </si>
  <si>
    <t>P-aminosalicylate sodium salt  4000mg  Powder/Sachet</t>
  </si>
  <si>
    <t>Genexpert картриджи</t>
  </si>
  <si>
    <t>GeneType MTBDR pIus №96</t>
  </si>
  <si>
    <t>Gene Type MTBDR SL №96</t>
  </si>
  <si>
    <t>Raiting</t>
  </si>
  <si>
    <t>Valor</t>
  </si>
  <si>
    <t>Программные показатели по ВИЧ/СПИД</t>
  </si>
  <si>
    <t>Процент ЛУИН, охваченных программами по  профилактике ВИЧ</t>
  </si>
  <si>
    <t>Комментрии:</t>
  </si>
  <si>
    <t xml:space="preserve">В отчетный период услуги получили 4330 ЛУИН  в государственных ПОШ, 11134 ЛУИН в НПО и 1601 в ГСИН. После исключения дублирующих кодов, общее количество клиентов  охваченных программами по профилактике ВИЧ в отчетном периоде  составило 16530, в том числе 1950 женщин. </t>
  </si>
  <si>
    <t xml:space="preserve">В соответствии с официальными данными, представленными Центром СПИД Республики на 31 декабря 2018 г., 3718 ЛЖВ получают АРВ лечение. В это число входят 3271 взрослых (из них: мужчин - 1789, женщин - 1482) и 447 детей (из них: дев. -184, мал. -263). </t>
  </si>
  <si>
    <t xml:space="preserve">Данный показатель является годовым. На 31 декабря 2018 года процент взрослых и детей, получавших антиретровирусную терапию в отчетный период, у которых отмечено подавление вирусной нагрузки (т.е. ≤1000 копий) составляет 68.5 % (2545/3718). 					</t>
  </si>
  <si>
    <t>Показатели</t>
  </si>
  <si>
    <t>0% - 59%</t>
  </si>
  <si>
    <t>60% - 89%</t>
  </si>
  <si>
    <t>&gt; 90%</t>
  </si>
  <si>
    <t>Замечания</t>
  </si>
  <si>
    <t>min</t>
  </si>
  <si>
    <t>Ч: 16250
З: 25 000
%: 65</t>
  </si>
  <si>
    <t>Ч: 16530
З: 25 000
%: 66.1</t>
  </si>
  <si>
    <t>max</t>
  </si>
  <si>
    <t>Ч: 4373
З: 8500
%: 51.4</t>
  </si>
  <si>
    <t>Ч: 3718
З: 7600
%: 48.9</t>
  </si>
  <si>
    <t>Rating</t>
  </si>
  <si>
    <t>Ч:2405
З:4373
%: 54.9</t>
  </si>
  <si>
    <t>Ч:2545
З:3718
%: 68.5</t>
  </si>
  <si>
    <t xml:space="preserve">Данный показатель является годовым. На 31 декабря 2018 года процент взрослых и детей, получавших антиретровирусную терапию в отчетный период, у которых отмечено подавление вирусной нагрузки (т.е. ≤1000 копий) составляет 68.5 % (2545/3718). </t>
  </si>
  <si>
    <t>Ч: 150
З:250
%:60</t>
  </si>
  <si>
    <t xml:space="preserve">За предыдущий отчетный период (январь-июнь 2018) 140 ЛУИН вошли в программу и из них 77 находились на лечении не менее 6 месяцев после начала лечения, что составило 55%. 
Из тех, кто не смог удержаться в течение 6 месяцев: умер -3; перешел на другой сайт и не дошел- 5;  добровольное досрочное - 55.
Согласно данным, полученным из ЭРЗПТ, в отчетном периоде получали ОЗТ- 1 243 ЛУИН, а по состоянию на 31 декабря 2018 г. - 1 094 ЛУИН фактически получали ОЗТ (сайты РЦН, ГСИН и CDC). Одним из значительных достижений программы ОЗТ в текущем отчетном периоде является то, что 30% стабильных клиентов ОЗТ (220 клиентов из 731 по состоянию на 31 декабря 2018 года) получали метадон на руки на  3-5 дней.
</t>
  </si>
  <si>
    <t xml:space="preserve">За отчетный период 2865 заключенных (из них женщин- 98), прошли тестирование на ВИЧ и знают свои результаты из общего количества 8690 заключенных, что составило 32.9%. </t>
  </si>
  <si>
    <t>Ч:4359
З: 7103
%: 61.3</t>
  </si>
  <si>
    <t xml:space="preserve">Шесть НПО  в г.  Бишкек, Ош, Джалал-Абад,  Кызыл-Кия, Чолпон-Ата, Каракол, Талас, Балыкчы и в Джалал-Абадской, Ошской, Чуйской, Иссык-Кульской, Нарынской и Таласской областях реализуют программы профилактики ВИЧ среди данной уязвимой группы. В этот период 4359 СР получили минимальный пакет услуг: предоставление презервативов, тематических информационных материалов виде брошюр или бесед/консультирования, и направление на тестирование ВИЧ и/или ИППП и/или прошли экспресс-тестирование на ВИЧ.  Из них 38 СР идентифицировали себя ка ТГ.  В отчетный период 1127 СР прошли диагностику на ИППП.  
Милицейские рейды по-прежнему являются основным препятствием для деятельности профилактических программ г. Бишкек и Ош, где работают две большие организациине с большим охватом.  Несмотря на проводимые обучающие и адвокационные мероприятия, ситуация не улучшается. Сотрудники милиции являются основными виновниками насилия и нарушений прав человека, продолжается дискриминационное применение административных статей (например, о «мелком хулиганстве») к секс-работникам, что представляет собой фактическую криминализацию секс-работы. Было зарегистрипровано много случаев нарушения прав. В результате, доступ к СР ограничен в этих двух больших городах.
</t>
  </si>
  <si>
    <t xml:space="preserve">Три НПО осуществляли программы профилактики ВИЧ среди МСМ в г. Бишкек, Ош, Джалал-Абад, Талас  и в Чуйской, Ошской и Иссык-Кульской областях. 8503 МСМ были охвачены минимальным пакетом услуг. Диагностику на ИППП прошли- 1076 МСМ. </t>
  </si>
  <si>
    <t xml:space="preserve">За отчетный период 8576 ЛУИН, включая ЛУИН заключенных и ОЗТ клиентов прошли тестирование на ВИЧ и знают свои результаты. Из них 97.4% (8352/8576) прошли экспресс тестирование. Доступность ЭТ для клиентов НПО отражается в увеличении числа протестированных. 
</t>
  </si>
  <si>
    <t xml:space="preserve">За отчетный период 2218 СР прошли тестирование на ВИЧ и знают свои результаты. Все прошли экспресс тестирование. 
</t>
  </si>
  <si>
    <t xml:space="preserve">За отчетный период 3419 МСМ прошли тестирование на ВИЧ и знают свои результаты. Все клиенты  (100 %) прошли экспресс тестирование на базе НПО. </t>
  </si>
  <si>
    <t>Из 3675 ЛЖВ (3234 взрослых и 441 детей), вовлеченных в уход по ВИЧ , ТБ статус был оценен у 3539 ЛЖВ (3100 взрослых и 439 детей)  во время отчетного периода, согласно национальному протоколу по ВИЧ. Данные предоставлены РЦ СПИД.</t>
  </si>
  <si>
    <t>Из 81 ВИЧ-инфицированных больных ТБ, 75 пациентов получали комбинированную антиретровирусную терапию в соответствии с национально утвержденными протоколами лечения, и которые начали получать лечение ТБ (в соответствии с руководящими принципами национальной программы по ТБ) в течение отчетного периода. </t>
  </si>
  <si>
    <t xml:space="preserve">Согласно данным РЦ СПИД в 2018 году общее число беременных женщин с ВИЧ, родивших -136. Из них 133 женщин получили АРТ в целях профилактики вертикальной передачи ВИЧ.
</t>
  </si>
  <si>
    <t>Программные показатели по ТБ</t>
  </si>
  <si>
    <t xml:space="preserve">Согласно НЦФ, регистрируемое количество случаев ТБ традиционно снижается во 2-3 квартале в связи с внешней миграцией. </t>
  </si>
  <si>
    <t>Данные индикатор перевыполнен в связи с тем, что НЦФ усилила работу по активному поиску случаев среди ранее леченных случаев ТБ</t>
  </si>
  <si>
    <t xml:space="preserve">В течение отчетного периода 689 РУ/МЛУ/ШЛУ ТБ больных начали лечение препаратами второго ряда, из них 671 бактериологически подтвержденных и 18 клинически диагностированных. Из 671  45 больных начали лечение в пенитенциарном секторе и 626 - в гражданском секторе. </t>
  </si>
  <si>
    <t>Замечания и комментарии</t>
  </si>
  <si>
    <t>3191</t>
  </si>
  <si>
    <t>Данные включают 3062 случая ТБ, зарегистрированных в гражданском секторе, и 129 ТБ случаев, зарегистрированных в пенитенциарной системе. В отчетном периоде отмечено незначительное снижение уровня регистрации случаев ТБ, особенно в малых областях, тогда как в Чуйской области высокий уровень выполнения данного индикатора. Такая ситуация объясняется прежде всего внутренней миграцией из малых областей в г.Бишкек и Чуйскую область, и внешней миграцией, в связи с чем выявление и регистрация традиционно снижаются в летние месяцы и увеличиваются в зимние месяцы, когда мигранты возвращаются домой. </t>
  </si>
  <si>
    <t>847</t>
  </si>
  <si>
    <t>Данный индикатор был перевыполнен благодаря решению НЦФ, закрепленному в Указании НЦФ от 4 апреля 2018 года, об активном поиске случаев среди ранее леченых больных РУ/МЛУ/ШЛУ ТБ. Данные включают все лабораторно подтвержденные случаи РУ/МЛУ/ШЛУ ТБ, зарегистрированные в отчетный период. 45 случаев были зарегистрированы в пенитенциарном секторе, 802 случая - в гражданском секторе. </t>
  </si>
  <si>
    <t>В течение отчетного периода 689 РУ/МЛУ/ШЛУ ТБ больных начали лечение препаратами второго ряда, из них 671 бактериологически подтвержденных и 18 клинически диагностированных. Таким образом индикатор выполнен на 96%: 671 случай из запланированных 700. Это число включает 45 случаев в пенитенциарном секторе и 626 - в гражданском секторе. Охват лечением составил 80% (671 из  847 зарегистрированных в отчетный период).  Разница объясняется тем, что некоторые из ранее леченных больных, имеющих в прошлом неудачный опыт лечения, отказываются от нового курса лечения. Районные фтизиатры и кейс-менеджеры продолжают работу по мотивации к лечению среди этих больных. </t>
  </si>
  <si>
    <t>52%</t>
  </si>
  <si>
    <t>Среди 847 РУ/МЛУ ТБ случаев. зарегистрированных в этот отчетный период, только 440 случаев были протестированы на лекарственную чувствительность в ПВР (фторхинолонам и инъекционным препаратам). Среди МЛУ ТБ больных 61% имеют ТЛЧ к ПВР, среди РУ ТБ больных охват ТЛЧ к ПВР составил только 11%. Имеется 2 основных причины недостаточно высокого охвата: (1) Ошская межобластная референс-лаборатория не проводила ТЛЧ к ППР и ПВР с октября 2017 года по октябрь 2018 года, таким образом, охват ТЛЧ к ПВР в южных областях значительно ниже, чем в северных: в Ошской области охват составил 30%, в Жалал-Абадской области - 34%, в Чуйской области - 69%, в Нарынской - 89%, в Иссык-Кульской области - 79%; (2) Качество записей в ТБ регистре: т.к. лабораторный модуль ES-TB  признан не функциональным, областные ТБ центры не имеют источника информации для сверки данных, связанных с охватом ТЛЧ, в то же время мониторинговые визиты в южные области показали, что гораздо большее число случаев были протестированы на лекарственную чувствительность, чем об этом  имеется записей в ТБ регистре. </t>
  </si>
  <si>
    <t>45</t>
  </si>
  <si>
    <t>Доступность новых противотуберкулезных препаратов и индивидуальных режимов лечения оказывает существенное влияние на охват лечением больных с ШЛУ ТБ, начиная с 2017 года количество ШЛУ больных на лечении заметно увеличилось. Согласно НЦФ, 45 ШЛУ больных начали лечение во 2-3 квартале 2018 года. </t>
  </si>
  <si>
    <t>90%</t>
  </si>
  <si>
    <t>93%</t>
  </si>
  <si>
    <t>В течение отчетного периода 2956 ТБ случаев были протестированы на ВИЧ и имеют запись в ТБ регистре из  3191 новых случаев и рецидивов, зарегистрированных в стране в этот же период. </t>
  </si>
  <si>
    <t>Рекомендации</t>
  </si>
  <si>
    <t>Осваиваются ли все средства и расходуются ли они согласно бюджету?</t>
  </si>
  <si>
    <t>Заключительные комментарии</t>
  </si>
  <si>
    <t>F1</t>
  </si>
  <si>
    <t>F2</t>
  </si>
  <si>
    <t>F3</t>
  </si>
  <si>
    <t>F4</t>
  </si>
  <si>
    <t>Осуществляются ли закупки и набор персонала согласно графику?</t>
  </si>
  <si>
    <t>M1</t>
  </si>
  <si>
    <t>M2</t>
  </si>
  <si>
    <t>M3</t>
  </si>
  <si>
    <t>M4</t>
  </si>
  <si>
    <t>M5</t>
  </si>
  <si>
    <t>M6</t>
  </si>
  <si>
    <t>Достигаются ли технические целевые показатели?</t>
  </si>
  <si>
    <t>Программа</t>
  </si>
  <si>
    <t>P1 - тенденция</t>
  </si>
  <si>
    <t>P2 - тенденция</t>
  </si>
  <si>
    <t>P3 - тенденция</t>
  </si>
  <si>
    <t>Решения и действия</t>
  </si>
  <si>
    <t>Какой общий статус реализации этого гранта?</t>
  </si>
  <si>
    <t>Основные рекомендации Комитета по надзору</t>
  </si>
  <si>
    <t>Решение СКК</t>
  </si>
  <si>
    <t>Срок</t>
  </si>
  <si>
    <t>Ответственное лицо</t>
  </si>
  <si>
    <t>Запланированные действия/Предыдущий период</t>
  </si>
  <si>
    <t>Каково общее состояние действий, осуществленных за предыдущий период?</t>
  </si>
  <si>
    <t>Предпринятые действия</t>
  </si>
  <si>
    <t>Дата</t>
  </si>
  <si>
    <t>Предыдущий отчетный период</t>
  </si>
  <si>
    <t>Set-up = List of validation for Grant Detail page</t>
  </si>
  <si>
    <t>Component</t>
  </si>
  <si>
    <t>Currency</t>
  </si>
  <si>
    <t>Round</t>
  </si>
  <si>
    <t>Phase</t>
  </si>
  <si>
    <t>Period</t>
  </si>
  <si>
    <t>LFA</t>
  </si>
  <si>
    <t>Medicaments</t>
  </si>
  <si>
    <t>Countries</t>
  </si>
  <si>
    <t>Пожалуйста выберите</t>
  </si>
  <si>
    <t>Раунд 1</t>
  </si>
  <si>
    <t>Фаза 1</t>
  </si>
  <si>
    <t>A1</t>
  </si>
  <si>
    <t>CA (Crown Agents)</t>
  </si>
  <si>
    <t>Изониазид</t>
  </si>
  <si>
    <t>Афганистан</t>
  </si>
  <si>
    <t>МАЛЯРИЯ</t>
  </si>
  <si>
    <t>€</t>
  </si>
  <si>
    <t>Раунд 2</t>
  </si>
  <si>
    <t>Фаза 2</t>
  </si>
  <si>
    <t>DEL (Deloitte)</t>
  </si>
  <si>
    <t>Этамбутол</t>
  </si>
  <si>
    <t>Албания</t>
  </si>
  <si>
    <t>Раунд 3</t>
  </si>
  <si>
    <t>RCC</t>
  </si>
  <si>
    <t>B1</t>
  </si>
  <si>
    <t>DTT (DTT Emerging Markets)</t>
  </si>
  <si>
    <t>Рифампицин</t>
  </si>
  <si>
    <t>Алжир</t>
  </si>
  <si>
    <t>Раунд 4</t>
  </si>
  <si>
    <t>B2</t>
  </si>
  <si>
    <t>FIN (Finconsult)</t>
  </si>
  <si>
    <t>Пиразинамид</t>
  </si>
  <si>
    <t>Ангола</t>
  </si>
  <si>
    <t>УСЗ</t>
  </si>
  <si>
    <t>Раунд 5</t>
  </si>
  <si>
    <t>C</t>
  </si>
  <si>
    <t>GT (Grant Thornton)</t>
  </si>
  <si>
    <t>RDT</t>
  </si>
  <si>
    <t>Аргентина</t>
  </si>
  <si>
    <t>Раунд 6</t>
  </si>
  <si>
    <t>H-C (Hodar-Conseil)</t>
  </si>
  <si>
    <t>NVP</t>
  </si>
  <si>
    <t>Армения</t>
  </si>
  <si>
    <t>Раунд 7</t>
  </si>
  <si>
    <t>KPMG (KPMG)</t>
  </si>
  <si>
    <t>3TC</t>
  </si>
  <si>
    <t>Азербайджан</t>
  </si>
  <si>
    <t>Раунд 8</t>
  </si>
  <si>
    <t>MSCI (MSCI)</t>
  </si>
  <si>
    <t>D4T</t>
  </si>
  <si>
    <t>Бангладеш</t>
  </si>
  <si>
    <t>Раунд 9</t>
  </si>
  <si>
    <t>PwC (PricewaterhouseCoopers)</t>
  </si>
  <si>
    <t>AZT</t>
  </si>
  <si>
    <t>Беларусь</t>
  </si>
  <si>
    <t>Раунд 10</t>
  </si>
  <si>
    <t xml:space="preserve">STI (Swiss Tropical Institute), </t>
  </si>
  <si>
    <t>DDI</t>
  </si>
  <si>
    <t>Белиз</t>
  </si>
  <si>
    <t>EFV</t>
  </si>
  <si>
    <t>Бенин</t>
  </si>
  <si>
    <t>AS/LF</t>
  </si>
  <si>
    <t>Бутан</t>
  </si>
  <si>
    <t>AS/AQ</t>
  </si>
  <si>
    <t>Боливия</t>
  </si>
  <si>
    <t>AS/MQ</t>
  </si>
  <si>
    <t>Босния и Герцеговина</t>
  </si>
  <si>
    <t>Al/Lum</t>
  </si>
  <si>
    <t>Ботсвана</t>
  </si>
  <si>
    <t>Бразилия</t>
  </si>
  <si>
    <t>Пищевые добавки для ТБ</t>
  </si>
  <si>
    <t>Болгария</t>
  </si>
  <si>
    <t>E-PAP</t>
  </si>
  <si>
    <t>Буркина Фасо</t>
  </si>
  <si>
    <t>ZDV/3TC/NVP</t>
  </si>
  <si>
    <t>Бурунди</t>
  </si>
  <si>
    <t>ZDV/3TC</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</si>
  <si>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</si>
  <si>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</si>
  <si>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</si>
  <si>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</si>
  <si>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</si>
  <si>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</si>
  <si>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</si>
  <si>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</si>
  <si>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</si>
  <si>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</si>
  <si>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</si>
  <si>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</si>
  <si>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</si>
  <si>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</si>
  <si>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</si>
  <si>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</si>
  <si>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</si>
  <si>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</si>
  <si>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</si>
  <si>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</si>
  <si>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</si>
  <si>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</si>
  <si>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</si>
  <si>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</si>
  <si>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</si>
  <si>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</si>
  <si>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</si>
  <si>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</si>
  <si>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</si>
  <si>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Глобальный (LWF)</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</si>
  <si>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</si>
  <si>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</si>
  <si>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</si>
  <si>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</si>
  <si>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</si>
  <si>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</si>
  <si>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</si>
  <si>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</si>
  <si>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</si>
  <si>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</si>
  <si>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</si>
  <si>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</si>
  <si>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</si>
  <si>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</si>
  <si>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</si>
  <si>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</si>
  <si>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</si>
  <si>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</si>
  <si>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</si>
  <si>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</si>
  <si>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</si>
  <si>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</si>
  <si>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</si>
  <si>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</si>
  <si>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</si>
  <si>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</si>
  <si>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</si>
  <si>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</si>
  <si>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</si>
  <si>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</si>
  <si>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</si>
  <si>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</si>
  <si>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</si>
  <si>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</si>
  <si>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</si>
  <si>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</si>
  <si>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</si>
  <si>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</si>
  <si>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</si>
  <si>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</si>
  <si>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</si>
  <si>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</si>
  <si>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</si>
  <si>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</si>
  <si>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</si>
  <si>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</si>
  <si>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</si>
  <si>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</si>
  <si>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</si>
  <si>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</si>
  <si>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</si>
  <si>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</si>
  <si>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</si>
  <si>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</si>
  <si>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</si>
  <si>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</si>
  <si>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</si>
  <si>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</si>
  <si>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</si>
  <si>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</si>
  <si>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</si>
  <si>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</si>
  <si>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</si>
  <si>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</si>
  <si>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</si>
  <si>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</si>
  <si>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</si>
  <si>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</si>
  <si>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</si>
  <si>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</si>
  <si>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</si>
  <si>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</si>
  <si>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</si>
  <si>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</si>
  <si>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</si>
  <si>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</si>
  <si>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</si>
  <si>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</si>
  <si>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</si>
  <si>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</si>
  <si>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</si>
  <si>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</si>
  <si>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</si>
  <si>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АРВ</t>
  </si>
  <si>
    <t>Анти-ретровирусные препараты</t>
  </si>
  <si>
    <t>ВИЧ</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</si>
  <si>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</si>
  <si>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</si>
  <si>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</si>
  <si>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</si>
  <si>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</si>
  <si>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</si>
  <si>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</si>
  <si>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</si>
  <si>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</si>
  <si>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</si>
  <si>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</si>
  <si>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</si>
  <si>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</si>
  <si>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</si>
  <si>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Принципиальный Реципиент</t>
  </si>
  <si>
    <t>ПУ</t>
  </si>
  <si>
    <t>Предварительное условие</t>
  </si>
  <si>
    <t>СКМ</t>
  </si>
  <si>
    <t>Страновой Координационный Механизм</t>
  </si>
  <si>
    <t>СР</t>
  </si>
  <si>
    <t>Суб-реципиент</t>
  </si>
  <si>
    <t>ССР</t>
  </si>
  <si>
    <t>Суб-суб-реципиент</t>
  </si>
  <si>
    <t>УЗС</t>
  </si>
  <si>
    <t>Управление Закупками и Снабжением</t>
  </si>
  <si>
    <t>УФО</t>
  </si>
  <si>
    <t>Улучшенный Финансовый Отчет</t>
  </si>
  <si>
    <t>Улучшение выявления и диагностики ТБ и качественное лечение ТБ случаев</t>
  </si>
  <si>
    <t>Расширение доступа к диагностике и лечению лекарственно-устойчивого туберкулеза</t>
  </si>
  <si>
    <t>Управление проектом</t>
  </si>
  <si>
    <t>To consolidate DOTS framework through strengthening programme management, improving TB case detection and diagnosis and quality treatment of TB cases</t>
  </si>
  <si>
    <t xml:space="preserve"> To expand access to diagnosis and treatment of drug-resistant tuberculosis</t>
  </si>
  <si>
    <t>Program management</t>
  </si>
  <si>
    <t>1 Budget</t>
  </si>
  <si>
    <t>1 Expenditures</t>
  </si>
  <si>
    <t>Budget</t>
  </si>
  <si>
    <t>Expenditures</t>
  </si>
  <si>
    <t>PR</t>
  </si>
  <si>
    <t>SR</t>
  </si>
  <si>
    <t>Общий итог</t>
  </si>
  <si>
    <t>Cummulative/EFR</t>
  </si>
  <si>
    <t>Last/DB</t>
  </si>
  <si>
    <t>PUDR</t>
  </si>
  <si>
    <t>По компоненту ВИЧ -  30 из 32 ожидаемых программных отчетов СП были получены своевременно, отчеты от 2 организаций - СП были получены позже установленного срока (15 число следующего за отчетным периодом месяца). Все 32 отчета были проверены, доработаны СП и приняты в установленные сроки.
По компоненту  по ТБ: Все 12 СП представили программные отчеты согласно установленным срокам,были проверены, доработаны СП и приняты в установленные сроки. </t>
  </si>
  <si>
    <t>По компоненту ВИЧ -  реализацию программы осуществляли до октября 2018 г. всего 26 Суб-получателей в рамках 28 СП-Соглашений, в период ноябрь-декабрь 2018 г. - 28 СП в рамках 32 контрактов (начиная с ноября 2018 г. были отобраны 2 организации, имплементирующие активности каталитического финнасирования и 2 дополнительных Национальных Сети - ЛЖВ, МСМ). По всем Соглашениям СП получали финансирование. 
По компоненту ТБ: По грантовому соглашению в рамках ТБ компонента планировалось три СП: НЦФ, под управлением которого должны были  работать все ОЦБТ и ГСИН, 1 НПО по предоставлению лечения на дому и 1 Национальная Сеть по ТБ. По запросу НЦФ,  было принято решение заключить прямые соглашения со всеми областными центрами по борьбе с туберкулезом, таким образом вместо 1 СР фактически вовлечены 9 центров по борьбе с ТБ. Вместо 2 НПО,  во втором полугодии 2018 года в реализацию гранта былои вовлечены 3 неправительственные организации. На основе ТЗ, представленного НЦФ, для осуществления мониторинга транспортировки мокроты методом тендера была нанята НПО, вместо изначально запланированного найма трех специалистов. По всем Соглашениям СП получали финансирование.</t>
  </si>
  <si>
    <t xml:space="preserve">В отчетном периоде ГФ произвел выплату в полном объеме бюджета периода и сверх бюджета на 20% в виду предварительного запроса от ОР на проведение закупок из бюджета будущего периода в текущем.
Расходы ОП составили 5 559 757$, включая сумму финансовых обязательств, в основном, по закупкам товаров медицинского назначения и медицинского оборудования, лекарственных средств и фармацевтических препаратов  на 31 декабря 2018 в  3 328 247$. Итого за весь период гранта было освоено 85% выделлных средств на ОП. В текущем периоде ПРООН произвел выплаты 39 СП  в срок на общую сумму в 1 045 893$ по запросу от СП в рамках подписанных Соглашений и бюджетов. </t>
  </si>
  <si>
    <t>General (both components)</t>
  </si>
  <si>
    <t xml:space="preserve">Запас ПТП 2-го ряда составляет в среднем от 6-20 месяцев, за исключением некоторых препаратов. Ситуация большого запаса и наоборот меньше 6 месяцев, связано с переходным периодом на новые режимы, согласно новым рекомендациям ВОЗ. Согласно, плану перехода использование Амикацина постепенно будет увеличиваться, после того как капреомицин и канамицин уйдет из схем лечения, а также ежемесячный расход деламанида уже с января 2019 года будет увеличиваться, так как закуплен для 84 пациента, с ежемесячным набором по 7 больных в месяц, в то время как в 2018 году был закуплен для 36 больных с ежемесячным набором по 3 пациента. В среднем расчетная потребность 2019 года на ожидаемые случаи по Quan TB составляет 4000-4500 таблеток в месяц, следовательно, существующий остаток имеется в запасе 13 месяцев.
Препараты, запас у которых меньше 6-ти месяцев (Амоксиклав, Имипенем/Циластатин, Этамбутол, ПАСК), объясняется тем, что в последних расчетах для закупок, препараты не вышли к заказу, так как уже осуществлялись согласно рекомендациям ВОЗ(группа С), а также фактическому проценту использования в индивидуальных режимах, следовательно будет постепенное уменьшение ежемесячного расхода. Однако, на сегодняшний день резко увеличился расход клофаземина. Одной из причин увеличения потребности Cfz стало, набор на эмпирические схемы, в состав которого входит клофазимин. Эмпирические схемы появились, для того, чтобы отойти от стандартных режимов, так как по плану перехода, набор должен был остановиться в марте 2018 года. На эмпирические режимы набираются все подтвержденные TB до получения результатов ТЛЧ.  В связи с этим был произведён расчет на закуп и отправлен запрос на поставку в срочном порядке.  Относительно тестов и картриджей, в 2019 году ожидается вторая поставка Деломанид и Циклосерин.
</t>
  </si>
  <si>
    <t>По ВИЧ\ТБ  гранту всего 22  штатных позиции, из них 4 - по компоненту ВИЧ,  2 - по компоненту ТБ.,  оставшиеся  16   относятся к обоим компонентам.  Все 22 штатных позиции заполнены.</t>
  </si>
  <si>
    <t xml:space="preserve">По обоим компонентам предварительных условий (ПУ) нет согласно письму от ГФ по результатам работы за 1-е полугодие 2018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</si>
</sst>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_(* \(#,##0.00\);_(* &quot;-&quot;??_);_(@_)"/>
    <numFmt numFmtId="164" formatCode="_-* #,##0.00\ _₽_-;\-* #,##0.00\ _₽_-;_-* &quot;-&quot;??\ _₽_-;_-@_-"/>
    <numFmt numFmtId="165" formatCode="_-* #,##0.00_р_._-;\-* #,##0.00_р_._-;_-* &quot;-&quot;??_р_.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_-;\-* #,##0.00_-;_-* &quot;-&quot;??_-;_-@_-"/>
    <numFmt numFmtId="177" formatCode="#,##0.0"/>
    <numFmt numFmtId="178" formatCode="_-&quot;$&quot;* #,##0_-;\-&quot;$&quot;* #,##0_-;_-&quot;$&quot;* &quot;-&quot;_-;_-@_-"/>
    <numFmt numFmtId="179" formatCode="_ [$€-413]\ * #,##0.00_ ;_ [$€-413]\ * \-#,##0.00_ ;_ [$€-413]\ * &quot;-&quot;_ ;_ @_ "/>
    <numFmt numFmtId="180" formatCode="_-* #,##0.00\ &quot;€&quot;_-;\-* #,##0.00\ &quot;€&quot;_-;_-* &quot;-&quot;??\ &quot;€&quot;_-;_-@_-"/>
    <numFmt numFmtId="181" formatCode="_-[$€-2]\ * #,##0.00_-;\-[$€-2]\ * #,##0.00_-;_-[$€-2]\ * &quot;-&quot;??_-;_-@_-"/>
  </numFmts>
  <fonts count="179">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4"/>
      <color indexed="52"/>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i/>
      <sz val="11"/>
      <color indexed="8"/>
      <name val="Calibri"/>
      <family val="2"/>
    </font>
    <font>
      <b/>
      <sz val="11"/>
      <color indexed="60"/>
      <name val="Calibri"/>
      <family val="2"/>
    </font>
    <font>
      <sz val="10"/>
      <color indexed="60"/>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8"/>
      <name val="Arial"/>
      <family val="2"/>
    </font>
    <font>
      <b/>
      <sz val="8"/>
      <color indexed="81"/>
      <name val="Tahoma"/>
      <family val="2"/>
    </font>
    <font>
      <sz val="8"/>
      <color indexed="81"/>
      <name val="Tahoma"/>
      <family val="2"/>
    </font>
    <font>
      <b/>
      <sz val="20"/>
      <color indexed="8"/>
      <name val="Calibri"/>
      <family val="2"/>
    </font>
    <font>
      <sz val="20"/>
      <color indexed="8"/>
      <name val="Calibri"/>
      <family val="2"/>
    </font>
    <font>
      <b/>
      <sz val="11"/>
      <color indexed="53"/>
      <name val="Arial"/>
      <family val="2"/>
    </font>
    <font>
      <sz val="9"/>
      <color indexed="8"/>
      <name val="Calibri"/>
      <family val="2"/>
    </font>
    <font>
      <sz val="11"/>
      <color indexed="8"/>
      <name val="Symbol"/>
      <family val="1"/>
      <charset val="2"/>
    </font>
    <font>
      <b/>
      <sz val="11"/>
      <color indexed="8"/>
      <name val="Arial"/>
      <family val="2"/>
      <charset val="204"/>
    </font>
    <font>
      <b/>
      <sz val="22"/>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b/>
      <sz val="9"/>
      <color indexed="81"/>
      <name val="Tahoma"/>
      <family val="2"/>
      <charset val="204"/>
    </font>
    <font>
      <sz val="9"/>
      <color indexed="81"/>
      <name val="Tahoma"/>
      <family val="2"/>
      <charset val="204"/>
    </font>
    <font>
      <sz val="11"/>
      <color theme="1"/>
      <name val="Calibri"/>
      <family val="2"/>
    </font>
    <font>
      <sz val="10"/>
      <color indexed="16"/>
      <name val="Calibri"/>
      <family val="2"/>
    </font>
    <font>
      <b/>
      <sz val="8"/>
      <color indexed="8"/>
      <name val="Calibri"/>
      <family val="2"/>
      <charset val="204"/>
    </font>
    <font>
      <sz val="11"/>
      <color indexed="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4"/>
      <color rgb="FFFF0000"/>
      <name val="Calibri"/>
      <family val="2"/>
    </font>
    <font>
      <b/>
      <sz val="11"/>
      <color indexed="8"/>
      <name val="Calibri"/>
      <family val="2"/>
      <charset val="204"/>
    </font>
    <font>
      <sz val="10"/>
      <name val="Arial Cyr"/>
      <charset val="204"/>
    </font>
    <font>
      <sz val="10"/>
      <name val="Arial"/>
      <family val="2"/>
      <charset val="238"/>
    </font>
    <font>
      <sz val="8"/>
      <name val="Arial"/>
      <family val="2"/>
      <charset val="238"/>
    </font>
    <font>
      <sz val="8"/>
      <color indexed="12"/>
      <name val="Arial"/>
      <family val="2"/>
      <charset val="238"/>
    </font>
    <font>
      <b/>
      <i/>
      <sz val="8"/>
      <name val="Arial"/>
      <family val="2"/>
      <charset val="238"/>
    </font>
    <font>
      <u/>
      <sz val="10"/>
      <color indexed="12"/>
      <name val="Arial"/>
      <family val="2"/>
    </font>
    <font>
      <sz val="8"/>
      <name val="Verdana"/>
      <family val="2"/>
      <charset val="238"/>
    </font>
    <font>
      <sz val="11"/>
      <color theme="1"/>
      <name val="Calibri"/>
      <family val="2"/>
      <charset val="238"/>
      <scheme val="minor"/>
    </font>
    <font>
      <b/>
      <sz val="10"/>
      <name val="Arial"/>
      <family val="2"/>
      <charset val="204"/>
    </font>
    <font>
      <u/>
      <sz val="10"/>
      <color indexed="12"/>
      <name val="Arial Cyr"/>
      <charset val="204"/>
    </font>
    <font>
      <sz val="12"/>
      <name val="Times New Roman"/>
      <family val="1"/>
    </font>
    <font>
      <b/>
      <sz val="12"/>
      <name val="Arial"/>
      <family val="2"/>
      <charset val="204"/>
    </font>
    <font>
      <sz val="8"/>
      <color indexed="8"/>
      <name val="Arial"/>
      <family val="2"/>
    </font>
    <font>
      <u/>
      <sz val="7.5"/>
      <color indexed="12"/>
      <name val="Arial Cyr"/>
    </font>
    <font>
      <u/>
      <sz val="7.5"/>
      <color indexed="36"/>
      <name val="Arial Cyr"/>
    </font>
    <font>
      <sz val="11"/>
      <color indexed="9"/>
      <name val="Calibri"/>
      <family val="2"/>
      <charset val="204"/>
    </font>
    <font>
      <i/>
      <sz val="8"/>
      <color indexed="55"/>
      <name val="Arial"/>
      <family val="2"/>
    </font>
    <font>
      <u/>
      <sz val="10"/>
      <color indexed="36"/>
      <name val="Arial Cyr"/>
    </font>
    <font>
      <sz val="11"/>
      <color theme="1"/>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3"/>
      <color theme="1" tint="0.24994659260841701"/>
      <name val="Cambria"/>
      <family val="2"/>
      <scheme val="major"/>
    </font>
    <font>
      <sz val="12"/>
      <name val="Georgia"/>
      <family val="1"/>
    </font>
    <font>
      <sz val="10"/>
      <color indexed="8"/>
      <name val="Calibri"/>
      <family val="2"/>
      <charset val="204"/>
    </font>
    <font>
      <sz val="11"/>
      <color rgb="FFFF0000"/>
      <name val="Calibri"/>
      <family val="2"/>
    </font>
    <font>
      <sz val="8"/>
      <color rgb="FF000000"/>
      <name val="Calibri"/>
      <family val="2"/>
    </font>
    <font>
      <sz val="10"/>
      <color rgb="FFFF0000"/>
      <name val="Calibri"/>
      <family val="2"/>
    </font>
  </fonts>
  <fills count="5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rgb="FF00B050"/>
        <bgColor indexed="64"/>
      </patternFill>
    </fill>
    <fill>
      <patternFill patternType="solid">
        <fgColor indexed="43"/>
        <bgColor indexed="51"/>
      </patternFill>
    </fill>
    <fill>
      <patternFill patternType="solid">
        <fgColor theme="9" tint="-0.249977111117893"/>
        <bgColor indexed="64"/>
      </patternFill>
    </fill>
    <fill>
      <patternFill patternType="solid">
        <fgColor indexed="3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24"/>
      </patternFill>
    </fill>
    <fill>
      <patternFill patternType="solid">
        <fgColor indexed="62"/>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FF"/>
        <bgColor indexed="64"/>
      </patternFill>
    </fill>
  </fills>
  <borders count="2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medium">
        <color indexed="51"/>
      </left>
      <right style="hair">
        <color indexed="64"/>
      </right>
      <top style="hair">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0"/>
      </right>
      <top style="dotted">
        <color indexed="64"/>
      </top>
      <bottom style="dotted">
        <color indexed="64"/>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right style="medium">
        <color indexed="60"/>
      </right>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style="medium">
        <color indexed="60"/>
      </right>
      <top/>
      <bottom style="medium">
        <color indexed="60"/>
      </bottom>
      <diagonal/>
    </border>
    <border>
      <left style="dotted">
        <color indexed="64"/>
      </left>
      <right/>
      <top style="medium">
        <color indexed="60"/>
      </top>
      <bottom style="dotted">
        <color indexed="64"/>
      </bottom>
      <diagonal/>
    </border>
    <border>
      <left/>
      <right/>
      <top style="medium">
        <color indexed="60"/>
      </top>
      <bottom style="dotted">
        <color indexed="64"/>
      </bottom>
      <diagonal/>
    </border>
    <border>
      <left/>
      <right style="medium">
        <color indexed="60"/>
      </right>
      <top style="medium">
        <color indexed="60"/>
      </top>
      <bottom style="dotted">
        <color indexed="64"/>
      </bottom>
      <diagonal/>
    </border>
    <border>
      <left style="medium">
        <color indexed="60"/>
      </left>
      <right/>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top style="medium">
        <color indexed="18"/>
      </top>
      <bottom style="medium">
        <color indexed="62"/>
      </bottom>
      <diagonal/>
    </border>
    <border>
      <left/>
      <right/>
      <top style="medium">
        <color indexed="18"/>
      </top>
      <bottom style="medium">
        <color indexed="62"/>
      </bottom>
      <diagonal/>
    </border>
    <border>
      <left/>
      <right style="medium">
        <color indexed="18"/>
      </right>
      <top style="medium">
        <color indexed="18"/>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dotted">
        <color indexed="64"/>
      </left>
      <right/>
      <top style="medium">
        <color indexed="62"/>
      </top>
      <bottom/>
      <diagonal/>
    </border>
    <border>
      <left/>
      <right/>
      <top style="medium">
        <color indexed="62"/>
      </top>
      <bottom/>
      <diagonal/>
    </border>
    <border>
      <left/>
      <right style="medium">
        <color indexed="18"/>
      </right>
      <top style="medium">
        <color indexed="62"/>
      </top>
      <bottom/>
      <diagonal/>
    </border>
    <border>
      <left/>
      <right style="medium">
        <color indexed="18"/>
      </right>
      <top style="dotted">
        <color indexed="64"/>
      </top>
      <bottom style="dotted">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style="medium">
        <color indexed="52"/>
      </right>
      <top/>
      <bottom style="medium">
        <color indexed="52"/>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dotted">
        <color indexed="64"/>
      </left>
      <right/>
      <top style="dotted">
        <color indexed="64"/>
      </top>
      <bottom style="medium">
        <color indexed="18"/>
      </bottom>
      <diagonal/>
    </border>
    <border>
      <left/>
      <right/>
      <top style="dotted">
        <color indexed="64"/>
      </top>
      <bottom style="medium">
        <color indexed="18"/>
      </bottom>
      <diagonal/>
    </border>
    <border>
      <left/>
      <right style="medium">
        <color indexed="18"/>
      </right>
      <top style="dotted">
        <color indexed="64"/>
      </top>
      <bottom style="medium">
        <color indexed="18"/>
      </bottom>
      <diagonal/>
    </border>
    <border>
      <left style="hair">
        <color indexed="64"/>
      </left>
      <right/>
      <top style="hair">
        <color indexed="64"/>
      </top>
      <bottom style="medium">
        <color indexed="51"/>
      </bottom>
      <diagonal/>
    </border>
    <border>
      <left/>
      <right/>
      <top style="hair">
        <color indexed="64"/>
      </top>
      <bottom style="medium">
        <color indexed="51"/>
      </bottom>
      <diagonal/>
    </border>
    <border>
      <left/>
      <right style="medium">
        <color indexed="51"/>
      </right>
      <top style="hair">
        <color indexed="64"/>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hair">
        <color indexed="64"/>
      </right>
      <top style="medium">
        <color indexed="57"/>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57"/>
      </left>
      <right style="hair">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57"/>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hair">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57"/>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style="medium">
        <color indexed="57"/>
      </top>
      <bottom/>
      <diagonal/>
    </border>
    <border>
      <left style="hair">
        <color indexed="57"/>
      </left>
      <right/>
      <top style="medium">
        <color indexed="57"/>
      </top>
      <bottom style="medium">
        <color indexed="57"/>
      </bottom>
      <diagonal/>
    </border>
    <border>
      <left style="hair">
        <color indexed="64"/>
      </left>
      <right/>
      <top/>
      <bottom style="medium">
        <color indexed="64"/>
      </bottom>
      <diagonal/>
    </border>
    <border>
      <left/>
      <right style="medium">
        <color indexed="64"/>
      </right>
      <top/>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bottom style="thin">
        <color indexed="64"/>
      </bottom>
      <diagonal/>
    </border>
    <border>
      <left/>
      <right style="medium">
        <color indexed="51"/>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style="medium">
        <color indexed="51"/>
      </bottom>
      <diagonal/>
    </border>
    <border>
      <left/>
      <right style="medium">
        <color indexed="51"/>
      </right>
      <top/>
      <bottom style="medium">
        <color indexed="51"/>
      </bottom>
      <diagonal/>
    </border>
    <border>
      <left style="thin">
        <color indexed="16"/>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diagonal/>
    </border>
    <border>
      <left/>
      <right/>
      <top/>
      <bottom style="thick">
        <color indexed="62"/>
      </bottom>
      <diagonal/>
    </border>
    <border>
      <left/>
      <right/>
      <top style="thin">
        <color indexed="62"/>
      </top>
      <bottom style="double">
        <color indexed="62"/>
      </bottom>
      <diagonal/>
    </border>
    <border>
      <left style="hair">
        <color theme="8"/>
      </left>
      <right style="hair">
        <color theme="8"/>
      </right>
      <top style="hair">
        <color theme="8"/>
      </top>
      <bottom style="hair">
        <color theme="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17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2" fillId="0" borderId="4" applyNumberFormat="0" applyFill="0" applyAlignment="0" applyProtection="0"/>
    <xf numFmtId="0" fontId="73"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17" fillId="0" borderId="0"/>
    <xf numFmtId="43" fontId="117" fillId="0" borderId="0"/>
    <xf numFmtId="43" fontId="117" fillId="0" borderId="0"/>
    <xf numFmtId="43" fontId="117" fillId="0" borderId="0"/>
    <xf numFmtId="0" fontId="66" fillId="0" borderId="0"/>
    <xf numFmtId="0" fontId="2" fillId="4" borderId="7" applyNumberFormat="0" applyFont="0" applyAlignment="0" applyProtection="0"/>
    <xf numFmtId="0" fontId="8" fillId="2" borderId="8" applyNumberFormat="0" applyAlignment="0" applyProtection="0"/>
    <xf numFmtId="0" fontId="41" fillId="0" borderId="0" applyNumberFormat="0" applyFill="0" applyBorder="0" applyAlignment="0" applyProtection="0"/>
    <xf numFmtId="43" fontId="117"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17" fillId="0" borderId="9" applyNumberFormat="0" applyFill="0" applyAlignment="0" applyProtection="0"/>
    <xf numFmtId="0" fontId="74"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17" fillId="0" borderId="0"/>
    <xf numFmtId="0" fontId="139" fillId="0" borderId="0"/>
    <xf numFmtId="0" fontId="140" fillId="0" borderId="0"/>
    <xf numFmtId="9" fontId="2" fillId="0" borderId="0" applyFont="0" applyFill="0" applyBorder="0" applyAlignment="0" applyProtection="0"/>
    <xf numFmtId="9" fontId="140" fillId="0" borderId="0" applyFont="0" applyFill="0" applyBorder="0" applyAlignment="0" applyProtection="0"/>
    <xf numFmtId="176" fontId="140" fillId="0" borderId="0" applyFont="0" applyFill="0" applyBorder="0" applyAlignment="0" applyProtection="0"/>
    <xf numFmtId="3" fontId="141" fillId="44" borderId="0">
      <alignment horizontal="center"/>
    </xf>
    <xf numFmtId="9" fontId="141" fillId="44" borderId="0">
      <alignment horizontal="center"/>
    </xf>
    <xf numFmtId="3" fontId="142" fillId="0" borderId="0">
      <alignment horizontal="center" vertical="center"/>
      <protection locked="0"/>
    </xf>
    <xf numFmtId="175" fontId="142" fillId="0" borderId="0">
      <alignment horizontal="center" vertical="center"/>
      <protection locked="0"/>
    </xf>
    <xf numFmtId="49" fontId="143" fillId="0" borderId="0">
      <alignment horizontal="left"/>
    </xf>
    <xf numFmtId="0" fontId="144" fillId="0" borderId="0" applyNumberFormat="0" applyFill="0" applyBorder="0" applyAlignment="0" applyProtection="0"/>
    <xf numFmtId="0" fontId="2" fillId="0" borderId="0"/>
    <xf numFmtId="0" fontId="145" fillId="0" borderId="0"/>
    <xf numFmtId="0" fontId="140" fillId="0" borderId="0"/>
    <xf numFmtId="0" fontId="140" fillId="0" borderId="0"/>
    <xf numFmtId="0" fontId="140" fillId="0" borderId="0"/>
    <xf numFmtId="0" fontId="134" fillId="0" borderId="0"/>
    <xf numFmtId="0" fontId="134" fillId="0" borderId="0"/>
    <xf numFmtId="165" fontId="146" fillId="0" borderId="0" applyFont="0" applyFill="0" applyBorder="0" applyAlignment="0" applyProtection="0"/>
    <xf numFmtId="9" fontId="146" fillId="0" borderId="0" applyFont="0" applyFill="0" applyBorder="0" applyAlignment="0" applyProtection="0"/>
    <xf numFmtId="0" fontId="149" fillId="0" borderId="0"/>
    <xf numFmtId="164" fontId="149" fillId="0" borderId="0" applyFont="0" applyFill="0" applyBorder="0" applyAlignment="0" applyProtection="0"/>
    <xf numFmtId="176" fontId="146" fillId="0" borderId="0" applyFont="0" applyFill="0" applyBorder="0" applyAlignment="0" applyProtection="0"/>
    <xf numFmtId="164" fontId="140" fillId="0" borderId="0" applyFont="0" applyFill="0" applyBorder="0" applyAlignment="0" applyProtection="0"/>
    <xf numFmtId="9" fontId="146" fillId="0" borderId="0" applyFont="0" applyFill="0" applyBorder="0" applyAlignment="0" applyProtection="0"/>
    <xf numFmtId="178" fontId="141" fillId="0" borderId="260">
      <alignment horizontal="center" vertical="center"/>
    </xf>
    <xf numFmtId="179" fontId="151" fillId="0" borderId="0">
      <protection locked="0"/>
    </xf>
    <xf numFmtId="179" fontId="107" fillId="0" borderId="0">
      <alignment horizontal="center" vertical="center"/>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179" fontId="129" fillId="45" borderId="0" applyNumberFormat="0" applyBorder="0" applyAlignment="0" applyProtection="0"/>
    <xf numFmtId="179" fontId="129" fillId="6" borderId="0" applyNumberFormat="0" applyBorder="0" applyAlignment="0" applyProtection="0"/>
    <xf numFmtId="179" fontId="129" fillId="7" borderId="0" applyNumberFormat="0" applyBorder="0" applyAlignment="0" applyProtection="0"/>
    <xf numFmtId="179" fontId="129" fillId="46" borderId="0" applyNumberFormat="0" applyBorder="0" applyAlignment="0" applyProtection="0"/>
    <xf numFmtId="179" fontId="129" fillId="5" borderId="0" applyNumberFormat="0" applyBorder="0" applyAlignment="0" applyProtection="0"/>
    <xf numFmtId="179" fontId="129" fillId="3" borderId="0" applyNumberFormat="0" applyBorder="0" applyAlignment="0" applyProtection="0"/>
    <xf numFmtId="179" fontId="129" fillId="11" borderId="0" applyNumberFormat="0" applyBorder="0" applyAlignment="0" applyProtection="0"/>
    <xf numFmtId="179" fontId="129" fillId="9" borderId="0" applyNumberFormat="0" applyBorder="0" applyAlignment="0" applyProtection="0"/>
    <xf numFmtId="179" fontId="129" fillId="47" borderId="0" applyNumberFormat="0" applyBorder="0" applyAlignment="0" applyProtection="0"/>
    <xf numFmtId="179" fontId="129" fillId="46" borderId="0" applyNumberFormat="0" applyBorder="0" applyAlignment="0" applyProtection="0"/>
    <xf numFmtId="179" fontId="129" fillId="11" borderId="0" applyNumberFormat="0" applyBorder="0" applyAlignment="0" applyProtection="0"/>
    <xf numFmtId="179" fontId="129" fillId="48" borderId="0" applyNumberFormat="0" applyBorder="0" applyAlignment="0" applyProtection="0"/>
    <xf numFmtId="179" fontId="154" fillId="49" borderId="0" applyNumberFormat="0" applyBorder="0" applyAlignment="0" applyProtection="0"/>
    <xf numFmtId="179" fontId="154" fillId="9" borderId="0" applyNumberFormat="0" applyBorder="0" applyAlignment="0" applyProtection="0"/>
    <xf numFmtId="179" fontId="154" fillId="47" borderId="0" applyNumberFormat="0" applyBorder="0" applyAlignment="0" applyProtection="0"/>
    <xf numFmtId="179" fontId="154" fillId="50" borderId="0" applyNumberFormat="0" applyBorder="0" applyAlignment="0" applyProtection="0"/>
    <xf numFmtId="179" fontId="154" fillId="12" borderId="0" applyNumberFormat="0" applyBorder="0" applyAlignment="0" applyProtection="0"/>
    <xf numFmtId="179" fontId="154" fillId="51" borderId="0" applyNumberFormat="0" applyBorder="0" applyAlignment="0" applyProtection="0"/>
    <xf numFmtId="0" fontId="148" fillId="0" borderId="0" applyNumberFormat="0" applyFill="0" applyBorder="0" applyAlignment="0" applyProtection="0">
      <alignment vertical="top"/>
      <protection locked="0"/>
    </xf>
    <xf numFmtId="176" fontId="140" fillId="0" borderId="0" applyFont="0" applyFill="0" applyBorder="0" applyAlignment="0" applyProtection="0"/>
    <xf numFmtId="164" fontId="129" fillId="0" borderId="0" applyFont="0" applyFill="0" applyBorder="0" applyAlignment="0" applyProtection="0"/>
    <xf numFmtId="180" fontId="140" fillId="0" borderId="0" applyFont="0" applyFill="0" applyBorder="0" applyAlignment="0" applyProtection="0"/>
    <xf numFmtId="179" fontId="144" fillId="0" borderId="0" applyNumberFormat="0" applyFill="0" applyBorder="0" applyAlignment="0" applyProtection="0">
      <alignment vertical="top"/>
      <protection locked="0"/>
    </xf>
    <xf numFmtId="0" fontId="155" fillId="0" borderId="0"/>
    <xf numFmtId="0" fontId="156" fillId="0" borderId="0" applyNumberFormat="0" applyFill="0" applyBorder="0" applyAlignment="0" applyProtection="0">
      <alignment vertical="top"/>
      <protection locked="0"/>
    </xf>
    <xf numFmtId="0" fontId="140" fillId="7" borderId="10" applyBorder="0">
      <alignment vertical="top"/>
    </xf>
    <xf numFmtId="179" fontId="141" fillId="0" borderId="0"/>
    <xf numFmtId="0" fontId="146" fillId="0" borderId="0"/>
    <xf numFmtId="0" fontId="140" fillId="0" borderId="0"/>
    <xf numFmtId="0" fontId="146" fillId="0" borderId="0"/>
    <xf numFmtId="179" fontId="140" fillId="0" borderId="0"/>
    <xf numFmtId="0" fontId="146" fillId="0" borderId="0"/>
    <xf numFmtId="9" fontId="146" fillId="0" borderId="0" applyFont="0" applyFill="0" applyBorder="0" applyAlignment="0" applyProtection="0"/>
    <xf numFmtId="9" fontId="146" fillId="0" borderId="0" applyFont="0" applyFill="0" applyBorder="0" applyAlignment="0" applyProtection="0"/>
    <xf numFmtId="9" fontId="146" fillId="0" borderId="0" applyFont="0" applyFill="0" applyBorder="0" applyAlignment="0" applyProtection="0"/>
    <xf numFmtId="9" fontId="157" fillId="0" borderId="0" applyFont="0" applyFill="0" applyBorder="0" applyAlignment="0" applyProtection="0"/>
    <xf numFmtId="0" fontId="150" fillId="8" borderId="41">
      <alignment horizontal="centerContinuous"/>
    </xf>
    <xf numFmtId="49" fontId="147" fillId="52" borderId="10">
      <alignment horizontal="center" vertical="center" wrapText="1"/>
    </xf>
    <xf numFmtId="179" fontId="154" fillId="53" borderId="0" applyNumberFormat="0" applyBorder="0" applyAlignment="0" applyProtection="0"/>
    <xf numFmtId="179" fontId="154" fillId="13" borderId="0" applyNumberFormat="0" applyBorder="0" applyAlignment="0" applyProtection="0"/>
    <xf numFmtId="179" fontId="154" fillId="15" borderId="0" applyNumberFormat="0" applyBorder="0" applyAlignment="0" applyProtection="0"/>
    <xf numFmtId="179" fontId="154" fillId="50" borderId="0" applyNumberFormat="0" applyBorder="0" applyAlignment="0" applyProtection="0"/>
    <xf numFmtId="179" fontId="154" fillId="12" borderId="0" applyNumberFormat="0" applyBorder="0" applyAlignment="0" applyProtection="0"/>
    <xf numFmtId="179" fontId="154" fillId="14" borderId="0" applyNumberFormat="0" applyBorder="0" applyAlignment="0" applyProtection="0"/>
    <xf numFmtId="179" fontId="158" fillId="3" borderId="1" applyNumberFormat="0" applyAlignment="0" applyProtection="0"/>
    <xf numFmtId="179" fontId="159" fillId="8" borderId="8" applyNumberFormat="0" applyAlignment="0" applyProtection="0"/>
    <xf numFmtId="179" fontId="160" fillId="8" borderId="1" applyNumberFormat="0" applyAlignment="0" applyProtection="0"/>
    <xf numFmtId="0" fontId="144"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179" fontId="162" fillId="0" borderId="261" applyNumberFormat="0" applyFill="0" applyAlignment="0" applyProtection="0"/>
    <xf numFmtId="179" fontId="163" fillId="0" borderId="5" applyNumberFormat="0" applyFill="0" applyAlignment="0" applyProtection="0"/>
    <xf numFmtId="179" fontId="164" fillId="0" borderId="9" applyNumberFormat="0" applyFill="0" applyAlignment="0" applyProtection="0"/>
    <xf numFmtId="179" fontId="164" fillId="0" borderId="0" applyNumberFormat="0" applyFill="0" applyBorder="0" applyAlignment="0" applyProtection="0"/>
    <xf numFmtId="179" fontId="138" fillId="0" borderId="262" applyNumberFormat="0" applyFill="0" applyAlignment="0" applyProtection="0"/>
    <xf numFmtId="179" fontId="165" fillId="18" borderId="2" applyNumberFormat="0" applyAlignment="0" applyProtection="0"/>
    <xf numFmtId="179" fontId="166" fillId="0" borderId="0" applyNumberFormat="0" applyFill="0" applyBorder="0" applyAlignment="0" applyProtection="0"/>
    <xf numFmtId="179" fontId="167" fillId="10" borderId="0" applyNumberFormat="0" applyBorder="0" applyAlignment="0" applyProtection="0"/>
    <xf numFmtId="0" fontId="139" fillId="0" borderId="0"/>
    <xf numFmtId="0" fontId="146" fillId="0" borderId="0"/>
    <xf numFmtId="0" fontId="140" fillId="0" borderId="0"/>
    <xf numFmtId="0" fontId="129" fillId="0" borderId="0"/>
    <xf numFmtId="0" fontId="129" fillId="0" borderId="0"/>
    <xf numFmtId="0" fontId="140" fillId="0" borderId="0"/>
    <xf numFmtId="0" fontId="139" fillId="0" borderId="0"/>
    <xf numFmtId="179" fontId="168" fillId="6" borderId="0" applyNumberFormat="0" applyBorder="0" applyAlignment="0" applyProtection="0"/>
    <xf numFmtId="179" fontId="169" fillId="0" borderId="0" applyNumberFormat="0" applyFill="0" applyBorder="0" applyAlignment="0" applyProtection="0"/>
    <xf numFmtId="179" fontId="140" fillId="4" borderId="7" applyNumberFormat="0" applyFont="0" applyAlignment="0" applyProtection="0"/>
    <xf numFmtId="9" fontId="139" fillId="0" borderId="0" applyFont="0" applyFill="0" applyBorder="0" applyAlignment="0" applyProtection="0"/>
    <xf numFmtId="179" fontId="170" fillId="0" borderId="3" applyNumberFormat="0" applyFill="0" applyAlignment="0" applyProtection="0"/>
    <xf numFmtId="179" fontId="171" fillId="0" borderId="0" applyNumberFormat="0" applyFill="0" applyBorder="0" applyAlignment="0" applyProtection="0"/>
    <xf numFmtId="164" fontId="140" fillId="0" borderId="0" applyFont="0" applyFill="0" applyBorder="0" applyAlignment="0" applyProtection="0"/>
    <xf numFmtId="164" fontId="146" fillId="0" borderId="0" applyFont="0" applyFill="0" applyBorder="0" applyAlignment="0" applyProtection="0"/>
    <xf numFmtId="177" fontId="140" fillId="0" borderId="0" applyFont="0" applyFill="0" applyBorder="0" applyAlignment="0" applyProtection="0"/>
    <xf numFmtId="169" fontId="140" fillId="0" borderId="0" applyFont="0" applyFill="0" applyBorder="0" applyAlignment="0" applyProtection="0"/>
    <xf numFmtId="165" fontId="139" fillId="0" borderId="0" applyFont="0" applyFill="0" applyBorder="0" applyAlignment="0" applyProtection="0"/>
    <xf numFmtId="165" fontId="140" fillId="0" borderId="0" applyFont="0" applyFill="0" applyBorder="0" applyAlignment="0" applyProtection="0"/>
    <xf numFmtId="179" fontId="172" fillId="7" borderId="0" applyNumberFormat="0" applyBorder="0" applyAlignment="0" applyProtection="0"/>
    <xf numFmtId="181" fontId="172" fillId="7" borderId="0" applyNumberFormat="0" applyBorder="0" applyAlignment="0" applyProtection="0"/>
    <xf numFmtId="0" fontId="20" fillId="0" borderId="0"/>
    <xf numFmtId="0" fontId="173" fillId="0" borderId="0" applyFill="0" applyBorder="0" applyProtection="0">
      <alignment horizontal="left"/>
    </xf>
  </cellStyleXfs>
  <cellXfs count="1224">
    <xf numFmtId="0" fontId="0" fillId="0" borderId="0" xfId="0"/>
    <xf numFmtId="43" fontId="16" fillId="0" borderId="0" xfId="38" applyFont="1" applyFill="1" applyAlignment="1">
      <alignment vertical="center"/>
    </xf>
    <xf numFmtId="0" fontId="0" fillId="0" borderId="0" xfId="0" applyBorder="1" applyProtection="1"/>
    <xf numFmtId="0" fontId="0" fillId="0" borderId="0" xfId="0" applyProtection="1"/>
    <xf numFmtId="43" fontId="22" fillId="0" borderId="0" xfId="38" applyFont="1" applyFill="1" applyAlignment="1" applyProtection="1">
      <alignment vertical="center"/>
    </xf>
    <xf numFmtId="0" fontId="21" fillId="0" borderId="0" xfId="0" applyFont="1" applyProtection="1"/>
    <xf numFmtId="43" fontId="19" fillId="0" borderId="0" xfId="49" applyFont="1" applyFill="1" applyAlignment="1" applyProtection="1"/>
    <xf numFmtId="43" fontId="19" fillId="0" borderId="0" xfId="49" applyFont="1" applyFill="1" applyAlignment="1" applyProtection="1">
      <alignment horizontal="center"/>
    </xf>
    <xf numFmtId="43" fontId="19" fillId="0" borderId="0" xfId="49" applyFont="1" applyFill="1" applyAlignment="1" applyProtection="1">
      <alignment horizontal="right"/>
    </xf>
    <xf numFmtId="43" fontId="19" fillId="0" borderId="0" xfId="49" applyFont="1" applyFill="1" applyBorder="1" applyAlignment="1" applyProtection="1">
      <alignment horizontal="center"/>
    </xf>
    <xf numFmtId="43" fontId="117" fillId="0" borderId="0" xfId="48" applyProtection="1"/>
    <xf numFmtId="43" fontId="15" fillId="0" borderId="0" xfId="48" applyFont="1" applyProtection="1"/>
    <xf numFmtId="0" fontId="18" fillId="0" borderId="0" xfId="48" applyNumberFormat="1" applyFont="1" applyBorder="1" applyProtection="1"/>
    <xf numFmtId="43" fontId="117" fillId="0" borderId="0" xfId="50" applyProtection="1"/>
    <xf numFmtId="43" fontId="117" fillId="0" borderId="0" xfId="50" applyFill="1" applyBorder="1" applyAlignment="1" applyProtection="1">
      <alignment horizontal="left"/>
    </xf>
    <xf numFmtId="0" fontId="0" fillId="0" borderId="0" xfId="0" applyFill="1" applyBorder="1" applyProtection="1"/>
    <xf numFmtId="43" fontId="117" fillId="0" borderId="0" xfId="50" applyFill="1" applyBorder="1" applyProtection="1"/>
    <xf numFmtId="0" fontId="15" fillId="0" borderId="0" xfId="0" applyFont="1" applyProtection="1"/>
    <xf numFmtId="43"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167" fontId="28" fillId="0" borderId="0" xfId="62" applyNumberFormat="1" applyFont="1" applyAlignment="1">
      <alignment horizontal="left"/>
    </xf>
    <xf numFmtId="43" fontId="16" fillId="0" borderId="0" xfId="47" applyFont="1" applyFill="1" applyAlignment="1">
      <alignment vertical="center"/>
    </xf>
    <xf numFmtId="0" fontId="0" fillId="0" borderId="10" xfId="0" applyBorder="1" applyAlignment="1">
      <alignment horizontal="center"/>
    </xf>
    <xf numFmtId="0" fontId="1" fillId="0" borderId="0" xfId="0" applyFont="1" applyBorder="1" applyAlignment="1"/>
    <xf numFmtId="0" fontId="1" fillId="0" borderId="0" xfId="0" applyFont="1" applyFill="1" applyBorder="1" applyAlignment="1"/>
    <xf numFmtId="0" fontId="42" fillId="0" borderId="0" xfId="0" applyFont="1"/>
    <xf numFmtId="0" fontId="42" fillId="0" borderId="0" xfId="0" applyFont="1" applyAlignment="1">
      <alignment horizontal="right"/>
    </xf>
    <xf numFmtId="0" fontId="42" fillId="0" borderId="0" xfId="0" applyFont="1" applyBorder="1"/>
    <xf numFmtId="0" fontId="45" fillId="0" borderId="0" xfId="0" applyFont="1"/>
    <xf numFmtId="0" fontId="42"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43" fontId="28" fillId="0" borderId="0" xfId="0" applyNumberFormat="1" applyFont="1" applyFill="1" applyBorder="1" applyAlignment="1"/>
    <xf numFmtId="43" fontId="117" fillId="0" borderId="0" xfId="59"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8"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17"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8" fillId="0" borderId="0" xfId="48" applyFont="1" applyProtection="1"/>
    <xf numFmtId="43" fontId="68" fillId="0" borderId="0" xfId="50" applyFont="1" applyProtection="1"/>
    <xf numFmtId="0" fontId="68" fillId="0" borderId="10" xfId="0" applyFont="1" applyFill="1" applyBorder="1" applyAlignment="1" applyProtection="1">
      <alignment horizontal="center"/>
    </xf>
    <xf numFmtId="0" fontId="68" fillId="0" borderId="10" xfId="0" applyFont="1" applyFill="1" applyBorder="1" applyProtection="1"/>
    <xf numFmtId="43" fontId="68" fillId="0" borderId="10" xfId="50" applyFont="1" applyBorder="1" applyProtection="1"/>
    <xf numFmtId="0" fontId="69" fillId="0" borderId="10" xfId="0" applyFont="1" applyBorder="1" applyAlignment="1" applyProtection="1">
      <alignment horizontal="left" indent="1"/>
    </xf>
    <xf numFmtId="0" fontId="70" fillId="19" borderId="10" xfId="0" applyFont="1" applyFill="1" applyBorder="1" applyAlignment="1" applyProtection="1">
      <alignment horizontal="center"/>
    </xf>
    <xf numFmtId="0" fontId="70"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14" fillId="0" borderId="0" xfId="0" applyFont="1"/>
    <xf numFmtId="0" fontId="45" fillId="0" borderId="0" xfId="0" applyFont="1" applyFill="1"/>
    <xf numFmtId="0" fontId="77" fillId="19" borderId="12" xfId="0" applyFont="1" applyFill="1" applyBorder="1" applyAlignment="1">
      <alignment vertical="center"/>
    </xf>
    <xf numFmtId="0" fontId="75" fillId="0" borderId="0"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0" fillId="20" borderId="0" xfId="0" applyNumberFormat="1" applyFont="1" applyFill="1" applyBorder="1" applyAlignment="1">
      <alignment horizontal="center"/>
    </xf>
    <xf numFmtId="0" fontId="80" fillId="0" borderId="0" xfId="0" applyFont="1" applyFill="1" applyBorder="1" applyAlignment="1" applyProtection="1">
      <alignment horizontal="left"/>
    </xf>
    <xf numFmtId="0" fontId="81" fillId="0" borderId="0" xfId="0" applyFont="1"/>
    <xf numFmtId="43" fontId="38" fillId="0" borderId="0" xfId="59" applyFont="1" applyFill="1" applyBorder="1" applyAlignment="1" applyProtection="1">
      <alignment horizontal="center" vertical="center"/>
      <protection locked="0"/>
    </xf>
    <xf numFmtId="15" fontId="0" fillId="0" borderId="0" xfId="0" applyNumberFormat="1"/>
    <xf numFmtId="43" fontId="31" fillId="0" borderId="14" xfId="59" applyFont="1" applyBorder="1" applyAlignment="1" applyProtection="1"/>
    <xf numFmtId="43" fontId="117" fillId="0" borderId="14" xfId="59" applyFill="1" applyBorder="1" applyAlignment="1" applyProtection="1">
      <alignment vertical="center"/>
    </xf>
    <xf numFmtId="43" fontId="31" fillId="0" borderId="0" xfId="59" applyFont="1" applyBorder="1" applyAlignment="1" applyProtection="1"/>
    <xf numFmtId="43" fontId="117" fillId="0" borderId="0" xfId="59"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43" fontId="37" fillId="0" borderId="18" xfId="59" applyFont="1" applyBorder="1" applyAlignment="1" applyProtection="1"/>
    <xf numFmtId="43" fontId="38" fillId="0" borderId="18" xfId="59" applyFont="1" applyFill="1" applyBorder="1" applyAlignment="1" applyProtection="1">
      <alignment vertical="center"/>
    </xf>
    <xf numFmtId="43" fontId="38" fillId="0" borderId="0" xfId="59" applyFont="1" applyFill="1" applyBorder="1" applyAlignment="1" applyProtection="1">
      <alignment vertical="center"/>
    </xf>
    <xf numFmtId="43" fontId="37" fillId="0" borderId="0" xfId="59" applyFont="1" applyBorder="1" applyAlignment="1" applyProtection="1"/>
    <xf numFmtId="43" fontId="39"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19" xfId="0" applyFont="1" applyBorder="1" applyAlignment="1" applyProtection="1">
      <alignment horizontal="center"/>
    </xf>
    <xf numFmtId="0" fontId="14" fillId="0" borderId="19" xfId="0" applyFont="1" applyBorder="1" applyAlignment="1" applyProtection="1">
      <alignment horizontal="center" wrapText="1"/>
    </xf>
    <xf numFmtId="1" fontId="21" fillId="20" borderId="20" xfId="0" applyNumberFormat="1" applyFont="1" applyFill="1" applyBorder="1" applyAlignment="1" applyProtection="1">
      <alignment horizontal="center"/>
    </xf>
    <xf numFmtId="1" fontId="21" fillId="20" borderId="22" xfId="0" applyNumberFormat="1" applyFont="1" applyFill="1" applyBorder="1" applyAlignment="1" applyProtection="1">
      <alignment horizontal="center"/>
    </xf>
    <xf numFmtId="0" fontId="0" fillId="0" borderId="24" xfId="0" applyBorder="1" applyAlignment="1" applyProtection="1">
      <alignment horizontal="center"/>
    </xf>
    <xf numFmtId="0" fontId="0" fillId="0" borderId="0" xfId="0" applyFill="1" applyBorder="1" applyAlignment="1" applyProtection="1">
      <alignment horizontal="center" wrapText="1"/>
    </xf>
    <xf numFmtId="43" fontId="0" fillId="0" borderId="0" xfId="0" applyNumberFormat="1" applyFill="1" applyBorder="1" applyProtection="1"/>
    <xf numFmtId="43" fontId="67" fillId="0" borderId="25" xfId="59" applyFont="1" applyFill="1" applyBorder="1" applyAlignment="1" applyProtection="1"/>
    <xf numFmtId="43" fontId="38" fillId="0" borderId="25" xfId="59" applyFont="1" applyFill="1" applyBorder="1" applyAlignment="1" applyProtection="1">
      <alignment vertical="center"/>
    </xf>
    <xf numFmtId="167" fontId="28" fillId="0" borderId="0" xfId="62" applyNumberFormat="1" applyFont="1" applyAlignment="1" applyProtection="1">
      <alignment horizontal="left"/>
    </xf>
    <xf numFmtId="15" fontId="28" fillId="0" borderId="0" xfId="0" applyNumberFormat="1" applyFont="1" applyAlignment="1" applyProtection="1">
      <alignment horizontal="lef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42" fillId="0" borderId="0" xfId="0" applyFont="1" applyProtection="1"/>
    <xf numFmtId="0" fontId="42" fillId="0" borderId="0" xfId="0" applyFont="1" applyAlignment="1" applyProtection="1">
      <alignment horizontal="right"/>
    </xf>
    <xf numFmtId="0" fontId="42"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8"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70"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2"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9"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3"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52" fillId="0" borderId="29" xfId="0" applyNumberFormat="1" applyFont="1" applyFill="1" applyBorder="1" applyAlignment="1" applyProtection="1">
      <alignment horizontal="right"/>
    </xf>
    <xf numFmtId="0" fontId="61"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2" fillId="0" borderId="0" xfId="0" applyFont="1" applyFill="1" applyBorder="1" applyAlignment="1" applyProtection="1">
      <alignment horizontal="center" vertical="center"/>
    </xf>
    <xf numFmtId="9" fontId="65" fillId="0" borderId="0" xfId="0" applyNumberFormat="1" applyFont="1" applyFill="1" applyBorder="1" applyAlignment="1" applyProtection="1"/>
    <xf numFmtId="9" fontId="65" fillId="0" borderId="0" xfId="0" applyNumberFormat="1" applyFont="1" applyFill="1" applyBorder="1" applyAlignment="1" applyProtection="1">
      <alignment horizontal="center"/>
    </xf>
    <xf numFmtId="0" fontId="52" fillId="0" borderId="30" xfId="0" applyNumberFormat="1" applyFont="1" applyFill="1" applyBorder="1" applyAlignment="1" applyProtection="1">
      <alignment horizontal="right"/>
    </xf>
    <xf numFmtId="9" fontId="54" fillId="0" borderId="0" xfId="0" applyNumberFormat="1" applyFont="1" applyFill="1" applyBorder="1" applyProtection="1"/>
    <xf numFmtId="0" fontId="52" fillId="0" borderId="31" xfId="0" applyNumberFormat="1" applyFont="1" applyFill="1" applyBorder="1" applyAlignment="1" applyProtection="1">
      <alignment horizontal="right"/>
    </xf>
    <xf numFmtId="0" fontId="52" fillId="0" borderId="32" xfId="0" applyNumberFormat="1" applyFont="1" applyFill="1" applyBorder="1" applyAlignment="1" applyProtection="1">
      <alignment horizontal="right"/>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34" fillId="0" borderId="35" xfId="0" applyNumberFormat="1" applyFont="1" applyFill="1" applyBorder="1" applyAlignment="1" applyProtection="1">
      <alignment vertical="center"/>
    </xf>
    <xf numFmtId="0" fontId="43" fillId="0" borderId="0" xfId="0" applyFont="1" applyProtection="1"/>
    <xf numFmtId="0" fontId="64" fillId="0" borderId="0" xfId="0" applyFont="1" applyProtection="1"/>
    <xf numFmtId="0" fontId="58" fillId="0" borderId="0" xfId="0" applyFont="1" applyProtection="1"/>
    <xf numFmtId="0" fontId="71" fillId="0" borderId="0" xfId="0" applyFont="1" applyBorder="1" applyAlignment="1" applyProtection="1">
      <alignment wrapText="1"/>
    </xf>
    <xf numFmtId="0" fontId="68"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6" fillId="0" borderId="0" xfId="0" applyNumberFormat="1" applyFont="1" applyBorder="1" applyProtection="1"/>
    <xf numFmtId="43" fontId="36" fillId="0" borderId="0" xfId="0" applyNumberFormat="1" applyFont="1" applyProtection="1"/>
    <xf numFmtId="167" fontId="6" fillId="0" borderId="0" xfId="62" applyNumberFormat="1" applyFont="1" applyFill="1" applyBorder="1" applyAlignment="1" applyProtection="1">
      <protection locked="0"/>
    </xf>
    <xf numFmtId="167" fontId="6" fillId="0" borderId="0" xfId="62" applyNumberFormat="1" applyFont="1" applyFill="1" applyBorder="1" applyProtection="1">
      <protection locked="0"/>
    </xf>
    <xf numFmtId="0" fontId="15" fillId="20" borderId="0" xfId="0" applyFont="1" applyFill="1"/>
    <xf numFmtId="166" fontId="15" fillId="20" borderId="0" xfId="0" applyNumberFormat="1" applyFont="1" applyFill="1"/>
    <xf numFmtId="167" fontId="15" fillId="20" borderId="0" xfId="0" applyNumberFormat="1" applyFont="1" applyFill="1"/>
    <xf numFmtId="3" fontId="15" fillId="20" borderId="0" xfId="0" applyNumberFormat="1" applyFont="1" applyFill="1" applyProtection="1"/>
    <xf numFmtId="166"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43" fontId="17" fillId="0" borderId="0" xfId="46" applyFont="1" applyFill="1" applyAlignment="1" applyProtection="1">
      <alignment horizontal="center" vertical="center"/>
    </xf>
    <xf numFmtId="43" fontId="16" fillId="0" borderId="0" xfId="46" applyFont="1" applyFill="1" applyAlignment="1" applyProtection="1">
      <alignment vertical="center"/>
    </xf>
    <xf numFmtId="0" fontId="82" fillId="0" borderId="0" xfId="0" applyFont="1"/>
    <xf numFmtId="43" fontId="20" fillId="0" borderId="38" xfId="56" applyFont="1" applyBorder="1" applyAlignment="1" applyProtection="1">
      <alignment horizontal="right"/>
    </xf>
    <xf numFmtId="0" fontId="12" fillId="0" borderId="0" xfId="0" applyFont="1"/>
    <xf numFmtId="0" fontId="0" fillId="20" borderId="0" xfId="0" applyFill="1" applyProtection="1"/>
    <xf numFmtId="0" fontId="0" fillId="20" borderId="39" xfId="0" applyFill="1" applyBorder="1" applyProtection="1"/>
    <xf numFmtId="43" fontId="88" fillId="0" borderId="0" xfId="0" applyNumberFormat="1" applyFont="1"/>
    <xf numFmtId="0" fontId="88" fillId="0" borderId="0" xfId="0" applyFont="1"/>
    <xf numFmtId="43" fontId="0" fillId="0" borderId="0" xfId="0" quotePrefix="1" applyNumberFormat="1"/>
    <xf numFmtId="43" fontId="0" fillId="0" borderId="0" xfId="0" applyNumberFormat="1"/>
    <xf numFmtId="0" fontId="34" fillId="0" borderId="40" xfId="0" applyNumberFormat="1" applyFont="1" applyFill="1" applyBorder="1" applyAlignment="1" applyProtection="1">
      <alignment vertical="center"/>
    </xf>
    <xf numFmtId="43" fontId="117" fillId="0" borderId="0" xfId="51" applyFill="1" applyBorder="1" applyAlignment="1" applyProtection="1">
      <alignment horizontal="center"/>
    </xf>
    <xf numFmtId="0" fontId="34" fillId="0" borderId="0" xfId="0" quotePrefix="1" applyFont="1" applyProtection="1"/>
    <xf numFmtId="0" fontId="62" fillId="0" borderId="41" xfId="0" applyFont="1" applyBorder="1" applyAlignment="1">
      <alignment horizontal="justify" vertical="center" wrapText="1"/>
    </xf>
    <xf numFmtId="0" fontId="62" fillId="0" borderId="42" xfId="0" applyFont="1" applyBorder="1" applyAlignment="1">
      <alignment horizontal="justify" vertical="center" wrapText="1"/>
    </xf>
    <xf numFmtId="0" fontId="62" fillId="0" borderId="43" xfId="0" applyFont="1" applyBorder="1" applyAlignment="1">
      <alignment horizontal="justify" vertical="center" wrapText="1"/>
    </xf>
    <xf numFmtId="0" fontId="87" fillId="0" borderId="42" xfId="0" applyFont="1" applyBorder="1" applyAlignment="1">
      <alignment horizontal="justify" vertical="center" wrapText="1"/>
    </xf>
    <xf numFmtId="43" fontId="89" fillId="0" borderId="25" xfId="59" applyFont="1" applyFill="1" applyBorder="1" applyAlignment="1" applyProtection="1"/>
    <xf numFmtId="43" fontId="9" fillId="0" borderId="25" xfId="59" applyFont="1" applyFill="1" applyBorder="1" applyAlignment="1" applyProtection="1">
      <alignment vertical="center"/>
    </xf>
    <xf numFmtId="0" fontId="86" fillId="0" borderId="41" xfId="0" applyFont="1" applyBorder="1" applyAlignment="1">
      <alignment vertical="center" wrapText="1"/>
    </xf>
    <xf numFmtId="0" fontId="2" fillId="0" borderId="44" xfId="0" applyFont="1" applyFill="1" applyBorder="1" applyAlignment="1" applyProtection="1">
      <alignment horizontal="center"/>
    </xf>
    <xf numFmtId="0" fontId="1" fillId="0" borderId="0" xfId="0" applyFont="1"/>
    <xf numFmtId="43" fontId="91" fillId="0" borderId="25" xfId="59" applyFont="1" applyFill="1" applyBorder="1" applyAlignment="1" applyProtection="1">
      <alignment vertical="center"/>
    </xf>
    <xf numFmtId="0" fontId="90"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 fontId="21" fillId="25" borderId="10" xfId="0" applyNumberFormat="1" applyFont="1" applyFill="1" applyBorder="1" applyAlignment="1" applyProtection="1">
      <alignment horizontal="center"/>
      <protection locked="0"/>
    </xf>
    <xf numFmtId="1" fontId="21" fillId="25" borderId="45" xfId="0" applyNumberFormat="1" applyFont="1" applyFill="1" applyBorder="1" applyAlignment="1" applyProtection="1">
      <alignment horizontal="center"/>
      <protection locked="0"/>
    </xf>
    <xf numFmtId="1" fontId="0" fillId="25" borderId="10" xfId="0" applyNumberFormat="1" applyFill="1" applyBorder="1" applyAlignment="1" applyProtection="1">
      <alignment horizontal="center"/>
      <protection locked="0"/>
    </xf>
    <xf numFmtId="167" fontId="0" fillId="0" borderId="0" xfId="0" applyNumberFormat="1" applyProtection="1"/>
    <xf numFmtId="0" fontId="94" fillId="0" borderId="0" xfId="0" applyFont="1" applyFill="1" applyBorder="1" applyAlignment="1" applyProtection="1">
      <alignment horizontal="right"/>
    </xf>
    <xf numFmtId="43" fontId="95" fillId="0" borderId="14" xfId="59" applyFont="1" applyFill="1" applyBorder="1" applyAlignment="1" applyProtection="1">
      <alignment horizontal="left" vertical="center"/>
    </xf>
    <xf numFmtId="0" fontId="94" fillId="0" borderId="0" xfId="0" applyFont="1" applyBorder="1" applyProtection="1"/>
    <xf numFmtId="3" fontId="6" fillId="0" borderId="0" xfId="0" applyNumberFormat="1" applyFont="1" applyAlignment="1" applyProtection="1">
      <alignment horizontal="right"/>
    </xf>
    <xf numFmtId="0" fontId="97" fillId="0" borderId="0" xfId="0" applyFont="1" applyFill="1" applyBorder="1" applyAlignment="1" applyProtection="1">
      <alignment horizontal="center" wrapText="1"/>
    </xf>
    <xf numFmtId="0" fontId="94"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15" fontId="32" fillId="0" borderId="46"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43" fontId="101" fillId="0" borderId="0" xfId="38" applyFont="1" applyFill="1" applyAlignment="1" applyProtection="1">
      <alignment vertical="center"/>
    </xf>
    <xf numFmtId="0" fontId="0" fillId="0" borderId="0" xfId="0" applyBorder="1" applyAlignment="1" applyProtection="1"/>
    <xf numFmtId="3" fontId="0" fillId="0" borderId="0" xfId="0" applyNumberFormat="1" applyFill="1" applyProtection="1"/>
    <xf numFmtId="0" fontId="0" fillId="0" borderId="0" xfId="0" applyFill="1" applyBorder="1" applyProtection="1">
      <protection locked="0"/>
    </xf>
    <xf numFmtId="0" fontId="6" fillId="0" borderId="0" xfId="0" applyFont="1" applyFill="1" applyBorder="1" applyAlignment="1" applyProtection="1">
      <protection locked="0"/>
    </xf>
    <xf numFmtId="0" fontId="98" fillId="0" borderId="0" xfId="0" applyFont="1" applyFill="1" applyBorder="1" applyAlignment="1" applyProtection="1">
      <alignment horizontal="left"/>
      <protection locked="0"/>
    </xf>
    <xf numFmtId="0" fontId="96" fillId="0" borderId="0" xfId="0" applyFont="1" applyFill="1" applyBorder="1" applyAlignment="1" applyProtection="1">
      <alignment horizontal="center" vertical="center"/>
    </xf>
    <xf numFmtId="0" fontId="26" fillId="0" borderId="48" xfId="0" applyFont="1" applyFill="1" applyBorder="1" applyAlignment="1" applyProtection="1"/>
    <xf numFmtId="0" fontId="32" fillId="26" borderId="49" xfId="0" applyFont="1" applyFill="1" applyBorder="1" applyAlignment="1" applyProtection="1">
      <alignment horizontal="centerContinuous"/>
    </xf>
    <xf numFmtId="15" fontId="99" fillId="0" borderId="37" xfId="0" applyNumberFormat="1" applyFont="1" applyFill="1" applyBorder="1" applyAlignment="1" applyProtection="1">
      <alignment horizontal="center" wrapText="1"/>
    </xf>
    <xf numFmtId="15" fontId="99" fillId="0" borderId="50" xfId="0" applyNumberFormat="1" applyFont="1" applyFill="1" applyBorder="1" applyAlignment="1" applyProtection="1">
      <alignment horizontal="center" wrapText="1"/>
    </xf>
    <xf numFmtId="0" fontId="36" fillId="0" borderId="48" xfId="0" applyFont="1" applyFill="1" applyBorder="1" applyAlignment="1" applyProtection="1">
      <alignment horizontal="center"/>
    </xf>
    <xf numFmtId="0" fontId="36" fillId="0" borderId="51" xfId="0" applyFont="1" applyFill="1" applyBorder="1" applyAlignment="1" applyProtection="1">
      <alignment horizontal="center"/>
    </xf>
    <xf numFmtId="0" fontId="32" fillId="26" borderId="52"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15" fontId="0" fillId="0" borderId="0"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3" fontId="2" fillId="23" borderId="10" xfId="0" applyNumberFormat="1" applyFont="1" applyFill="1" applyBorder="1" applyAlignment="1" applyProtection="1">
      <alignment horizontal="right" vertical="center"/>
      <protection locked="0"/>
    </xf>
    <xf numFmtId="0" fontId="75" fillId="0" borderId="55" xfId="0" applyFont="1" applyFill="1" applyBorder="1" applyAlignment="1" applyProtection="1">
      <alignment horizontal="center" vertical="center"/>
    </xf>
    <xf numFmtId="0" fontId="24" fillId="0" borderId="0" xfId="0" applyFont="1" applyProtection="1"/>
    <xf numFmtId="43" fontId="99" fillId="0" borderId="0" xfId="0" applyNumberFormat="1" applyFont="1" applyBorder="1" applyAlignment="1" applyProtection="1">
      <alignment vertical="center" wrapText="1"/>
    </xf>
    <xf numFmtId="0" fontId="99" fillId="0" borderId="0" xfId="0" applyFont="1" applyFill="1" applyBorder="1" applyAlignment="1" applyProtection="1">
      <alignment wrapText="1"/>
    </xf>
    <xf numFmtId="43" fontId="20" fillId="0" borderId="38" xfId="56" applyFont="1" applyFill="1" applyBorder="1" applyAlignment="1" applyProtection="1">
      <alignment horizontal="right"/>
    </xf>
    <xf numFmtId="0" fontId="28" fillId="0" borderId="0" xfId="0" applyFont="1" applyFill="1" applyBorder="1" applyAlignment="1" applyProtection="1">
      <alignment wrapText="1"/>
    </xf>
    <xf numFmtId="43" fontId="28" fillId="0" borderId="0" xfId="0" applyNumberFormat="1" applyFont="1" applyAlignment="1" applyProtection="1"/>
    <xf numFmtId="15" fontId="28" fillId="0" borderId="0" xfId="0" applyNumberFormat="1" applyFont="1"/>
    <xf numFmtId="0" fontId="0" fillId="0" borderId="25" xfId="0" applyFill="1" applyBorder="1" applyProtection="1"/>
    <xf numFmtId="9" fontId="15" fillId="0" borderId="0" xfId="61" applyFont="1" applyProtection="1"/>
    <xf numFmtId="43" fontId="24" fillId="25" borderId="38" xfId="56" applyFont="1" applyFill="1" applyBorder="1" applyAlignment="1" applyProtection="1">
      <alignment horizontal="center" vertical="center"/>
    </xf>
    <xf numFmtId="15" fontId="24" fillId="25" borderId="38" xfId="56" applyNumberFormat="1" applyFont="1" applyFill="1" applyBorder="1" applyAlignment="1" applyProtection="1">
      <alignment horizontal="center" vertical="center"/>
    </xf>
    <xf numFmtId="43" fontId="88" fillId="0" borderId="0" xfId="0" applyNumberFormat="1" applyFont="1" applyAlignment="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49" fontId="0" fillId="0" borderId="0" xfId="0" applyNumberFormat="1" applyProtection="1"/>
    <xf numFmtId="3" fontId="0" fillId="25"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2" fontId="21" fillId="20"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19" borderId="59" xfId="0" applyNumberFormat="1" applyFont="1" applyFill="1" applyBorder="1" applyAlignment="1" applyProtection="1">
      <alignment horizontal="center"/>
      <protection locked="0"/>
    </xf>
    <xf numFmtId="166" fontId="32" fillId="19" borderId="60" xfId="0" applyNumberFormat="1" applyFont="1" applyFill="1" applyBorder="1" applyAlignment="1" applyProtection="1">
      <alignment horizontal="center"/>
      <protection locked="0"/>
    </xf>
    <xf numFmtId="166" fontId="32" fillId="19" borderId="61" xfId="0" applyNumberFormat="1" applyFont="1" applyFill="1" applyBorder="1" applyAlignment="1" applyProtection="1">
      <alignment horizontal="center"/>
      <protection locked="0"/>
    </xf>
    <xf numFmtId="166" fontId="32" fillId="19" borderId="62" xfId="0" applyNumberFormat="1" applyFont="1" applyFill="1" applyBorder="1" applyAlignment="1" applyProtection="1">
      <alignment horizontal="center"/>
      <protection locked="0"/>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3" fontId="28" fillId="26" borderId="59" xfId="0" applyNumberFormat="1" applyFont="1" applyFill="1" applyBorder="1" applyAlignment="1" applyProtection="1">
      <protection locked="0"/>
    </xf>
    <xf numFmtId="3" fontId="28" fillId="26" borderId="64"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58" xfId="0" applyNumberFormat="1" applyFont="1" applyFill="1" applyBorder="1" applyAlignment="1" applyProtection="1"/>
    <xf numFmtId="166" fontId="14" fillId="19" borderId="65" xfId="0" applyNumberFormat="1" applyFont="1" applyFill="1" applyBorder="1" applyAlignment="1" applyProtection="1">
      <alignment horizontal="center"/>
      <protection locked="0"/>
    </xf>
    <xf numFmtId="0" fontId="0" fillId="26" borderId="10" xfId="0" applyFill="1" applyBorder="1" applyProtection="1"/>
    <xf numFmtId="0" fontId="0" fillId="25" borderId="10" xfId="0" applyFill="1" applyBorder="1" applyProtection="1"/>
    <xf numFmtId="3" fontId="1" fillId="26" borderId="66" xfId="62" applyNumberFormat="1" applyFont="1" applyFill="1" applyBorder="1" applyAlignment="1" applyProtection="1">
      <protection locked="0"/>
    </xf>
    <xf numFmtId="3" fontId="1" fillId="26" borderId="66" xfId="62" applyNumberFormat="1" applyFont="1" applyFill="1" applyBorder="1" applyProtection="1">
      <protection locked="0"/>
    </xf>
    <xf numFmtId="49" fontId="26" fillId="0" borderId="67" xfId="0" applyNumberFormat="1" applyFont="1" applyFill="1" applyBorder="1" applyAlignment="1" applyProtection="1">
      <alignment wrapText="1"/>
      <protection locked="0"/>
    </xf>
    <xf numFmtId="3" fontId="1" fillId="26" borderId="68" xfId="62" applyNumberFormat="1" applyFont="1" applyFill="1" applyBorder="1" applyProtection="1">
      <protection locked="0"/>
    </xf>
    <xf numFmtId="49" fontId="26" fillId="0" borderId="67" xfId="0" applyNumberFormat="1" applyFont="1" applyFill="1" applyBorder="1" applyAlignment="1" applyProtection="1">
      <protection locked="0"/>
    </xf>
    <xf numFmtId="0" fontId="0" fillId="0" borderId="69" xfId="0" applyBorder="1" applyAlignment="1" applyProtection="1"/>
    <xf numFmtId="3" fontId="0" fillId="0" borderId="70" xfId="0" applyNumberFormat="1" applyBorder="1" applyProtection="1"/>
    <xf numFmtId="3" fontId="0" fillId="0" borderId="71" xfId="0" applyNumberFormat="1" applyBorder="1" applyProtection="1"/>
    <xf numFmtId="0" fontId="0" fillId="0" borderId="72" xfId="0" applyNumberFormat="1" applyFill="1" applyBorder="1"/>
    <xf numFmtId="49" fontId="82" fillId="0" borderId="10" xfId="0" applyNumberFormat="1" applyFont="1" applyBorder="1" applyAlignment="1" applyProtection="1">
      <alignment horizontal="center"/>
      <protection locked="0"/>
    </xf>
    <xf numFmtId="0" fontId="68" fillId="0" borderId="10" xfId="0" applyFont="1" applyBorder="1" applyAlignment="1" applyProtection="1">
      <alignment horizontal="center"/>
    </xf>
    <xf numFmtId="0" fontId="75" fillId="0" borderId="74" xfId="0" applyFont="1" applyFill="1" applyBorder="1" applyAlignment="1" applyProtection="1">
      <alignment horizontal="center" vertical="center" wrapText="1"/>
    </xf>
    <xf numFmtId="0" fontId="75" fillId="0" borderId="75" xfId="0" applyFont="1" applyFill="1" applyBorder="1" applyAlignment="1" applyProtection="1">
      <alignment horizontal="center"/>
    </xf>
    <xf numFmtId="0" fontId="75" fillId="0" borderId="76" xfId="0" applyFont="1" applyFill="1" applyBorder="1" applyAlignment="1" applyProtection="1">
      <alignment horizontal="center"/>
    </xf>
    <xf numFmtId="0" fontId="75" fillId="0" borderId="77" xfId="0" applyNumberFormat="1" applyFont="1" applyFill="1" applyBorder="1" applyAlignment="1" applyProtection="1">
      <alignment horizontal="center"/>
    </xf>
    <xf numFmtId="0" fontId="75" fillId="0" borderId="78" xfId="0" applyNumberFormat="1" applyFont="1" applyFill="1" applyBorder="1" applyAlignment="1" applyProtection="1">
      <alignment horizontal="center"/>
    </xf>
    <xf numFmtId="0" fontId="75" fillId="0" borderId="78" xfId="0" applyNumberFormat="1" applyFont="1" applyFill="1" applyBorder="1" applyAlignment="1" applyProtection="1">
      <alignment horizontal="center" vertical="center"/>
    </xf>
    <xf numFmtId="0" fontId="75" fillId="0" borderId="79" xfId="0" applyNumberFormat="1" applyFont="1" applyFill="1" applyBorder="1" applyAlignment="1" applyProtection="1">
      <alignment horizontal="center" vertical="center"/>
    </xf>
    <xf numFmtId="0" fontId="79" fillId="0" borderId="80" xfId="0" applyNumberFormat="1" applyFont="1" applyFill="1" applyBorder="1" applyAlignment="1" applyProtection="1">
      <alignment horizontal="center" vertical="center"/>
    </xf>
    <xf numFmtId="0" fontId="79" fillId="0" borderId="81" xfId="0" applyNumberFormat="1" applyFont="1" applyFill="1" applyBorder="1" applyAlignment="1" applyProtection="1">
      <alignment horizontal="center" vertical="center"/>
    </xf>
    <xf numFmtId="0" fontId="79" fillId="0" borderId="82" xfId="0" applyNumberFormat="1" applyFont="1" applyFill="1" applyBorder="1" applyAlignment="1" applyProtection="1">
      <alignment horizontal="center" vertical="center"/>
    </xf>
    <xf numFmtId="0" fontId="0" fillId="0" borderId="19" xfId="0" applyBorder="1" applyAlignment="1" applyProtection="1">
      <alignment horizontal="center"/>
    </xf>
    <xf numFmtId="0" fontId="0" fillId="0" borderId="10" xfId="0" applyNumberFormat="1" applyBorder="1"/>
    <xf numFmtId="0" fontId="0" fillId="0" borderId="10" xfId="0" applyNumberFormat="1" applyBorder="1" applyAlignment="1">
      <alignment horizontal="center"/>
    </xf>
    <xf numFmtId="0" fontId="14" fillId="0" borderId="19" xfId="0" applyFont="1" applyBorder="1" applyAlignment="1" applyProtection="1">
      <alignment horizontal="center" vertical="center" wrapText="1"/>
    </xf>
    <xf numFmtId="0" fontId="14" fillId="0" borderId="24" xfId="0" applyFont="1" applyBorder="1" applyAlignment="1" applyProtection="1">
      <alignment horizontal="center" vertical="center"/>
    </xf>
    <xf numFmtId="0" fontId="75" fillId="0" borderId="83" xfId="0" applyFont="1" applyFill="1" applyBorder="1" applyAlignment="1" applyProtection="1">
      <alignment horizontal="center" vertical="center" wrapText="1"/>
    </xf>
    <xf numFmtId="3" fontId="24" fillId="25" borderId="38" xfId="56" applyNumberFormat="1" applyFont="1" applyFill="1" applyBorder="1" applyAlignment="1" applyProtection="1">
      <alignment horizontal="center" wrapText="1"/>
    </xf>
    <xf numFmtId="14" fontId="24" fillId="25" borderId="38" xfId="56" applyNumberFormat="1" applyFont="1" applyFill="1" applyBorder="1" applyAlignment="1" applyProtection="1">
      <alignment horizontal="center" vertical="center" wrapText="1"/>
    </xf>
    <xf numFmtId="173" fontId="24" fillId="25" borderId="38" xfId="56" applyNumberFormat="1" applyFont="1" applyFill="1" applyBorder="1" applyAlignment="1" applyProtection="1">
      <alignment horizontal="center" wrapText="1"/>
    </xf>
    <xf numFmtId="43" fontId="1" fillId="0" borderId="38" xfId="56" applyFont="1" applyBorder="1" applyAlignment="1" applyProtection="1">
      <alignment horizontal="right" vertical="center"/>
    </xf>
    <xf numFmtId="43" fontId="1" fillId="0" borderId="38" xfId="56" applyFont="1" applyBorder="1" applyAlignment="1" applyProtection="1">
      <alignment horizontal="right" vertical="center" wrapText="1"/>
    </xf>
    <xf numFmtId="43" fontId="28" fillId="0" borderId="0" xfId="0" applyNumberFormat="1" applyFont="1" applyAlignment="1" applyProtection="1">
      <alignment horizontal="right" wrapText="1"/>
    </xf>
    <xf numFmtId="49" fontId="25" fillId="0" borderId="84" xfId="0" applyNumberFormat="1" applyFont="1" applyFill="1" applyBorder="1" applyAlignment="1" applyProtection="1">
      <alignment vertical="center" wrapText="1"/>
    </xf>
    <xf numFmtId="0" fontId="0" fillId="0" borderId="0" xfId="0" applyAlignment="1">
      <alignment vertical="center" wrapText="1"/>
    </xf>
    <xf numFmtId="43" fontId="28" fillId="0" borderId="0" xfId="0" applyNumberFormat="1" applyFont="1" applyAlignment="1">
      <alignment horizontal="right" vertical="center" wrapText="1"/>
    </xf>
    <xf numFmtId="0" fontId="33" fillId="0" borderId="0" xfId="0" applyFont="1" applyAlignment="1"/>
    <xf numFmtId="0" fontId="30" fillId="0" borderId="0" xfId="0" applyFont="1" applyFill="1" applyBorder="1" applyAlignment="1" applyProtection="1">
      <alignment horizontal="left" wrapText="1"/>
      <protection locked="0"/>
    </xf>
    <xf numFmtId="43" fontId="1" fillId="0" borderId="38" xfId="56" applyFont="1" applyBorder="1" applyAlignment="1" applyProtection="1">
      <alignment horizontal="right" wrapText="1"/>
    </xf>
    <xf numFmtId="43" fontId="28" fillId="0" borderId="38" xfId="56" applyFont="1" applyBorder="1" applyAlignment="1" applyProtection="1">
      <alignment horizontal="center"/>
    </xf>
    <xf numFmtId="43" fontId="34" fillId="0" borderId="0" xfId="0" applyNumberFormat="1" applyFont="1" applyAlignment="1" applyProtection="1">
      <alignment horizontal="center" wrapText="1"/>
    </xf>
    <xf numFmtId="43" fontId="113" fillId="0" borderId="0" xfId="0" applyNumberFormat="1" applyFont="1" applyAlignment="1" applyProtection="1">
      <alignment horizontal="right"/>
    </xf>
    <xf numFmtId="43" fontId="113" fillId="0" borderId="0" xfId="0" applyNumberFormat="1" applyFont="1" applyAlignment="1">
      <alignment horizontal="right"/>
    </xf>
    <xf numFmtId="43" fontId="34" fillId="0" borderId="0" xfId="0" applyNumberFormat="1" applyFont="1" applyAlignment="1">
      <alignment horizontal="left" vertical="center" wrapText="1"/>
    </xf>
    <xf numFmtId="43" fontId="34" fillId="0" borderId="0" xfId="0" applyNumberFormat="1" applyFont="1" applyAlignment="1" applyProtection="1">
      <alignment horizontal="left" wrapText="1"/>
    </xf>
    <xf numFmtId="0" fontId="0" fillId="0" borderId="87" xfId="0" applyBorder="1"/>
    <xf numFmtId="0" fontId="0" fillId="0" borderId="0" xfId="0" applyAlignment="1">
      <alignment horizontal="center"/>
    </xf>
    <xf numFmtId="0" fontId="0" fillId="0" borderId="21" xfId="0" applyFill="1" applyBorder="1" applyAlignment="1" applyProtection="1">
      <alignment horizontal="center"/>
    </xf>
    <xf numFmtId="0" fontId="0" fillId="20" borderId="0" xfId="0" applyFill="1"/>
    <xf numFmtId="3" fontId="2" fillId="28"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2" fillId="28" borderId="10" xfId="0" applyNumberFormat="1" applyFont="1" applyFill="1" applyBorder="1" applyAlignment="1" applyProtection="1">
      <alignment horizontal="right" vertical="center"/>
      <protection locked="0"/>
    </xf>
    <xf numFmtId="0" fontId="79" fillId="0" borderId="93" xfId="0" applyNumberFormat="1" applyFont="1" applyFill="1" applyBorder="1" applyAlignment="1" applyProtection="1">
      <alignment horizontal="center" vertical="center"/>
    </xf>
    <xf numFmtId="0" fontId="35" fillId="0" borderId="10" xfId="0" applyFont="1" applyBorder="1" applyAlignment="1" applyProtection="1">
      <alignment horizontal="center" vertical="center" wrapText="1"/>
    </xf>
    <xf numFmtId="3" fontId="118" fillId="0" borderId="41" xfId="0" applyNumberFormat="1" applyFont="1" applyFill="1" applyBorder="1" applyAlignment="1" applyProtection="1">
      <alignment horizontal="center" vertical="center" wrapText="1"/>
      <protection locked="0"/>
    </xf>
    <xf numFmtId="49" fontId="118" fillId="0" borderId="10" xfId="0" applyNumberFormat="1" applyFont="1" applyFill="1" applyBorder="1" applyAlignment="1" applyProtection="1">
      <alignment horizontal="center" vertical="center"/>
      <protection locked="0"/>
    </xf>
    <xf numFmtId="3" fontId="118" fillId="35" borderId="41" xfId="0" applyNumberFormat="1" applyFont="1" applyFill="1" applyBorder="1" applyAlignment="1" applyProtection="1">
      <alignment horizontal="center" vertical="center" wrapText="1"/>
      <protection locked="0"/>
    </xf>
    <xf numFmtId="49" fontId="118" fillId="35" borderId="41" xfId="0" applyNumberFormat="1" applyFont="1" applyFill="1" applyBorder="1" applyAlignment="1" applyProtection="1">
      <alignment horizontal="center" vertical="center" wrapText="1"/>
      <protection locked="0"/>
    </xf>
    <xf numFmtId="49" fontId="118" fillId="35" borderId="10" xfId="0" applyNumberFormat="1" applyFont="1" applyFill="1" applyBorder="1" applyAlignment="1" applyProtection="1">
      <alignment horizontal="center" vertical="center" wrapText="1"/>
      <protection locked="0"/>
    </xf>
    <xf numFmtId="49" fontId="118" fillId="35" borderId="10" xfId="0" applyNumberFormat="1" applyFont="1" applyFill="1" applyBorder="1" applyAlignment="1" applyProtection="1">
      <alignment horizontal="center" vertical="center"/>
      <protection locked="0"/>
    </xf>
    <xf numFmtId="9" fontId="121" fillId="27" borderId="10" xfId="61" applyFont="1" applyFill="1" applyBorder="1" applyAlignment="1" applyProtection="1">
      <alignment horizontal="center" vertical="center" wrapText="1"/>
    </xf>
    <xf numFmtId="14" fontId="0" fillId="0" borderId="10" xfId="56" applyNumberFormat="1" applyFont="1" applyFill="1" applyBorder="1" applyAlignment="1" applyProtection="1">
      <alignment horizontal="center"/>
      <protection locked="0"/>
    </xf>
    <xf numFmtId="15" fontId="26" fillId="0" borderId="88" xfId="0" applyNumberFormat="1" applyFont="1" applyFill="1" applyBorder="1" applyAlignment="1" applyProtection="1">
      <alignment horizontal="center"/>
    </xf>
    <xf numFmtId="0" fontId="0" fillId="0" borderId="0" xfId="0" applyFill="1" applyProtection="1"/>
    <xf numFmtId="49" fontId="103" fillId="0" borderId="67" xfId="0" applyNumberFormat="1" applyFont="1" applyFill="1" applyBorder="1" applyAlignment="1" applyProtection="1">
      <alignment wrapText="1"/>
      <protection locked="0"/>
    </xf>
    <xf numFmtId="49" fontId="103" fillId="0" borderId="67" xfId="0" applyNumberFormat="1" applyFont="1" applyFill="1" applyBorder="1" applyAlignment="1" applyProtection="1">
      <protection locked="0"/>
    </xf>
    <xf numFmtId="0" fontId="34" fillId="0" borderId="69" xfId="0" applyFont="1" applyBorder="1" applyAlignment="1" applyProtection="1"/>
    <xf numFmtId="0" fontId="34" fillId="0" borderId="0" xfId="0" applyFont="1"/>
    <xf numFmtId="0" fontId="0" fillId="0" borderId="0" xfId="0" applyAlignment="1">
      <alignment wrapText="1"/>
    </xf>
    <xf numFmtId="0" fontId="34" fillId="0" borderId="10" xfId="0" applyFont="1" applyBorder="1" applyAlignment="1">
      <alignment wrapText="1"/>
    </xf>
    <xf numFmtId="0" fontId="34" fillId="0" borderId="10" xfId="0" applyFont="1" applyBorder="1"/>
    <xf numFmtId="0" fontId="34" fillId="0" borderId="90" xfId="0" applyFont="1" applyBorder="1" applyAlignment="1">
      <alignment wrapText="1"/>
    </xf>
    <xf numFmtId="0" fontId="34" fillId="0" borderId="90" xfId="0" applyFont="1" applyBorder="1"/>
    <xf numFmtId="0" fontId="34" fillId="0" borderId="37" xfId="0" applyFont="1" applyBorder="1" applyAlignment="1">
      <alignment wrapText="1"/>
    </xf>
    <xf numFmtId="0" fontId="0" fillId="0" borderId="50" xfId="0" applyBorder="1"/>
    <xf numFmtId="0" fontId="34" fillId="0" borderId="48" xfId="0" applyFont="1" applyBorder="1" applyAlignment="1">
      <alignment wrapText="1"/>
    </xf>
    <xf numFmtId="0" fontId="34" fillId="0" borderId="49" xfId="0" applyFont="1" applyBorder="1"/>
    <xf numFmtId="0" fontId="128" fillId="0" borderId="51" xfId="0" applyFont="1" applyBorder="1"/>
    <xf numFmtId="0" fontId="128" fillId="0" borderId="57" xfId="0" applyFont="1" applyBorder="1"/>
    <xf numFmtId="0" fontId="128" fillId="0" borderId="52" xfId="0" applyFont="1" applyBorder="1"/>
    <xf numFmtId="0" fontId="0" fillId="0" borderId="231" xfId="0" applyBorder="1"/>
    <xf numFmtId="3" fontId="0" fillId="0" borderId="0" xfId="0" applyNumberFormat="1"/>
    <xf numFmtId="3" fontId="28" fillId="26" borderId="10" xfId="62" applyNumberFormat="1" applyFont="1" applyFill="1" applyBorder="1" applyAlignment="1" applyProtection="1">
      <protection locked="0"/>
    </xf>
    <xf numFmtId="3" fontId="28" fillId="26" borderId="10" xfId="62" applyNumberFormat="1" applyFont="1" applyFill="1" applyBorder="1" applyProtection="1">
      <protection locked="0"/>
    </xf>
    <xf numFmtId="0" fontId="28" fillId="0" borderId="10" xfId="0" applyFont="1" applyBorder="1"/>
    <xf numFmtId="3" fontId="28" fillId="0" borderId="10" xfId="0" applyNumberFormat="1" applyFont="1" applyBorder="1"/>
    <xf numFmtId="49" fontId="127" fillId="0" borderId="10" xfId="0" applyNumberFormat="1" applyFont="1" applyFill="1" applyBorder="1" applyAlignment="1" applyProtection="1">
      <alignment wrapText="1"/>
      <protection locked="0"/>
    </xf>
    <xf numFmtId="49" fontId="127" fillId="0" borderId="10" xfId="0" applyNumberFormat="1" applyFont="1" applyFill="1" applyBorder="1" applyAlignment="1" applyProtection="1">
      <protection locked="0"/>
    </xf>
    <xf numFmtId="0" fontId="122" fillId="0" borderId="10" xfId="0" applyFont="1" applyBorder="1" applyAlignment="1" applyProtection="1"/>
    <xf numFmtId="3" fontId="122" fillId="0" borderId="10" xfId="0" applyNumberFormat="1" applyFont="1" applyBorder="1" applyProtection="1"/>
    <xf numFmtId="0" fontId="122" fillId="0" borderId="10" xfId="0" applyFont="1" applyBorder="1"/>
    <xf numFmtId="2" fontId="0" fillId="0" borderId="0" xfId="0" applyNumberFormat="1"/>
    <xf numFmtId="3" fontId="0" fillId="0" borderId="0" xfId="0" quotePrefix="1" applyNumberFormat="1" applyProtection="1"/>
    <xf numFmtId="0" fontId="25" fillId="0" borderId="126" xfId="0" applyFont="1" applyBorder="1" applyAlignment="1" applyProtection="1">
      <alignment vertical="distributed"/>
    </xf>
    <xf numFmtId="15" fontId="27" fillId="0" borderId="232" xfId="0" applyNumberFormat="1" applyFont="1" applyFill="1" applyBorder="1" applyAlignment="1" applyProtection="1">
      <alignment horizontal="center" vertical="center" wrapText="1"/>
    </xf>
    <xf numFmtId="15" fontId="27" fillId="0" borderId="233" xfId="0" applyNumberFormat="1" applyFont="1" applyFill="1" applyBorder="1" applyAlignment="1" applyProtection="1">
      <alignment horizontal="center" vertical="center" wrapText="1"/>
    </xf>
    <xf numFmtId="0" fontId="6" fillId="0" borderId="48" xfId="0" applyFont="1" applyBorder="1" applyAlignment="1" applyProtection="1"/>
    <xf numFmtId="0" fontId="6" fillId="0" borderId="51" xfId="0" applyFont="1" applyBorder="1" applyAlignment="1" applyProtection="1"/>
    <xf numFmtId="3" fontId="6" fillId="0" borderId="49" xfId="62" applyNumberFormat="1" applyFont="1" applyFill="1" applyBorder="1" applyAlignment="1" applyProtection="1"/>
    <xf numFmtId="3" fontId="6" fillId="0" borderId="52" xfId="62" applyNumberFormat="1" applyFont="1" applyFill="1" applyBorder="1" applyAlignment="1" applyProtection="1"/>
    <xf numFmtId="0" fontId="0" fillId="0" borderId="37" xfId="0" applyFill="1" applyBorder="1" applyProtection="1"/>
    <xf numFmtId="0" fontId="0" fillId="0" borderId="63" xfId="0" applyFill="1" applyBorder="1" applyAlignment="1" applyProtection="1">
      <alignment horizontal="center"/>
    </xf>
    <xf numFmtId="0" fontId="0" fillId="0" borderId="53" xfId="0" applyFill="1" applyBorder="1" applyAlignment="1" applyProtection="1">
      <alignment horizontal="center"/>
    </xf>
    <xf numFmtId="3" fontId="2" fillId="23" borderId="10" xfId="0" applyNumberFormat="1" applyFont="1" applyFill="1" applyBorder="1" applyAlignment="1" applyProtection="1">
      <alignment vertical="center" wrapText="1"/>
      <protection locked="0"/>
    </xf>
    <xf numFmtId="49" fontId="0" fillId="35" borderId="10" xfId="0" applyNumberFormat="1" applyFill="1" applyBorder="1" applyAlignment="1" applyProtection="1">
      <alignment horizontal="left"/>
      <protection locked="0"/>
    </xf>
    <xf numFmtId="49" fontId="0" fillId="0" borderId="10" xfId="0" applyNumberFormat="1" applyFill="1" applyBorder="1" applyProtection="1">
      <protection locked="0"/>
    </xf>
    <xf numFmtId="49" fontId="126" fillId="0" borderId="10" xfId="0" applyNumberFormat="1" applyFont="1" applyFill="1" applyBorder="1" applyProtection="1">
      <protection locked="0"/>
    </xf>
    <xf numFmtId="4" fontId="28" fillId="26" borderId="59" xfId="0" applyNumberFormat="1" applyFont="1" applyFill="1" applyBorder="1" applyAlignment="1" applyProtection="1">
      <protection locked="0"/>
    </xf>
    <xf numFmtId="4" fontId="1" fillId="37" borderId="66" xfId="62" applyNumberFormat="1" applyFont="1" applyFill="1" applyBorder="1" applyAlignment="1" applyProtection="1">
      <protection locked="0"/>
    </xf>
    <xf numFmtId="4" fontId="1" fillId="37" borderId="66" xfId="62" applyNumberFormat="1" applyFont="1" applyFill="1" applyBorder="1" applyProtection="1">
      <protection locked="0"/>
    </xf>
    <xf numFmtId="15" fontId="26" fillId="0" borderId="53" xfId="0" applyNumberFormat="1" applyFont="1" applyFill="1" applyBorder="1" applyAlignment="1" applyProtection="1"/>
    <xf numFmtId="15" fontId="26" fillId="0" borderId="212" xfId="0" applyNumberFormat="1" applyFont="1" applyFill="1" applyBorder="1" applyAlignment="1" applyProtection="1">
      <alignment horizontal="center"/>
    </xf>
    <xf numFmtId="0" fontId="26" fillId="0" borderId="48" xfId="0" applyFont="1" applyFill="1" applyBorder="1" applyProtection="1"/>
    <xf numFmtId="0" fontId="26" fillId="0" borderId="51" xfId="0" applyFont="1" applyFill="1" applyBorder="1" applyProtection="1"/>
    <xf numFmtId="0" fontId="0" fillId="0" borderId="57" xfId="0" applyBorder="1"/>
    <xf numFmtId="15" fontId="27" fillId="0" borderId="105" xfId="0" applyNumberFormat="1" applyFont="1" applyFill="1" applyBorder="1" applyAlignment="1" applyProtection="1">
      <alignment horizontal="center" vertical="center" wrapText="1"/>
    </xf>
    <xf numFmtId="3" fontId="0" fillId="26" borderId="68" xfId="62" applyNumberFormat="1" applyFont="1" applyFill="1" applyBorder="1" applyProtection="1">
      <protection locked="0"/>
    </xf>
    <xf numFmtId="49" fontId="130" fillId="38" borderId="41" xfId="0" applyNumberFormat="1" applyFont="1" applyFill="1" applyBorder="1" applyAlignment="1" applyProtection="1">
      <alignment horizontal="center" vertical="center" wrapText="1"/>
    </xf>
    <xf numFmtId="3" fontId="131" fillId="0" borderId="10" xfId="0" applyNumberFormat="1" applyFont="1" applyFill="1" applyBorder="1" applyAlignment="1" applyProtection="1"/>
    <xf numFmtId="3" fontId="131" fillId="0" borderId="58" xfId="0" applyNumberFormat="1" applyFont="1" applyFill="1" applyBorder="1" applyAlignment="1" applyProtection="1"/>
    <xf numFmtId="3" fontId="131" fillId="26" borderId="59" xfId="0" applyNumberFormat="1" applyFont="1" applyFill="1" applyBorder="1" applyAlignment="1" applyProtection="1">
      <protection locked="0"/>
    </xf>
    <xf numFmtId="4" fontId="131" fillId="26" borderId="59" xfId="0" applyNumberFormat="1" applyFont="1" applyFill="1" applyBorder="1" applyAlignment="1" applyProtection="1">
      <protection locked="0"/>
    </xf>
    <xf numFmtId="43" fontId="28" fillId="26" borderId="59" xfId="62" applyFont="1" applyFill="1" applyBorder="1" applyAlignment="1" applyProtection="1">
      <protection locked="0"/>
    </xf>
    <xf numFmtId="43" fontId="28" fillId="0" borderId="10" xfId="62" applyFont="1" applyFill="1" applyBorder="1" applyAlignment="1" applyProtection="1"/>
    <xf numFmtId="43" fontId="28" fillId="0" borderId="58" xfId="62" applyFont="1" applyFill="1" applyBorder="1" applyAlignment="1" applyProtection="1"/>
    <xf numFmtId="9" fontId="118" fillId="0" borderId="41" xfId="0" applyNumberFormat="1" applyFont="1" applyFill="1" applyBorder="1" applyAlignment="1" applyProtection="1">
      <alignment horizontal="center" vertical="center" wrapText="1"/>
      <protection locked="0"/>
    </xf>
    <xf numFmtId="49" fontId="26" fillId="0" borderId="67" xfId="0" applyNumberFormat="1" applyFont="1" applyFill="1" applyBorder="1" applyAlignment="1" applyProtection="1">
      <alignment horizontal="left" wrapText="1"/>
      <protection locked="0"/>
    </xf>
    <xf numFmtId="49" fontId="26" fillId="0" borderId="67" xfId="0" applyNumberFormat="1" applyFont="1" applyFill="1" applyBorder="1" applyAlignment="1" applyProtection="1">
      <alignment vertical="top" wrapText="1"/>
      <protection locked="0"/>
    </xf>
    <xf numFmtId="3" fontId="21" fillId="26" borderId="10" xfId="62" applyNumberFormat="1" applyFont="1" applyFill="1" applyBorder="1" applyAlignment="1" applyProtection="1">
      <protection locked="0"/>
    </xf>
    <xf numFmtId="3" fontId="21" fillId="26" borderId="241" xfId="62" applyNumberFormat="1" applyFont="1" applyFill="1" applyBorder="1" applyAlignment="1" applyProtection="1">
      <protection locked="0"/>
    </xf>
    <xf numFmtId="1" fontId="0" fillId="26" borderId="10" xfId="0" applyNumberFormat="1" applyFill="1" applyBorder="1" applyAlignment="1" applyProtection="1">
      <alignment horizontal="center"/>
      <protection locked="0"/>
    </xf>
    <xf numFmtId="167" fontId="1" fillId="26" borderId="242" xfId="62" applyNumberFormat="1" applyFont="1" applyFill="1" applyBorder="1" applyAlignment="1" applyProtection="1">
      <alignment horizontal="center"/>
      <protection locked="0"/>
    </xf>
    <xf numFmtId="1" fontId="0" fillId="26" borderId="58" xfId="0" applyNumberFormat="1" applyFill="1" applyBorder="1" applyAlignment="1" applyProtection="1">
      <alignment horizontal="center"/>
      <protection locked="0"/>
    </xf>
    <xf numFmtId="43" fontId="132" fillId="0" borderId="25" xfId="59" applyFont="1" applyFill="1" applyBorder="1" applyAlignment="1" applyProtection="1">
      <alignment vertical="center"/>
    </xf>
    <xf numFmtId="43" fontId="133" fillId="0" borderId="25" xfId="59" applyFont="1" applyFill="1" applyBorder="1" applyAlignment="1" applyProtection="1">
      <alignment vertical="center"/>
    </xf>
    <xf numFmtId="0" fontId="133" fillId="0" borderId="25" xfId="0" applyFont="1" applyBorder="1" applyProtection="1"/>
    <xf numFmtId="0" fontId="133" fillId="0" borderId="25" xfId="0" applyFont="1" applyBorder="1"/>
    <xf numFmtId="0" fontId="133" fillId="22" borderId="92" xfId="0" applyFont="1" applyFill="1" applyBorder="1"/>
    <xf numFmtId="0" fontId="134" fillId="0" borderId="10" xfId="0" applyFont="1" applyFill="1" applyBorder="1" applyAlignment="1" applyProtection="1">
      <alignment horizontal="center"/>
    </xf>
    <xf numFmtId="3" fontId="134" fillId="22" borderId="10" xfId="0" applyNumberFormat="1" applyFont="1" applyFill="1" applyBorder="1" applyAlignment="1" applyProtection="1">
      <alignment vertical="center"/>
      <protection locked="0"/>
    </xf>
    <xf numFmtId="3" fontId="134" fillId="22" borderId="10" xfId="0" applyNumberFormat="1" applyFont="1" applyFill="1" applyBorder="1" applyAlignment="1" applyProtection="1">
      <alignment horizontal="right" vertical="center"/>
      <protection locked="0"/>
    </xf>
    <xf numFmtId="3" fontId="134" fillId="22" borderId="10" xfId="0" applyNumberFormat="1" applyFont="1" applyFill="1" applyBorder="1" applyAlignment="1" applyProtection="1">
      <alignment horizontal="right" vertical="center" wrapText="1"/>
      <protection locked="0"/>
    </xf>
    <xf numFmtId="3" fontId="134" fillId="22" borderId="26" xfId="0" applyNumberFormat="1" applyFont="1" applyFill="1" applyBorder="1" applyAlignment="1" applyProtection="1">
      <alignment vertical="center"/>
      <protection locked="0"/>
    </xf>
    <xf numFmtId="0" fontId="134" fillId="24" borderId="10" xfId="0" applyFont="1" applyFill="1" applyBorder="1" applyAlignment="1" applyProtection="1">
      <alignment horizontal="center"/>
    </xf>
    <xf numFmtId="3" fontId="134" fillId="28" borderId="10" xfId="0" applyNumberFormat="1" applyFont="1" applyFill="1" applyBorder="1" applyAlignment="1" applyProtection="1">
      <alignment vertical="center"/>
      <protection locked="0"/>
    </xf>
    <xf numFmtId="3" fontId="134" fillId="23" borderId="10" xfId="0" applyNumberFormat="1" applyFont="1" applyFill="1" applyBorder="1" applyAlignment="1" applyProtection="1">
      <alignment vertical="center"/>
      <protection locked="0"/>
    </xf>
    <xf numFmtId="3" fontId="134" fillId="23" borderId="10" xfId="0" applyNumberFormat="1" applyFont="1" applyFill="1" applyBorder="1" applyAlignment="1" applyProtection="1">
      <alignment horizontal="right" vertical="center"/>
      <protection locked="0"/>
    </xf>
    <xf numFmtId="3" fontId="134" fillId="23" borderId="10" xfId="0" applyNumberFormat="1" applyFont="1" applyFill="1" applyBorder="1" applyAlignment="1" applyProtection="1">
      <alignment horizontal="right" vertical="center" wrapText="1"/>
      <protection locked="0"/>
    </xf>
    <xf numFmtId="3" fontId="134" fillId="23" borderId="26" xfId="0" applyNumberFormat="1" applyFont="1" applyFill="1" applyBorder="1" applyAlignment="1" applyProtection="1">
      <alignment vertical="center"/>
      <protection locked="0"/>
    </xf>
    <xf numFmtId="1" fontId="134" fillId="22" borderId="10" xfId="0" applyNumberFormat="1" applyFont="1" applyFill="1" applyBorder="1" applyAlignment="1" applyProtection="1">
      <alignment vertical="center"/>
      <protection locked="0"/>
    </xf>
    <xf numFmtId="3" fontId="134" fillId="28" borderId="10" xfId="0" applyNumberFormat="1" applyFont="1" applyFill="1" applyBorder="1" applyAlignment="1" applyProtection="1">
      <alignment horizontal="right" vertical="center"/>
      <protection locked="0"/>
    </xf>
    <xf numFmtId="9" fontId="134" fillId="28" borderId="10" xfId="0" applyNumberFormat="1" applyFont="1" applyFill="1" applyBorder="1" applyAlignment="1" applyProtection="1">
      <alignment horizontal="right" vertical="center"/>
      <protection locked="0"/>
    </xf>
    <xf numFmtId="3" fontId="134" fillId="28" borderId="10" xfId="0" applyNumberFormat="1" applyFont="1" applyFill="1" applyBorder="1" applyAlignment="1" applyProtection="1">
      <alignment horizontal="right" vertical="center" wrapText="1"/>
      <protection locked="0"/>
    </xf>
    <xf numFmtId="3" fontId="134" fillId="28" borderId="26" xfId="0" applyNumberFormat="1" applyFont="1" applyFill="1" applyBorder="1" applyAlignment="1" applyProtection="1">
      <alignment vertical="center"/>
      <protection locked="0"/>
    </xf>
    <xf numFmtId="3" fontId="134" fillId="29" borderId="10" xfId="0" applyNumberFormat="1" applyFont="1" applyFill="1" applyBorder="1" applyAlignment="1" applyProtection="1">
      <alignment vertical="center"/>
      <protection locked="0"/>
    </xf>
    <xf numFmtId="3" fontId="134" fillId="29" borderId="10" xfId="0" applyNumberFormat="1" applyFont="1" applyFill="1" applyBorder="1" applyAlignment="1" applyProtection="1">
      <alignment horizontal="right" vertical="center"/>
      <protection locked="0"/>
    </xf>
    <xf numFmtId="3" fontId="134" fillId="29" borderId="10" xfId="0" applyNumberFormat="1" applyFont="1" applyFill="1" applyBorder="1" applyAlignment="1" applyProtection="1">
      <alignment horizontal="right" vertical="center" wrapText="1"/>
      <protection locked="0"/>
    </xf>
    <xf numFmtId="3" fontId="134" fillId="29" borderId="26" xfId="0" applyNumberFormat="1" applyFont="1" applyFill="1" applyBorder="1" applyAlignment="1" applyProtection="1">
      <alignment vertical="center"/>
      <protection locked="0"/>
    </xf>
    <xf numFmtId="3" fontId="134" fillId="28" borderId="26" xfId="0" applyNumberFormat="1" applyFont="1" applyFill="1" applyBorder="1" applyAlignment="1" applyProtection="1">
      <alignment horizontal="right" vertical="center"/>
      <protection locked="0"/>
    </xf>
    <xf numFmtId="9" fontId="134" fillId="29" borderId="10" xfId="0" applyNumberFormat="1" applyFont="1" applyFill="1" applyBorder="1" applyAlignment="1" applyProtection="1">
      <alignment horizontal="right" vertical="center"/>
      <protection locked="0"/>
    </xf>
    <xf numFmtId="3" fontId="134" fillId="0" borderId="10" xfId="0" applyNumberFormat="1" applyFont="1" applyFill="1" applyBorder="1" applyAlignment="1" applyProtection="1">
      <alignment vertical="center"/>
    </xf>
    <xf numFmtId="3" fontId="134" fillId="0" borderId="10" xfId="0" applyNumberFormat="1" applyFont="1" applyFill="1" applyBorder="1" applyAlignment="1" applyProtection="1">
      <alignment horizontal="right" vertical="center"/>
    </xf>
    <xf numFmtId="3" fontId="134" fillId="24" borderId="10" xfId="0" applyNumberFormat="1" applyFont="1" applyFill="1" applyBorder="1" applyAlignment="1" applyProtection="1">
      <alignment vertical="center"/>
    </xf>
    <xf numFmtId="3" fontId="134" fillId="24" borderId="10" xfId="0" applyNumberFormat="1" applyFont="1" applyFill="1" applyBorder="1" applyAlignment="1" applyProtection="1">
      <alignment horizontal="right" vertical="center"/>
    </xf>
    <xf numFmtId="0" fontId="134" fillId="0" borderId="87" xfId="0" applyFont="1" applyFill="1" applyBorder="1" applyAlignment="1" applyProtection="1">
      <alignment horizontal="center"/>
    </xf>
    <xf numFmtId="0" fontId="0" fillId="0" borderId="23" xfId="0" applyBorder="1" applyAlignment="1" applyProtection="1">
      <alignment horizontal="center" vertical="center"/>
    </xf>
    <xf numFmtId="0" fontId="0" fillId="25" borderId="10" xfId="0" applyNumberFormat="1" applyFill="1" applyBorder="1" applyAlignment="1" applyProtection="1">
      <alignment horizontal="center"/>
      <protection locked="0"/>
    </xf>
    <xf numFmtId="0" fontId="0" fillId="25" borderId="57" xfId="0" applyNumberFormat="1" applyFill="1" applyBorder="1" applyAlignment="1" applyProtection="1">
      <alignment horizontal="center"/>
      <protection locked="0"/>
    </xf>
    <xf numFmtId="15" fontId="122" fillId="0" borderId="0" xfId="0" applyNumberFormat="1" applyFont="1" applyAlignment="1" applyProtection="1">
      <alignment horizontal="center"/>
    </xf>
    <xf numFmtId="9" fontId="136" fillId="27" borderId="10" xfId="61" applyFont="1" applyFill="1" applyBorder="1" applyAlignment="1" applyProtection="1">
      <alignment horizontal="center" vertical="center" wrapText="1"/>
    </xf>
    <xf numFmtId="9" fontId="21" fillId="20" borderId="10" xfId="0" applyNumberFormat="1" applyFont="1" applyFill="1" applyBorder="1" applyAlignment="1" applyProtection="1">
      <alignment horizontal="left" vertical="center" wrapText="1"/>
    </xf>
    <xf numFmtId="3" fontId="21" fillId="20" borderId="10" xfId="0" applyNumberFormat="1" applyFont="1" applyFill="1" applyBorder="1" applyAlignment="1" applyProtection="1">
      <alignment vertical="center" wrapText="1"/>
    </xf>
    <xf numFmtId="9" fontId="15" fillId="20" borderId="0" xfId="61" applyFont="1" applyFill="1" applyBorder="1"/>
    <xf numFmtId="3" fontId="21" fillId="20" borderId="10" xfId="0" applyNumberFormat="1" applyFont="1" applyFill="1" applyBorder="1" applyAlignment="1" applyProtection="1">
      <alignment horizontal="left" vertical="center" wrapText="1"/>
    </xf>
    <xf numFmtId="4" fontId="0" fillId="0" borderId="70" xfId="0" applyNumberFormat="1" applyFill="1" applyBorder="1" applyProtection="1"/>
    <xf numFmtId="4" fontId="0" fillId="0" borderId="71" xfId="0" applyNumberFormat="1" applyBorder="1" applyProtection="1"/>
    <xf numFmtId="3" fontId="0" fillId="25" borderId="10" xfId="0" applyNumberFormat="1" applyFill="1" applyBorder="1" applyAlignment="1" applyProtection="1">
      <alignment horizontal="center" vertical="center" wrapText="1"/>
      <protection locked="0"/>
    </xf>
    <xf numFmtId="3" fontId="0" fillId="0" borderId="10" xfId="0" applyNumberFormat="1" applyBorder="1" applyAlignment="1" applyProtection="1">
      <alignment horizontal="center" vertical="center" wrapText="1"/>
    </xf>
    <xf numFmtId="9" fontId="2" fillId="28" borderId="10" xfId="0" applyNumberFormat="1" applyFont="1" applyFill="1" applyBorder="1" applyAlignment="1" applyProtection="1">
      <alignment horizontal="right" vertical="center"/>
      <protection locked="0"/>
    </xf>
    <xf numFmtId="43" fontId="137" fillId="0" borderId="25" xfId="59" applyFont="1" applyFill="1" applyBorder="1" applyAlignment="1" applyProtection="1"/>
    <xf numFmtId="0" fontId="0" fillId="0" borderId="37" xfId="0" applyBorder="1" applyProtection="1"/>
    <xf numFmtId="0" fontId="32" fillId="0" borderId="36" xfId="0" applyFont="1" applyBorder="1" applyAlignment="1" applyProtection="1">
      <alignment horizontal="center" vertical="center"/>
    </xf>
    <xf numFmtId="0" fontId="32" fillId="0" borderId="50" xfId="0" applyFont="1" applyBorder="1" applyAlignment="1" applyProtection="1">
      <alignment horizontal="center" vertical="center" wrapText="1"/>
    </xf>
    <xf numFmtId="0" fontId="14" fillId="0" borderId="48" xfId="0" applyFont="1" applyBorder="1" applyAlignment="1" applyProtection="1">
      <alignment horizontal="center"/>
    </xf>
    <xf numFmtId="1" fontId="0" fillId="0" borderId="49" xfId="0" applyNumberFormat="1" applyFill="1" applyBorder="1" applyAlignment="1" applyProtection="1">
      <alignment horizontal="center"/>
    </xf>
    <xf numFmtId="0" fontId="14" fillId="0" borderId="51" xfId="0" applyFont="1" applyBorder="1" applyAlignment="1" applyProtection="1">
      <alignment horizontal="center"/>
    </xf>
    <xf numFmtId="1" fontId="21" fillId="0" borderId="57" xfId="0" applyNumberFormat="1" applyFont="1" applyFill="1" applyBorder="1" applyAlignment="1" applyProtection="1">
      <alignment horizontal="center"/>
      <protection locked="0"/>
    </xf>
    <xf numFmtId="1" fontId="0" fillId="0" borderId="57" xfId="0" applyNumberFormat="1" applyFill="1" applyBorder="1" applyAlignment="1" applyProtection="1">
      <alignment horizontal="center"/>
      <protection locked="0"/>
    </xf>
    <xf numFmtId="1" fontId="0" fillId="0" borderId="52" xfId="0" applyNumberFormat="1" applyFill="1" applyBorder="1" applyAlignment="1" applyProtection="1">
      <alignment horizontal="center"/>
    </xf>
    <xf numFmtId="166" fontId="32" fillId="19" borderId="255" xfId="0" applyNumberFormat="1" applyFont="1" applyFill="1" applyBorder="1" applyAlignment="1" applyProtection="1">
      <alignment horizontal="center"/>
      <protection locked="0"/>
    </xf>
    <xf numFmtId="3" fontId="0" fillId="25"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0" fontId="0" fillId="0" borderId="51" xfId="0" applyFill="1" applyBorder="1" applyAlignment="1" applyProtection="1">
      <alignment horizontal="center" wrapText="1"/>
    </xf>
    <xf numFmtId="3" fontId="1" fillId="0" borderId="57" xfId="62" applyNumberFormat="1" applyFont="1" applyFill="1" applyBorder="1" applyAlignment="1" applyProtection="1">
      <alignment horizontal="center" vertical="center"/>
    </xf>
    <xf numFmtId="3" fontId="0" fillId="0" borderId="57" xfId="0" applyNumberFormat="1" applyBorder="1" applyAlignment="1" applyProtection="1">
      <alignment horizontal="right" wrapText="1"/>
    </xf>
    <xf numFmtId="3" fontId="0" fillId="0" borderId="52" xfId="0" applyNumberFormat="1" applyBorder="1" applyAlignment="1" applyProtection="1">
      <alignment horizontal="right" wrapText="1"/>
    </xf>
    <xf numFmtId="0" fontId="0" fillId="0" borderId="36" xfId="0" applyFill="1" applyBorder="1" applyAlignment="1" applyProtection="1">
      <alignment horizontal="center"/>
    </xf>
    <xf numFmtId="0" fontId="0" fillId="0" borderId="36" xfId="0" applyBorder="1" applyAlignment="1" applyProtection="1">
      <alignment horizontal="center"/>
    </xf>
    <xf numFmtId="0" fontId="0" fillId="0" borderId="36" xfId="0" applyBorder="1" applyAlignment="1" applyProtection="1">
      <alignment horizontal="center" wrapText="1"/>
    </xf>
    <xf numFmtId="0" fontId="0" fillId="0" borderId="50" xfId="0" applyBorder="1" applyAlignment="1" applyProtection="1">
      <alignment horizontal="center" wrapText="1"/>
    </xf>
    <xf numFmtId="0" fontId="0" fillId="0" borderId="48" xfId="0" applyBorder="1" applyAlignment="1" applyProtection="1">
      <alignment horizontal="center"/>
    </xf>
    <xf numFmtId="0" fontId="0" fillId="0" borderId="51" xfId="0" applyBorder="1" applyAlignment="1" applyProtection="1">
      <alignment horizontal="center"/>
    </xf>
    <xf numFmtId="0" fontId="0" fillId="25" borderId="52" xfId="0" applyNumberFormat="1" applyFill="1" applyBorder="1" applyAlignment="1" applyProtection="1">
      <alignment horizontal="center"/>
      <protection locked="0"/>
    </xf>
    <xf numFmtId="0" fontId="138" fillId="43" borderId="37" xfId="0" applyFont="1" applyFill="1" applyBorder="1" applyAlignment="1" applyProtection="1">
      <alignment horizontal="center"/>
    </xf>
    <xf numFmtId="0" fontId="138" fillId="0" borderId="36" xfId="0" applyFont="1" applyFill="1" applyBorder="1" applyAlignment="1" applyProtection="1">
      <alignment horizontal="center" wrapText="1"/>
    </xf>
    <xf numFmtId="0" fontId="122" fillId="0" borderId="36" xfId="0" applyFont="1" applyBorder="1" applyAlignment="1">
      <alignment horizontal="center" wrapText="1"/>
    </xf>
    <xf numFmtId="0" fontId="138" fillId="35" borderId="36" xfId="0" applyFont="1" applyFill="1" applyBorder="1" applyAlignment="1">
      <alignment horizontal="center" wrapText="1"/>
    </xf>
    <xf numFmtId="0" fontId="138" fillId="0" borderId="36" xfId="0" applyFont="1" applyBorder="1" applyAlignment="1">
      <alignment horizontal="center" wrapText="1"/>
    </xf>
    <xf numFmtId="0" fontId="122" fillId="0" borderId="36" xfId="0" applyFont="1" applyBorder="1" applyAlignment="1">
      <alignment horizontal="center" vertical="center" wrapText="1"/>
    </xf>
    <xf numFmtId="0" fontId="138" fillId="0" borderId="50" xfId="0" applyFont="1" applyFill="1" applyBorder="1" applyAlignment="1" applyProtection="1">
      <alignment horizontal="center" wrapText="1"/>
    </xf>
    <xf numFmtId="0" fontId="30" fillId="22" borderId="0" xfId="0" applyFont="1" applyFill="1" applyBorder="1" applyAlignment="1" applyProtection="1">
      <alignment horizontal="left" vertical="top" wrapText="1"/>
      <protection locked="0"/>
    </xf>
    <xf numFmtId="0" fontId="122" fillId="0" borderId="37" xfId="0" applyFont="1" applyFill="1" applyBorder="1" applyAlignment="1" applyProtection="1">
      <alignment horizontal="center" wrapText="1"/>
    </xf>
    <xf numFmtId="0" fontId="122" fillId="0" borderId="36" xfId="0" applyFont="1" applyFill="1" applyBorder="1" applyAlignment="1" applyProtection="1">
      <alignment wrapText="1"/>
    </xf>
    <xf numFmtId="0" fontId="122" fillId="0" borderId="36" xfId="0" applyFont="1" applyFill="1" applyBorder="1" applyAlignment="1" applyProtection="1">
      <alignment horizontal="center" wrapText="1"/>
    </xf>
    <xf numFmtId="0" fontId="122" fillId="0" borderId="50" xfId="0" applyFont="1" applyFill="1" applyBorder="1" applyAlignment="1" applyProtection="1">
      <alignment horizontal="center" wrapText="1"/>
    </xf>
    <xf numFmtId="0" fontId="30" fillId="22" borderId="103" xfId="0" applyFont="1" applyFill="1" applyBorder="1" applyAlignment="1" applyProtection="1">
      <alignment horizontal="left" vertical="top" wrapText="1"/>
      <protection locked="0"/>
    </xf>
    <xf numFmtId="0" fontId="30" fillId="22" borderId="103" xfId="0" applyFont="1" applyFill="1" applyBorder="1" applyAlignment="1" applyProtection="1">
      <alignment horizontal="left" vertical="top"/>
      <protection locked="0"/>
    </xf>
    <xf numFmtId="0" fontId="34" fillId="0" borderId="0" xfId="0" applyFont="1" applyFill="1" applyBorder="1" applyAlignment="1" applyProtection="1">
      <alignment horizontal="left" vertical="top" wrapText="1"/>
      <protection locked="0"/>
    </xf>
    <xf numFmtId="0" fontId="0" fillId="0" borderId="0" xfId="0" applyBorder="1" applyAlignment="1">
      <alignment horizontal="left" vertical="top"/>
    </xf>
    <xf numFmtId="0" fontId="98" fillId="22" borderId="258" xfId="0" applyFont="1" applyFill="1" applyBorder="1" applyAlignment="1" applyProtection="1">
      <alignment horizontal="right" vertical="top"/>
      <protection locked="0"/>
    </xf>
    <xf numFmtId="0" fontId="98" fillId="22" borderId="259" xfId="0" applyFont="1" applyFill="1" applyBorder="1" applyAlignment="1" applyProtection="1">
      <alignment horizontal="right" vertical="top"/>
      <protection locked="0"/>
    </xf>
    <xf numFmtId="0" fontId="30" fillId="22" borderId="104" xfId="0" applyFont="1" applyFill="1" applyBorder="1" applyAlignment="1" applyProtection="1">
      <alignment horizontal="left" vertical="top"/>
      <protection locked="0"/>
    </xf>
    <xf numFmtId="49" fontId="0" fillId="0" borderId="87" xfId="0" applyNumberFormat="1" applyFill="1" applyBorder="1" applyProtection="1">
      <protection locked="0"/>
    </xf>
    <xf numFmtId="49" fontId="0" fillId="35" borderId="90" xfId="0" applyNumberFormat="1" applyFill="1" applyBorder="1" applyAlignment="1" applyProtection="1">
      <alignment horizontal="left"/>
      <protection locked="0"/>
    </xf>
    <xf numFmtId="49" fontId="0" fillId="35" borderId="57" xfId="0" applyNumberFormat="1" applyFill="1" applyBorder="1" applyAlignment="1" applyProtection="1">
      <alignment horizontal="left"/>
      <protection locked="0"/>
    </xf>
    <xf numFmtId="49" fontId="174" fillId="0" borderId="263" xfId="0" applyNumberFormat="1" applyFont="1" applyFill="1" applyBorder="1" applyAlignment="1" applyProtection="1">
      <alignment horizontal="left" vertical="center" wrapText="1"/>
      <protection locked="0"/>
    </xf>
    <xf numFmtId="3" fontId="0" fillId="0" borderId="10" xfId="0" applyNumberFormat="1" applyFont="1" applyBorder="1" applyAlignment="1" applyProtection="1">
      <alignment vertical="center" wrapText="1"/>
    </xf>
    <xf numFmtId="0" fontId="21" fillId="35" borderId="87" xfId="0" applyNumberFormat="1" applyFont="1" applyFill="1" applyBorder="1" applyAlignment="1" applyProtection="1">
      <alignment horizontal="center" vertical="center"/>
      <protection locked="0"/>
    </xf>
    <xf numFmtId="0" fontId="21" fillId="35" borderId="87" xfId="0" applyNumberFormat="1" applyFont="1" applyFill="1" applyBorder="1" applyAlignment="1" applyProtection="1">
      <alignment horizontal="center" vertical="center"/>
    </xf>
    <xf numFmtId="3" fontId="0" fillId="35" borderId="10" xfId="0" applyNumberFormat="1" applyFill="1" applyBorder="1" applyAlignment="1" applyProtection="1">
      <alignment horizontal="center" vertical="center"/>
      <protection locked="0"/>
    </xf>
    <xf numFmtId="3" fontId="0" fillId="35" borderId="10" xfId="0" applyNumberFormat="1" applyFill="1" applyBorder="1" applyAlignment="1" applyProtection="1">
      <alignment horizontal="center" vertical="center"/>
    </xf>
    <xf numFmtId="1" fontId="21" fillId="35" borderId="10" xfId="0" applyNumberFormat="1" applyFont="1" applyFill="1" applyBorder="1" applyAlignment="1" applyProtection="1">
      <alignment horizontal="center" vertical="center"/>
    </xf>
    <xf numFmtId="0" fontId="0" fillId="35" borderId="10" xfId="0" applyNumberFormat="1" applyFill="1" applyBorder="1" applyAlignment="1" applyProtection="1">
      <alignment horizontal="center" vertical="center"/>
      <protection locked="0"/>
    </xf>
    <xf numFmtId="1" fontId="0" fillId="35" borderId="49" xfId="0" applyNumberFormat="1" applyFill="1" applyBorder="1" applyAlignment="1" applyProtection="1">
      <alignment horizontal="center" vertical="center"/>
    </xf>
    <xf numFmtId="0" fontId="21" fillId="35" borderId="10" xfId="0" applyNumberFormat="1" applyFont="1" applyFill="1" applyBorder="1" applyAlignment="1" applyProtection="1">
      <alignment horizontal="center" vertical="center"/>
      <protection locked="0"/>
    </xf>
    <xf numFmtId="0" fontId="21" fillId="35" borderId="10" xfId="0" applyNumberFormat="1" applyFont="1" applyFill="1" applyBorder="1" applyAlignment="1" applyProtection="1">
      <alignment horizontal="center" vertical="center"/>
    </xf>
    <xf numFmtId="0" fontId="21" fillId="35" borderId="90" xfId="0" applyNumberFormat="1" applyFont="1" applyFill="1" applyBorder="1" applyAlignment="1" applyProtection="1">
      <alignment horizontal="center" vertical="center"/>
      <protection locked="0"/>
    </xf>
    <xf numFmtId="3" fontId="0" fillId="35" borderId="10" xfId="0" applyNumberFormat="1" applyFill="1" applyBorder="1" applyAlignment="1" applyProtection="1">
      <alignment horizontal="center" vertical="top"/>
      <protection locked="0"/>
    </xf>
    <xf numFmtId="3" fontId="0" fillId="35" borderId="10" xfId="0" applyNumberFormat="1" applyFill="1" applyBorder="1" applyAlignment="1" applyProtection="1">
      <alignment horizontal="center"/>
      <protection locked="0"/>
    </xf>
    <xf numFmtId="0" fontId="21" fillId="35" borderId="90" xfId="0" applyNumberFormat="1" applyFont="1" applyFill="1" applyBorder="1" applyAlignment="1" applyProtection="1">
      <alignment horizontal="center" vertical="center"/>
    </xf>
    <xf numFmtId="3" fontId="0" fillId="35" borderId="90" xfId="0" applyNumberFormat="1" applyFill="1" applyBorder="1" applyAlignment="1" applyProtection="1">
      <alignment horizontal="center" vertical="top"/>
      <protection locked="0"/>
    </xf>
    <xf numFmtId="1" fontId="0" fillId="35" borderId="90" xfId="0" applyNumberFormat="1" applyFill="1" applyBorder="1" applyAlignment="1" applyProtection="1">
      <alignment horizontal="center"/>
    </xf>
    <xf numFmtId="3" fontId="0" fillId="35" borderId="90" xfId="0" applyNumberFormat="1" applyFill="1" applyBorder="1" applyAlignment="1" applyProtection="1">
      <alignment horizontal="center"/>
      <protection locked="0"/>
    </xf>
    <xf numFmtId="1" fontId="21" fillId="35" borderId="90" xfId="0" applyNumberFormat="1" applyFont="1" applyFill="1" applyBorder="1" applyAlignment="1" applyProtection="1">
      <alignment horizontal="center" vertical="center"/>
    </xf>
    <xf numFmtId="0" fontId="0" fillId="35" borderId="90" xfId="0" applyNumberFormat="1" applyFill="1" applyBorder="1" applyAlignment="1" applyProtection="1">
      <alignment horizontal="center" vertical="center"/>
      <protection locked="0"/>
    </xf>
    <xf numFmtId="1" fontId="0" fillId="35" borderId="210" xfId="0" applyNumberFormat="1" applyFill="1" applyBorder="1" applyAlignment="1" applyProtection="1">
      <alignment horizontal="center" vertical="center"/>
    </xf>
    <xf numFmtId="0" fontId="21" fillId="35" borderId="57" xfId="0" applyNumberFormat="1" applyFont="1" applyFill="1" applyBorder="1" applyAlignment="1" applyProtection="1">
      <alignment horizontal="center" vertical="center"/>
      <protection locked="0"/>
    </xf>
    <xf numFmtId="0" fontId="21" fillId="35" borderId="57" xfId="0" applyNumberFormat="1" applyFont="1" applyFill="1" applyBorder="1" applyAlignment="1" applyProtection="1">
      <alignment horizontal="center" vertical="center"/>
    </xf>
    <xf numFmtId="3" fontId="0" fillId="35" borderId="57" xfId="0" applyNumberFormat="1" applyFill="1" applyBorder="1" applyAlignment="1" applyProtection="1">
      <alignment horizontal="center" vertical="top"/>
      <protection locked="0"/>
    </xf>
    <xf numFmtId="1" fontId="0" fillId="35" borderId="57" xfId="0" applyNumberFormat="1" applyFill="1" applyBorder="1" applyAlignment="1" applyProtection="1">
      <alignment horizontal="center"/>
    </xf>
    <xf numFmtId="3" fontId="0" fillId="35" borderId="57" xfId="0" applyNumberFormat="1" applyFill="1" applyBorder="1" applyAlignment="1" applyProtection="1">
      <alignment horizontal="center"/>
      <protection locked="0"/>
    </xf>
    <xf numFmtId="1" fontId="21" fillId="35" borderId="57" xfId="0" applyNumberFormat="1" applyFont="1" applyFill="1" applyBorder="1" applyAlignment="1" applyProtection="1">
      <alignment horizontal="center" vertical="center"/>
    </xf>
    <xf numFmtId="0" fontId="0" fillId="35" borderId="57" xfId="0" applyNumberFormat="1" applyFill="1" applyBorder="1" applyAlignment="1" applyProtection="1">
      <alignment horizontal="center" vertical="center"/>
      <protection locked="0"/>
    </xf>
    <xf numFmtId="1" fontId="0" fillId="35" borderId="52" xfId="0" applyNumberFormat="1" applyFill="1" applyBorder="1" applyAlignment="1" applyProtection="1">
      <alignment horizontal="center" vertical="center"/>
    </xf>
    <xf numFmtId="49" fontId="21" fillId="36" borderId="10" xfId="0" applyNumberFormat="1" applyFont="1" applyFill="1" applyBorder="1" applyProtection="1">
      <protection locked="0"/>
    </xf>
    <xf numFmtId="0" fontId="175" fillId="36" borderId="87" xfId="0" applyFont="1" applyFill="1" applyBorder="1" applyAlignment="1">
      <alignment horizontal="center" wrapText="1"/>
    </xf>
    <xf numFmtId="0" fontId="133" fillId="36" borderId="10" xfId="0" applyNumberFormat="1" applyFont="1" applyFill="1" applyBorder="1" applyAlignment="1" applyProtection="1">
      <alignment horizontal="center" vertical="center"/>
      <protection locked="0"/>
    </xf>
    <xf numFmtId="0" fontId="21" fillId="36" borderId="10" xfId="0" applyNumberFormat="1" applyFont="1" applyFill="1" applyBorder="1" applyAlignment="1" applyProtection="1">
      <alignment horizontal="center" vertical="center"/>
    </xf>
    <xf numFmtId="3" fontId="21" fillId="36" borderId="10" xfId="0" applyNumberFormat="1" applyFont="1" applyFill="1" applyBorder="1" applyAlignment="1" applyProtection="1">
      <alignment horizontal="center" vertical="center"/>
    </xf>
    <xf numFmtId="1" fontId="21" fillId="36" borderId="10" xfId="0" applyNumberFormat="1" applyFont="1" applyFill="1" applyBorder="1" applyAlignment="1" applyProtection="1">
      <alignment horizontal="center" vertical="center"/>
    </xf>
    <xf numFmtId="0" fontId="21" fillId="36" borderId="10" xfId="0" applyNumberFormat="1" applyFont="1" applyFill="1" applyBorder="1" applyAlignment="1" applyProtection="1">
      <alignment horizontal="center" vertical="center"/>
      <protection locked="0"/>
    </xf>
    <xf numFmtId="1" fontId="21" fillId="36" borderId="49" xfId="0" applyNumberFormat="1" applyFont="1" applyFill="1" applyBorder="1" applyAlignment="1" applyProtection="1">
      <alignment horizontal="center" vertical="center"/>
    </xf>
    <xf numFmtId="49" fontId="21" fillId="36" borderId="10" xfId="0" applyNumberFormat="1" applyFont="1" applyFill="1" applyBorder="1" applyAlignment="1" applyProtection="1">
      <alignment horizontal="left"/>
      <protection locked="0"/>
    </xf>
    <xf numFmtId="0" fontId="129" fillId="36" borderId="87" xfId="0" applyFont="1" applyFill="1" applyBorder="1" applyAlignment="1">
      <alignment horizontal="center" wrapText="1"/>
    </xf>
    <xf numFmtId="0" fontId="133" fillId="36" borderId="10" xfId="0" applyFont="1" applyFill="1" applyBorder="1" applyAlignment="1">
      <alignment horizontal="center" vertical="center"/>
    </xf>
    <xf numFmtId="3" fontId="133" fillId="36" borderId="10" xfId="0" applyNumberFormat="1" applyFont="1" applyFill="1" applyBorder="1" applyAlignment="1">
      <alignment horizontal="center" vertical="center"/>
    </xf>
    <xf numFmtId="0" fontId="94" fillId="0" borderId="0" xfId="0" applyFont="1" applyProtection="1"/>
    <xf numFmtId="43" fontId="1" fillId="0" borderId="14" xfId="59" applyFont="1" applyFill="1" applyBorder="1" applyAlignment="1" applyProtection="1">
      <alignment vertical="center"/>
    </xf>
    <xf numFmtId="43" fontId="80" fillId="0" borderId="14" xfId="59" applyFont="1" applyFill="1" applyBorder="1" applyAlignment="1" applyProtection="1">
      <alignment horizontal="left" vertical="center"/>
    </xf>
    <xf numFmtId="43" fontId="21" fillId="0" borderId="14" xfId="59" applyFont="1" applyFill="1" applyBorder="1" applyAlignment="1" applyProtection="1">
      <alignment vertical="center"/>
    </xf>
    <xf numFmtId="43" fontId="21" fillId="26" borderId="89" xfId="59" applyFont="1" applyFill="1" applyBorder="1" applyAlignment="1" applyProtection="1">
      <alignment vertical="center"/>
    </xf>
    <xf numFmtId="43" fontId="1" fillId="0" borderId="0" xfId="59" applyFont="1" applyFill="1" applyBorder="1" applyAlignment="1" applyProtection="1">
      <alignment vertical="center"/>
    </xf>
    <xf numFmtId="0" fontId="25" fillId="0" borderId="85" xfId="0" applyNumberFormat="1" applyFont="1" applyFill="1" applyBorder="1" applyAlignment="1" applyProtection="1">
      <alignment horizontal="center" vertical="center" wrapText="1"/>
    </xf>
    <xf numFmtId="0" fontId="25" fillId="0" borderId="86"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43" fontId="80" fillId="0" borderId="18" xfId="59" applyFont="1" applyFill="1" applyBorder="1" applyAlignment="1" applyProtection="1">
      <alignment vertical="center"/>
    </xf>
    <xf numFmtId="43" fontId="21" fillId="0" borderId="18" xfId="59" applyFont="1" applyFill="1" applyBorder="1" applyAlignment="1" applyProtection="1">
      <alignment vertical="center"/>
    </xf>
    <xf numFmtId="43" fontId="21" fillId="0" borderId="18" xfId="59" applyFont="1" applyFill="1" applyBorder="1" applyAlignment="1" applyProtection="1">
      <alignment horizontal="center" vertical="center"/>
    </xf>
    <xf numFmtId="43" fontId="21" fillId="25" borderId="91" xfId="59" applyFont="1" applyFill="1" applyBorder="1" applyAlignment="1" applyProtection="1">
      <alignment horizontal="center" vertical="center"/>
    </xf>
    <xf numFmtId="0" fontId="1" fillId="0" borderId="0" xfId="0" applyFont="1" applyFill="1" applyBorder="1" applyAlignment="1" applyProtection="1">
      <alignment horizontal="center"/>
    </xf>
    <xf numFmtId="0" fontId="38" fillId="0" borderId="0" xfId="0" applyFont="1" applyFill="1" applyBorder="1" applyAlignment="1" applyProtection="1">
      <alignment horizontal="center" vertical="center"/>
    </xf>
    <xf numFmtId="15" fontId="1" fillId="0" borderId="0" xfId="0" applyNumberFormat="1" applyFont="1" applyFill="1" applyBorder="1" applyAlignment="1" applyProtection="1">
      <alignment horizontal="left"/>
    </xf>
    <xf numFmtId="9" fontId="1" fillId="0" borderId="0" xfId="61" applyFont="1" applyBorder="1" applyProtection="1"/>
    <xf numFmtId="43" fontId="1" fillId="0" borderId="0" xfId="62" applyFont="1" applyFill="1" applyBorder="1" applyProtection="1"/>
    <xf numFmtId="43" fontId="80" fillId="0" borderId="25" xfId="59" applyFont="1" applyFill="1" applyBorder="1" applyAlignment="1" applyProtection="1">
      <alignment vertical="center"/>
    </xf>
    <xf numFmtId="43" fontId="21" fillId="0" borderId="25" xfId="59" applyFont="1" applyFill="1" applyBorder="1" applyAlignment="1" applyProtection="1">
      <alignment vertical="center"/>
    </xf>
    <xf numFmtId="0" fontId="21" fillId="0" borderId="25" xfId="0" applyFont="1" applyBorder="1" applyProtection="1"/>
    <xf numFmtId="0" fontId="21" fillId="0" borderId="25" xfId="0" applyFont="1" applyBorder="1"/>
    <xf numFmtId="0" fontId="21" fillId="22" borderId="92" xfId="0" applyFont="1" applyFill="1" applyBorder="1"/>
    <xf numFmtId="0" fontId="2" fillId="0" borderId="10" xfId="0" applyFont="1" applyFill="1" applyBorder="1" applyAlignment="1" applyProtection="1">
      <alignment horizontal="center"/>
    </xf>
    <xf numFmtId="0" fontId="2" fillId="24" borderId="10" xfId="0" applyFont="1" applyFill="1" applyBorder="1" applyAlignment="1" applyProtection="1">
      <alignment horizontal="center"/>
    </xf>
    <xf numFmtId="3" fontId="2" fillId="0" borderId="10" xfId="0" applyNumberFormat="1" applyFont="1" applyFill="1" applyBorder="1" applyAlignment="1" applyProtection="1">
      <alignment vertical="center"/>
    </xf>
    <xf numFmtId="0" fontId="2" fillId="0" borderId="90" xfId="0" applyFont="1" applyFill="1" applyBorder="1" applyAlignment="1" applyProtection="1">
      <alignment horizontal="center"/>
    </xf>
    <xf numFmtId="3" fontId="2" fillId="24" borderId="10" xfId="0" applyNumberFormat="1" applyFont="1" applyFill="1" applyBorder="1" applyAlignment="1" applyProtection="1">
      <alignment vertical="center"/>
    </xf>
    <xf numFmtId="0" fontId="2" fillId="0" borderId="87" xfId="0" applyFont="1" applyFill="1" applyBorder="1" applyAlignment="1" applyProtection="1">
      <alignment horizontal="center"/>
    </xf>
    <xf numFmtId="9" fontId="2" fillId="0" borderId="10" xfId="0" applyNumberFormat="1" applyFont="1" applyFill="1" applyBorder="1" applyAlignment="1" applyProtection="1">
      <alignment vertical="center"/>
    </xf>
    <xf numFmtId="0" fontId="2" fillId="0" borderId="54" xfId="0" applyFont="1" applyFill="1" applyBorder="1" applyAlignment="1" applyProtection="1">
      <alignment horizontal="center"/>
    </xf>
    <xf numFmtId="3" fontId="2" fillId="0" borderId="54" xfId="0" applyNumberFormat="1" applyFont="1" applyFill="1" applyBorder="1" applyAlignment="1" applyProtection="1">
      <alignment vertical="center"/>
    </xf>
    <xf numFmtId="9" fontId="2" fillId="0" borderId="54" xfId="0" applyNumberFormat="1" applyFont="1" applyFill="1" applyBorder="1" applyAlignment="1" applyProtection="1">
      <alignment vertical="center"/>
    </xf>
    <xf numFmtId="0" fontId="81" fillId="0" borderId="0" xfId="0" applyFont="1" applyFill="1" applyBorder="1" applyProtection="1"/>
    <xf numFmtId="43" fontId="34" fillId="0" borderId="0" xfId="50" applyFont="1" applyFill="1" applyBorder="1" applyProtection="1"/>
    <xf numFmtId="0" fontId="100" fillId="0" borderId="0" xfId="0" applyFont="1" applyAlignment="1"/>
    <xf numFmtId="0" fontId="1" fillId="0" borderId="10" xfId="0" applyFont="1" applyBorder="1"/>
    <xf numFmtId="175" fontId="134" fillId="29" borderId="10" xfId="0" applyNumberFormat="1" applyFont="1" applyFill="1" applyBorder="1" applyAlignment="1" applyProtection="1">
      <alignment horizontal="right" vertical="center" wrapText="1"/>
      <protection locked="0"/>
    </xf>
    <xf numFmtId="175" fontId="134" fillId="0" borderId="10" xfId="0" applyNumberFormat="1" applyFont="1" applyFill="1" applyBorder="1" applyAlignment="1" applyProtection="1">
      <alignment vertical="center"/>
    </xf>
    <xf numFmtId="0" fontId="0" fillId="0" borderId="0" xfId="0" applyAlignment="1"/>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86" fillId="0" borderId="42" xfId="0" applyFont="1" applyBorder="1" applyAlignment="1">
      <alignment vertical="center" wrapText="1"/>
    </xf>
    <xf numFmtId="0" fontId="0" fillId="0" borderId="0" xfId="0" applyBorder="1" applyAlignment="1">
      <alignment horizontal="center"/>
    </xf>
    <xf numFmtId="0" fontId="0" fillId="0" borderId="0" xfId="0" applyAlignment="1" applyProtection="1"/>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0" fontId="94" fillId="0" borderId="0" xfId="0" applyFont="1" applyAlignment="1" applyProtection="1">
      <alignment horizontal="right"/>
    </xf>
    <xf numFmtId="15" fontId="0" fillId="0" borderId="10" xfId="56" applyNumberFormat="1" applyFont="1" applyFill="1" applyBorder="1" applyAlignment="1" applyProtection="1">
      <alignment horizontal="center"/>
      <protection locked="0"/>
    </xf>
    <xf numFmtId="0" fontId="94" fillId="0" borderId="47" xfId="0" applyFont="1" applyBorder="1" applyAlignment="1" applyProtection="1">
      <alignment horizontal="right"/>
    </xf>
    <xf numFmtId="49" fontId="0" fillId="0" borderId="42" xfId="0" applyNumberFormat="1" applyBorder="1" applyAlignment="1" applyProtection="1">
      <alignment horizontal="center"/>
      <protection locked="0"/>
    </xf>
    <xf numFmtId="0" fontId="94" fillId="0" borderId="0" xfId="0" applyFont="1" applyBorder="1" applyAlignment="1" applyProtection="1">
      <alignment horizontal="right"/>
    </xf>
    <xf numFmtId="49" fontId="0" fillId="0" borderId="10" xfId="0" applyNumberFormat="1" applyBorder="1" applyAlignment="1" applyProtection="1">
      <alignment horizontal="center"/>
      <protection locked="0"/>
    </xf>
    <xf numFmtId="43" fontId="24" fillId="25" borderId="38" xfId="56" applyFont="1" applyFill="1" applyBorder="1" applyAlignment="1" applyProtection="1">
      <alignment horizontal="center"/>
    </xf>
    <xf numFmtId="43" fontId="1" fillId="0" borderId="38" xfId="56" applyFont="1" applyBorder="1" applyAlignment="1" applyProtection="1">
      <alignment horizontal="right"/>
    </xf>
    <xf numFmtId="43" fontId="20" fillId="0" borderId="0" xfId="49" applyFont="1" applyFill="1" applyAlignment="1" applyProtection="1">
      <alignment horizontal="right" vertical="center"/>
    </xf>
    <xf numFmtId="15" fontId="24" fillId="25" borderId="38" xfId="56" applyNumberFormat="1" applyFont="1" applyFill="1" applyBorder="1" applyAlignment="1" applyProtection="1">
      <alignment horizontal="center"/>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0" fontId="83" fillId="0" borderId="0" xfId="0" applyFont="1" applyAlignment="1">
      <alignment horizontal="left" wrapText="1"/>
    </xf>
    <xf numFmtId="43" fontId="28" fillId="0" borderId="0" xfId="0" applyNumberFormat="1" applyFont="1" applyAlignment="1">
      <alignment horizontal="right"/>
    </xf>
    <xf numFmtId="43" fontId="35" fillId="0" borderId="0" xfId="0" applyNumberFormat="1" applyFont="1" applyAlignment="1">
      <alignment horizontal="left" vertical="center" wrapText="1"/>
    </xf>
    <xf numFmtId="0" fontId="14" fillId="0" borderId="0" xfId="0" applyFont="1" applyBorder="1" applyAlignment="1">
      <alignment horizontal="center"/>
    </xf>
    <xf numFmtId="43" fontId="100" fillId="0" borderId="0" xfId="0" applyNumberFormat="1" applyFont="1" applyAlignment="1" applyProtection="1">
      <alignment horizontal="center"/>
    </xf>
    <xf numFmtId="0" fontId="0" fillId="0" borderId="0" xfId="0" applyAlignment="1">
      <alignment horizontal="center"/>
    </xf>
    <xf numFmtId="0" fontId="34" fillId="0" borderId="10" xfId="0" applyFont="1" applyBorder="1" applyAlignment="1" applyProtection="1">
      <alignment horizontal="center" vertical="center" wrapText="1"/>
    </xf>
    <xf numFmtId="0" fontId="75" fillId="21" borderId="13" xfId="52" applyNumberFormat="1" applyFont="1" applyFill="1" applyBorder="1" applyAlignment="1">
      <alignment horizontal="center" vertical="center" wrapText="1"/>
    </xf>
    <xf numFmtId="0" fontId="33" fillId="0" borderId="0" xfId="0" applyFont="1" applyAlignment="1">
      <alignment horizontal="center"/>
    </xf>
    <xf numFmtId="1" fontId="176" fillId="25" borderId="10" xfId="0" applyNumberFormat="1" applyFont="1" applyFill="1" applyBorder="1" applyAlignment="1" applyProtection="1">
      <alignment horizontal="center"/>
      <protection locked="0"/>
    </xf>
    <xf numFmtId="0" fontId="176" fillId="25" borderId="45" xfId="0" applyNumberFormat="1" applyFont="1" applyFill="1" applyBorder="1" applyAlignment="1" applyProtection="1">
      <alignment horizontal="center"/>
      <protection locked="0"/>
    </xf>
    <xf numFmtId="0" fontId="21" fillId="25" borderId="57" xfId="0" applyNumberFormat="1" applyFont="1" applyFill="1" applyBorder="1" applyAlignment="1" applyProtection="1">
      <alignment horizontal="center"/>
      <protection locked="0"/>
    </xf>
    <xf numFmtId="1" fontId="176" fillId="36" borderId="10" xfId="0" applyNumberFormat="1" applyFont="1" applyFill="1" applyBorder="1" applyAlignment="1" applyProtection="1">
      <alignment horizontal="center"/>
      <protection locked="0"/>
    </xf>
    <xf numFmtId="0" fontId="176" fillId="36" borderId="10" xfId="0" applyNumberFormat="1" applyFont="1" applyFill="1" applyBorder="1" applyAlignment="1" applyProtection="1">
      <alignment horizontal="center"/>
    </xf>
    <xf numFmtId="0" fontId="176" fillId="36" borderId="10" xfId="0" applyNumberFormat="1" applyFont="1" applyFill="1" applyBorder="1" applyAlignment="1" applyProtection="1">
      <alignment horizontal="center"/>
      <protection locked="0"/>
    </xf>
    <xf numFmtId="1" fontId="28" fillId="54" borderId="10" xfId="0" applyNumberFormat="1" applyFont="1" applyFill="1" applyBorder="1"/>
    <xf numFmtId="1" fontId="28" fillId="54" borderId="49" xfId="0" applyNumberFormat="1" applyFont="1" applyFill="1" applyBorder="1"/>
    <xf numFmtId="0" fontId="28" fillId="54" borderId="10" xfId="0" applyFont="1" applyFill="1" applyBorder="1"/>
    <xf numFmtId="0" fontId="178" fillId="54" borderId="10" xfId="0" applyFont="1" applyFill="1" applyBorder="1"/>
    <xf numFmtId="1" fontId="28" fillId="55" borderId="10" xfId="0" applyNumberFormat="1" applyFont="1" applyFill="1" applyBorder="1"/>
    <xf numFmtId="1" fontId="28" fillId="55" borderId="49" xfId="0" applyNumberFormat="1" applyFont="1" applyFill="1" applyBorder="1"/>
    <xf numFmtId="1" fontId="28" fillId="55" borderId="90" xfId="0" applyNumberFormat="1" applyFont="1" applyFill="1" applyBorder="1"/>
    <xf numFmtId="1" fontId="28" fillId="55" borderId="210" xfId="0" applyNumberFormat="1" applyFont="1" applyFill="1" applyBorder="1"/>
    <xf numFmtId="0" fontId="28" fillId="55" borderId="90" xfId="0" applyFont="1" applyFill="1" applyBorder="1"/>
    <xf numFmtId="0" fontId="28" fillId="55" borderId="57" xfId="0" applyFont="1" applyFill="1" applyBorder="1"/>
    <xf numFmtId="1" fontId="28" fillId="55" borderId="57" xfId="0" applyNumberFormat="1" applyFont="1" applyFill="1" applyBorder="1"/>
    <xf numFmtId="1" fontId="28" fillId="55" borderId="52" xfId="0" applyNumberFormat="1" applyFont="1" applyFill="1" applyBorder="1"/>
    <xf numFmtId="43" fontId="33" fillId="0" borderId="0" xfId="0" applyNumberFormat="1" applyFont="1" applyAlignment="1">
      <alignment horizontal="center"/>
    </xf>
    <xf numFmtId="0" fontId="0" fillId="0" borderId="0" xfId="0" applyAlignment="1"/>
    <xf numFmtId="0" fontId="110" fillId="0" borderId="0" xfId="0" applyFont="1" applyAlignment="1">
      <alignment horizontal="center"/>
    </xf>
    <xf numFmtId="0" fontId="111" fillId="0" borderId="0" xfId="0" applyFont="1" applyAlignment="1">
      <alignment horizontal="center"/>
    </xf>
    <xf numFmtId="43" fontId="116" fillId="30" borderId="0" xfId="47" applyFont="1" applyFill="1" applyAlignment="1">
      <alignment horizontal="center" vertical="center"/>
    </xf>
    <xf numFmtId="0" fontId="62" fillId="0" borderId="41" xfId="0" applyFont="1" applyBorder="1" applyAlignment="1" applyProtection="1">
      <alignment horizontal="justify" vertical="center" wrapText="1"/>
      <protection locked="0"/>
    </xf>
    <xf numFmtId="0" fontId="0" fillId="0" borderId="42" xfId="0" applyFont="1" applyBorder="1" applyAlignment="1">
      <alignment horizontal="justify" vertical="center" wrapText="1"/>
    </xf>
    <xf numFmtId="0" fontId="0" fillId="0" borderId="43" xfId="0" applyFont="1" applyBorder="1" applyAlignment="1">
      <alignment horizontal="justify" vertical="center" wrapText="1"/>
    </xf>
    <xf numFmtId="0" fontId="62" fillId="0" borderId="41" xfId="0" applyFont="1" applyBorder="1" applyAlignment="1" applyProtection="1">
      <alignment horizontal="left"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2" fillId="0" borderId="41" xfId="0" applyFont="1" applyBorder="1" applyAlignment="1" applyProtection="1">
      <alignment horizontal="justify" vertical="top" wrapText="1"/>
      <protection locked="0"/>
    </xf>
    <xf numFmtId="0" fontId="0" fillId="0" borderId="42" xfId="0" applyFont="1" applyBorder="1" applyAlignment="1">
      <alignment horizontal="justify" vertical="top" wrapText="1"/>
    </xf>
    <xf numFmtId="0" fontId="0" fillId="0" borderId="43" xfId="0" applyFont="1" applyBorder="1" applyAlignment="1">
      <alignment horizontal="justify" vertical="top" wrapText="1"/>
    </xf>
    <xf numFmtId="0" fontId="87" fillId="35" borderId="41" xfId="0" applyFont="1" applyFill="1" applyBorder="1" applyAlignment="1" applyProtection="1">
      <alignment vertical="center" wrapText="1"/>
      <protection locked="0"/>
    </xf>
    <xf numFmtId="0" fontId="87" fillId="35" borderId="42" xfId="0" applyFont="1" applyFill="1" applyBorder="1" applyAlignment="1" applyProtection="1">
      <alignment vertical="center" wrapText="1"/>
      <protection locked="0"/>
    </xf>
    <xf numFmtId="0" fontId="87" fillId="35" borderId="43" xfId="0" applyFont="1" applyFill="1" applyBorder="1" applyAlignment="1" applyProtection="1">
      <alignment vertical="center" wrapText="1"/>
      <protection locked="0"/>
    </xf>
    <xf numFmtId="0" fontId="87" fillId="0" borderId="42" xfId="0" applyFont="1" applyBorder="1" applyAlignment="1" applyProtection="1">
      <alignment horizontal="justify" vertical="center" wrapText="1"/>
      <protection locked="0"/>
    </xf>
    <xf numFmtId="0" fontId="87" fillId="0" borderId="43" xfId="0" applyFont="1" applyBorder="1" applyAlignment="1" applyProtection="1">
      <alignment horizontal="justify"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24" fillId="22" borderId="41" xfId="0" applyFont="1" applyFill="1" applyBorder="1" applyAlignment="1">
      <alignment horizontal="center"/>
    </xf>
    <xf numFmtId="0" fontId="24" fillId="22" borderId="42" xfId="0" applyFont="1" applyFill="1" applyBorder="1" applyAlignment="1">
      <alignment horizontal="center"/>
    </xf>
    <xf numFmtId="0" fontId="24" fillId="22" borderId="43" xfId="0" applyFont="1" applyFill="1" applyBorder="1" applyAlignment="1">
      <alignment horizontal="center"/>
    </xf>
    <xf numFmtId="0" fontId="24" fillId="22" borderId="41" xfId="0" applyFont="1" applyFill="1" applyBorder="1" applyAlignment="1">
      <alignment horizontal="center" wrapText="1"/>
    </xf>
    <xf numFmtId="0" fontId="24" fillId="22" borderId="42" xfId="0" applyFont="1" applyFill="1" applyBorder="1" applyAlignment="1">
      <alignment horizontal="center" wrapText="1"/>
    </xf>
    <xf numFmtId="0" fontId="24" fillId="22" borderId="43" xfId="0" applyFont="1" applyFill="1" applyBorder="1" applyAlignment="1">
      <alignment horizontal="center" wrapText="1"/>
    </xf>
    <xf numFmtId="0" fontId="92" fillId="0" borderId="41" xfId="0" applyFont="1" applyFill="1" applyBorder="1" applyAlignment="1" applyProtection="1">
      <alignment vertical="center" wrapText="1"/>
      <protection locked="0"/>
    </xf>
    <xf numFmtId="0" fontId="0" fillId="0" borderId="42" xfId="0" applyBorder="1" applyAlignment="1">
      <alignment vertical="center" wrapText="1"/>
    </xf>
    <xf numFmtId="0" fontId="0" fillId="0" borderId="43" xfId="0" applyBorder="1" applyAlignment="1">
      <alignment vertical="center" wrapText="1"/>
    </xf>
    <xf numFmtId="0" fontId="0" fillId="0" borderId="42" xfId="0" applyBorder="1" applyAlignment="1">
      <alignment horizontal="justify" vertical="center" wrapText="1"/>
    </xf>
    <xf numFmtId="0" fontId="0" fillId="0" borderId="43" xfId="0" applyBorder="1" applyAlignment="1">
      <alignment horizontal="justify"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92" fillId="0" borderId="42" xfId="0" applyFont="1" applyFill="1" applyBorder="1" applyAlignment="1" applyProtection="1">
      <alignment vertical="center" wrapText="1"/>
      <protection locked="0"/>
    </xf>
    <xf numFmtId="0" fontId="92" fillId="0" borderId="43" xfId="0" applyFont="1" applyFill="1" applyBorder="1" applyAlignment="1" applyProtection="1">
      <alignment vertical="center" wrapText="1"/>
      <protection locked="0"/>
    </xf>
    <xf numFmtId="0" fontId="62" fillId="0" borderId="41" xfId="0" applyNumberFormat="1" applyFont="1" applyBorder="1" applyAlignment="1" applyProtection="1">
      <alignment horizontal="left" vertical="center" wrapText="1"/>
      <protection locked="0"/>
    </xf>
    <xf numFmtId="0" fontId="62" fillId="0" borderId="42" xfId="0" applyNumberFormat="1" applyFont="1" applyBorder="1" applyAlignment="1" applyProtection="1">
      <alignment horizontal="left" vertical="center" wrapText="1"/>
      <protection locked="0"/>
    </xf>
    <xf numFmtId="0" fontId="62" fillId="0" borderId="43" xfId="0" applyNumberFormat="1" applyFont="1" applyBorder="1" applyAlignment="1" applyProtection="1">
      <alignment horizontal="left" vertical="center" wrapText="1"/>
      <protection locked="0"/>
    </xf>
    <xf numFmtId="0" fontId="62" fillId="0" borderId="42" xfId="0" applyFont="1" applyBorder="1" applyAlignment="1" applyProtection="1">
      <alignment horizontal="justify" vertical="center" wrapText="1"/>
      <protection locked="0"/>
    </xf>
    <xf numFmtId="0" fontId="62" fillId="0" borderId="43" xfId="0" applyFont="1" applyBorder="1" applyAlignment="1" applyProtection="1">
      <alignment horizontal="justify" vertical="center" wrapText="1"/>
      <protection locked="0"/>
    </xf>
    <xf numFmtId="0" fontId="62" fillId="0" borderId="41" xfId="0" applyFont="1" applyBorder="1" applyAlignment="1" applyProtection="1">
      <alignment horizontal="center" vertical="center" wrapText="1"/>
      <protection locked="0"/>
    </xf>
    <xf numFmtId="0" fontId="62" fillId="0" borderId="42" xfId="0" applyFont="1" applyBorder="1" applyAlignment="1" applyProtection="1">
      <alignment horizontal="center" vertical="center" wrapText="1"/>
      <protection locked="0"/>
    </xf>
    <xf numFmtId="0" fontId="62" fillId="0" borderId="43" xfId="0" applyFont="1" applyBorder="1" applyAlignment="1" applyProtection="1">
      <alignment horizontal="center" vertical="center" wrapText="1"/>
      <protection locked="0"/>
    </xf>
    <xf numFmtId="0" fontId="62" fillId="0" borderId="41" xfId="0" applyFont="1" applyFill="1" applyBorder="1" applyAlignment="1" applyProtection="1">
      <alignment horizontal="left" vertical="center" wrapText="1"/>
      <protection locked="0"/>
    </xf>
    <xf numFmtId="0" fontId="62" fillId="0" borderId="42" xfId="0" applyFont="1" applyFill="1" applyBorder="1" applyAlignment="1" applyProtection="1">
      <alignment horizontal="left" vertical="center" wrapText="1"/>
      <protection locked="0"/>
    </xf>
    <xf numFmtId="0" fontId="62" fillId="0" borderId="43" xfId="0" applyFont="1" applyFill="1" applyBorder="1" applyAlignment="1" applyProtection="1">
      <alignment horizontal="left" vertical="center" wrapText="1"/>
      <protection locked="0"/>
    </xf>
    <xf numFmtId="0" fontId="87" fillId="0" borderId="41" xfId="0" applyFont="1" applyFill="1" applyBorder="1" applyAlignment="1" applyProtection="1">
      <alignment horizontal="left" vertical="center" wrapText="1"/>
      <protection locked="0"/>
    </xf>
    <xf numFmtId="0" fontId="87" fillId="0" borderId="42" xfId="0" applyFont="1" applyFill="1" applyBorder="1" applyAlignment="1" applyProtection="1">
      <alignment horizontal="left" vertical="center" wrapText="1"/>
      <protection locked="0"/>
    </xf>
    <xf numFmtId="0" fontId="87" fillId="0" borderId="43" xfId="0" applyFont="1" applyFill="1" applyBorder="1" applyAlignment="1" applyProtection="1">
      <alignment horizontal="left" vertical="center" wrapText="1"/>
      <protection locked="0"/>
    </xf>
    <xf numFmtId="0" fontId="62" fillId="0" borderId="41" xfId="0" applyFont="1" applyBorder="1" applyAlignment="1">
      <alignment horizontal="left" vertical="center" wrapText="1"/>
    </xf>
    <xf numFmtId="0" fontId="62" fillId="0" borderId="42" xfId="0" applyFont="1" applyBorder="1" applyAlignment="1">
      <alignment horizontal="left" vertical="center" wrapText="1"/>
    </xf>
    <xf numFmtId="0" fontId="62" fillId="0" borderId="43" xfId="0" applyFont="1" applyBorder="1" applyAlignment="1">
      <alignment horizontal="left" vertical="center" wrapText="1"/>
    </xf>
    <xf numFmtId="43" fontId="86" fillId="0" borderId="41" xfId="0" applyNumberFormat="1" applyFont="1" applyBorder="1" applyAlignment="1">
      <alignment vertical="center" wrapText="1"/>
    </xf>
    <xf numFmtId="0" fontId="86" fillId="0" borderId="42" xfId="0" applyFont="1" applyBorder="1" applyAlignment="1">
      <alignment vertical="center" wrapText="1"/>
    </xf>
    <xf numFmtId="0" fontId="86" fillId="0" borderId="43" xfId="0" applyFont="1" applyBorder="1" applyAlignment="1">
      <alignment vertical="center" wrapText="1"/>
    </xf>
    <xf numFmtId="0" fontId="87" fillId="0" borderId="41" xfId="0" applyFont="1" applyBorder="1" applyAlignment="1">
      <alignment horizontal="left" vertical="center" wrapText="1"/>
    </xf>
    <xf numFmtId="0" fontId="87" fillId="0" borderId="42" xfId="0" applyFont="1" applyBorder="1" applyAlignment="1">
      <alignment horizontal="left" vertical="center" wrapText="1"/>
    </xf>
    <xf numFmtId="0" fontId="87" fillId="0" borderId="43" xfId="0" applyFont="1" applyBorder="1" applyAlignment="1">
      <alignment horizontal="left" vertical="center" wrapText="1"/>
    </xf>
    <xf numFmtId="0" fontId="106" fillId="0" borderId="41" xfId="0" applyFont="1" applyBorder="1" applyAlignment="1">
      <alignment horizontal="left" vertical="center" wrapText="1"/>
    </xf>
    <xf numFmtId="0" fontId="106" fillId="0" borderId="42" xfId="0" applyFont="1" applyBorder="1" applyAlignment="1">
      <alignment horizontal="left" vertical="center" wrapText="1"/>
    </xf>
    <xf numFmtId="0" fontId="106" fillId="0" borderId="43" xfId="0" applyFont="1" applyBorder="1" applyAlignment="1">
      <alignment horizontal="left" vertical="center" wrapText="1"/>
    </xf>
    <xf numFmtId="0" fontId="87" fillId="0" borderId="88" xfId="0" applyFont="1" applyBorder="1" applyAlignment="1">
      <alignment horizontal="justify" vertical="center" wrapText="1"/>
    </xf>
    <xf numFmtId="0" fontId="87" fillId="0" borderId="97" xfId="0" applyFont="1" applyBorder="1" applyAlignment="1">
      <alignment horizontal="justify" vertical="center" wrapText="1"/>
    </xf>
    <xf numFmtId="0" fontId="87" fillId="0" borderId="98" xfId="0" applyFont="1" applyBorder="1" applyAlignment="1">
      <alignment horizontal="justify" vertical="center" wrapText="1"/>
    </xf>
    <xf numFmtId="43" fontId="86" fillId="0" borderId="41" xfId="0" applyNumberFormat="1" applyFont="1" applyBorder="1" applyAlignment="1">
      <alignment horizontal="left" vertical="center" wrapText="1"/>
    </xf>
    <xf numFmtId="0" fontId="86" fillId="0" borderId="42" xfId="0" applyFont="1" applyBorder="1" applyAlignment="1">
      <alignment horizontal="left" vertical="center" wrapText="1"/>
    </xf>
    <xf numFmtId="0" fontId="86" fillId="0" borderId="43" xfId="0" applyFont="1" applyBorder="1" applyAlignment="1">
      <alignment horizontal="left" vertical="center" wrapText="1"/>
    </xf>
    <xf numFmtId="43" fontId="86" fillId="0" borderId="95" xfId="0" applyNumberFormat="1" applyFont="1" applyBorder="1" applyAlignment="1">
      <alignment vertical="center" wrapText="1"/>
    </xf>
    <xf numFmtId="0" fontId="86" fillId="0" borderId="260" xfId="0" applyFont="1" applyBorder="1" applyAlignment="1">
      <alignment vertical="center" wrapText="1"/>
    </xf>
    <xf numFmtId="0" fontId="86" fillId="0" borderId="96" xfId="0" applyFont="1" applyBorder="1" applyAlignment="1">
      <alignment vertical="center" wrapText="1"/>
    </xf>
    <xf numFmtId="0" fontId="86" fillId="0" borderId="88" xfId="0" applyFont="1" applyBorder="1" applyAlignment="1">
      <alignment vertical="center" wrapText="1"/>
    </xf>
    <xf numFmtId="0" fontId="86" fillId="0" borderId="97" xfId="0" applyFont="1" applyBorder="1" applyAlignment="1">
      <alignment vertical="center" wrapText="1"/>
    </xf>
    <xf numFmtId="0" fontId="86" fillId="0" borderId="98" xfId="0" applyFont="1" applyBorder="1" applyAlignment="1">
      <alignment vertical="center" wrapText="1"/>
    </xf>
    <xf numFmtId="0" fontId="87" fillId="0" borderId="41" xfId="0" applyFont="1" applyFill="1" applyBorder="1" applyAlignment="1" applyProtection="1">
      <alignment vertical="center" wrapText="1"/>
      <protection locked="0"/>
    </xf>
    <xf numFmtId="0" fontId="87" fillId="0" borderId="42" xfId="0" applyFont="1" applyFill="1" applyBorder="1" applyAlignment="1" applyProtection="1">
      <alignment vertical="center" wrapText="1"/>
      <protection locked="0"/>
    </xf>
    <xf numFmtId="0" fontId="87" fillId="0" borderId="43" xfId="0" applyFont="1" applyFill="1" applyBorder="1" applyAlignment="1" applyProtection="1">
      <alignment vertical="center" wrapText="1"/>
      <protection locked="0"/>
    </xf>
    <xf numFmtId="0" fontId="62" fillId="0" borderId="95" xfId="0" applyFont="1" applyBorder="1" applyAlignment="1">
      <alignment horizontal="justify" wrapText="1"/>
    </xf>
    <xf numFmtId="0" fontId="62" fillId="0" borderId="260" xfId="0" applyFont="1" applyBorder="1" applyAlignment="1">
      <alignment horizontal="justify" wrapText="1"/>
    </xf>
    <xf numFmtId="0" fontId="62" fillId="0" borderId="96" xfId="0" applyFont="1" applyBorder="1" applyAlignment="1">
      <alignment horizontal="justify" wrapText="1"/>
    </xf>
    <xf numFmtId="0" fontId="84" fillId="0" borderId="0" xfId="0" applyFont="1" applyAlignment="1">
      <alignment horizontal="center"/>
    </xf>
    <xf numFmtId="0" fontId="14" fillId="22" borderId="41" xfId="0" applyFont="1" applyFill="1" applyBorder="1" applyAlignment="1">
      <alignment horizontal="center" vertical="center" wrapText="1"/>
    </xf>
    <xf numFmtId="0" fontId="14" fillId="22" borderId="42" xfId="0" applyFont="1" applyFill="1" applyBorder="1" applyAlignment="1">
      <alignment horizontal="center" vertical="center"/>
    </xf>
    <xf numFmtId="0" fontId="14" fillId="22" borderId="43" xfId="0" applyFont="1" applyFill="1" applyBorder="1" applyAlignment="1">
      <alignment horizontal="center" vertical="center"/>
    </xf>
    <xf numFmtId="0" fontId="24" fillId="22" borderId="41" xfId="0" applyFont="1" applyFill="1" applyBorder="1" applyAlignment="1">
      <alignment horizontal="center" vertical="center"/>
    </xf>
    <xf numFmtId="0" fontId="24" fillId="22" borderId="42" xfId="0" applyFont="1" applyFill="1" applyBorder="1" applyAlignment="1">
      <alignment horizontal="center" vertical="center"/>
    </xf>
    <xf numFmtId="0" fontId="24" fillId="22" borderId="43" xfId="0" applyFont="1" applyFill="1" applyBorder="1" applyAlignment="1">
      <alignment horizontal="center" vertical="center"/>
    </xf>
    <xf numFmtId="0" fontId="85" fillId="25" borderId="41" xfId="0" applyFont="1" applyFill="1" applyBorder="1" applyAlignment="1">
      <alignment horizontal="center"/>
    </xf>
    <xf numFmtId="0" fontId="85" fillId="25" borderId="42" xfId="0" applyFont="1" applyFill="1" applyBorder="1" applyAlignment="1">
      <alignment horizontal="center"/>
    </xf>
    <xf numFmtId="0" fontId="85" fillId="25" borderId="43" xfId="0" applyFont="1" applyFill="1" applyBorder="1" applyAlignment="1">
      <alignment horizontal="center"/>
    </xf>
    <xf numFmtId="0" fontId="62" fillId="0" borderId="41" xfId="0" applyFont="1" applyBorder="1" applyAlignment="1">
      <alignment vertical="center" wrapText="1"/>
    </xf>
    <xf numFmtId="0" fontId="62" fillId="0" borderId="42" xfId="0" applyFont="1" applyBorder="1" applyAlignment="1">
      <alignment vertical="center" wrapText="1"/>
    </xf>
    <xf numFmtId="0" fontId="62" fillId="0" borderId="43" xfId="0" applyFont="1" applyBorder="1" applyAlignment="1">
      <alignment vertical="center" wrapText="1"/>
    </xf>
    <xf numFmtId="0" fontId="0" fillId="0" borderId="260" xfId="0" applyBorder="1" applyAlignment="1">
      <alignment horizontal="center" wrapText="1"/>
    </xf>
    <xf numFmtId="0" fontId="0" fillId="0" borderId="0" xfId="0" applyBorder="1" applyAlignment="1">
      <alignment horizontal="center" wrapText="1"/>
    </xf>
    <xf numFmtId="43" fontId="17" fillId="30" borderId="0" xfId="46" applyFont="1" applyFill="1" applyAlignment="1" applyProtection="1">
      <alignment horizontal="center" vertical="center"/>
    </xf>
    <xf numFmtId="0" fontId="85" fillId="26" borderId="41" xfId="0" applyFont="1" applyFill="1" applyBorder="1" applyAlignment="1">
      <alignment horizontal="center"/>
    </xf>
    <xf numFmtId="0" fontId="85" fillId="26" borderId="42" xfId="0" applyFont="1" applyFill="1" applyBorder="1" applyAlignment="1">
      <alignment horizontal="center"/>
    </xf>
    <xf numFmtId="0" fontId="85" fillId="26" borderId="43" xfId="0" applyFont="1" applyFill="1" applyBorder="1" applyAlignment="1">
      <alignment horizontal="center"/>
    </xf>
    <xf numFmtId="9" fontId="87" fillId="0" borderId="41" xfId="61" applyFont="1" applyBorder="1" applyAlignment="1">
      <alignment horizontal="left" vertical="center" wrapText="1"/>
    </xf>
    <xf numFmtId="9" fontId="87" fillId="0" borderId="42" xfId="61" applyFont="1" applyBorder="1" applyAlignment="1">
      <alignment horizontal="left" vertical="center" wrapText="1"/>
    </xf>
    <xf numFmtId="9" fontId="87" fillId="0" borderId="43" xfId="61" applyFont="1" applyBorder="1" applyAlignment="1">
      <alignment horizontal="left" vertical="center" wrapText="1"/>
    </xf>
    <xf numFmtId="0" fontId="86" fillId="0" borderId="42" xfId="0" applyFont="1" applyBorder="1" applyAlignment="1">
      <alignment horizontal="left" vertical="center"/>
    </xf>
    <xf numFmtId="0" fontId="86" fillId="0" borderId="43" xfId="0" applyFont="1" applyBorder="1" applyAlignment="1">
      <alignment horizontal="left" vertical="center"/>
    </xf>
    <xf numFmtId="0" fontId="86" fillId="0" borderId="42" xfId="0" applyFont="1" applyBorder="1" applyAlignment="1">
      <alignment vertical="center"/>
    </xf>
    <xf numFmtId="0" fontId="86" fillId="0" borderId="43" xfId="0" applyFont="1" applyBorder="1" applyAlignment="1">
      <alignment vertical="center"/>
    </xf>
    <xf numFmtId="0" fontId="0" fillId="0" borderId="0" xfId="0" applyBorder="1" applyAlignment="1">
      <alignment horizontal="center"/>
    </xf>
    <xf numFmtId="0" fontId="0" fillId="0" borderId="260" xfId="0" applyBorder="1" applyAlignment="1">
      <alignment horizontal="center"/>
    </xf>
    <xf numFmtId="0" fontId="62" fillId="0" borderId="95" xfId="0" applyFont="1" applyBorder="1" applyAlignment="1">
      <alignment horizontal="left" vertical="center" wrapText="1"/>
    </xf>
    <xf numFmtId="0" fontId="62" fillId="0" borderId="260" xfId="0" applyFont="1" applyBorder="1" applyAlignment="1">
      <alignment horizontal="left" vertical="center" wrapText="1"/>
    </xf>
    <xf numFmtId="0" fontId="62" fillId="0" borderId="96" xfId="0" applyFont="1" applyBorder="1" applyAlignment="1">
      <alignment horizontal="left" vertical="center" wrapText="1"/>
    </xf>
    <xf numFmtId="0" fontId="62" fillId="0" borderId="88" xfId="0" applyFont="1" applyBorder="1" applyAlignment="1">
      <alignment horizontal="left" vertical="center" wrapText="1"/>
    </xf>
    <xf numFmtId="0" fontId="62" fillId="0" borderId="97" xfId="0" applyFont="1" applyBorder="1" applyAlignment="1">
      <alignment horizontal="left" vertical="center" wrapText="1"/>
    </xf>
    <xf numFmtId="0" fontId="62" fillId="0" borderId="98" xfId="0" applyFont="1" applyBorder="1" applyAlignment="1">
      <alignment horizontal="left" vertical="center" wrapText="1"/>
    </xf>
    <xf numFmtId="0" fontId="106" fillId="0" borderId="41" xfId="0" applyFont="1" applyBorder="1" applyAlignment="1">
      <alignment horizontal="justify" vertical="center" wrapText="1"/>
    </xf>
    <xf numFmtId="0" fontId="106" fillId="0" borderId="42" xfId="0" applyFont="1" applyBorder="1" applyAlignment="1">
      <alignment horizontal="justify" vertical="center" wrapText="1"/>
    </xf>
    <xf numFmtId="0" fontId="106" fillId="0" borderId="43" xfId="0" applyFont="1" applyBorder="1" applyAlignment="1">
      <alignment horizontal="justify" vertical="center" wrapText="1"/>
    </xf>
    <xf numFmtId="0" fontId="104" fillId="0" borderId="42" xfId="0" applyFont="1" applyBorder="1" applyAlignment="1">
      <alignment horizontal="left" vertical="center" wrapText="1"/>
    </xf>
    <xf numFmtId="0" fontId="104" fillId="0" borderId="43" xfId="0" applyFont="1" applyBorder="1" applyAlignment="1">
      <alignment horizontal="left" vertical="center" wrapText="1"/>
    </xf>
    <xf numFmtId="0" fontId="62" fillId="0" borderId="41" xfId="0" applyFont="1" applyFill="1" applyBorder="1" applyAlignment="1">
      <alignment horizontal="left" vertical="center" wrapText="1"/>
    </xf>
    <xf numFmtId="0" fontId="62" fillId="0" borderId="42" xfId="0" applyFont="1" applyFill="1" applyBorder="1" applyAlignment="1">
      <alignment horizontal="left" vertical="center" wrapText="1"/>
    </xf>
    <xf numFmtId="0" fontId="62" fillId="0" borderId="43" xfId="0" applyFont="1" applyFill="1" applyBorder="1" applyAlignment="1">
      <alignment horizontal="left" vertical="center" wrapText="1"/>
    </xf>
    <xf numFmtId="0" fontId="0" fillId="0" borderId="42" xfId="0" applyBorder="1" applyAlignment="1">
      <alignment horizontal="left"/>
    </xf>
    <xf numFmtId="0" fontId="0" fillId="0" borderId="43" xfId="0" applyBorder="1" applyAlignment="1">
      <alignment horizontal="left"/>
    </xf>
    <xf numFmtId="0" fontId="87" fillId="0" borderId="42" xfId="0" applyFont="1" applyBorder="1" applyAlignment="1" applyProtection="1">
      <alignment horizontal="left" vertical="center" wrapText="1"/>
      <protection locked="0"/>
    </xf>
    <xf numFmtId="0" fontId="87" fillId="0" borderId="43" xfId="0" applyFont="1" applyBorder="1" applyAlignment="1" applyProtection="1">
      <alignment horizontal="left" vertical="center" wrapText="1"/>
      <protection locked="0"/>
    </xf>
    <xf numFmtId="0" fontId="62" fillId="35" borderId="41" xfId="0" applyFont="1" applyFill="1" applyBorder="1" applyAlignment="1" applyProtection="1">
      <alignment horizontal="left" vertical="center" wrapText="1"/>
      <protection locked="0"/>
    </xf>
    <xf numFmtId="0" fontId="62" fillId="35" borderId="42" xfId="0" applyFont="1" applyFill="1" applyBorder="1" applyAlignment="1" applyProtection="1">
      <alignment horizontal="left" vertical="center" wrapText="1"/>
      <protection locked="0"/>
    </xf>
    <xf numFmtId="0" fontId="62" fillId="35" borderId="43" xfId="0" applyFont="1" applyFill="1" applyBorder="1" applyAlignment="1" applyProtection="1">
      <alignment horizontal="left" vertical="center" wrapText="1"/>
      <protection locked="0"/>
    </xf>
    <xf numFmtId="0" fontId="0" fillId="0" borderId="0" xfId="0" applyAlignment="1" applyProtection="1"/>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43" fontId="60" fillId="30" borderId="0" xfId="38" applyFont="1" applyFill="1" applyAlignment="1" applyProtection="1">
      <alignment horizontal="center" vertical="center"/>
    </xf>
    <xf numFmtId="0" fontId="94" fillId="0" borderId="0" xfId="0" applyFont="1" applyAlignment="1" applyProtection="1">
      <alignment horizontal="right"/>
    </xf>
    <xf numFmtId="3" fontId="0" fillId="0" borderId="41" xfId="0" applyNumberFormat="1" applyBorder="1" applyAlignment="1" applyProtection="1">
      <alignment horizontal="center"/>
      <protection locked="0"/>
    </xf>
    <xf numFmtId="3" fontId="0" fillId="0" borderId="43" xfId="0" applyNumberFormat="1" applyBorder="1" applyAlignment="1" applyProtection="1">
      <alignment horizontal="center"/>
      <protection locked="0"/>
    </xf>
    <xf numFmtId="15" fontId="0" fillId="0" borderId="10" xfId="56" applyNumberFormat="1" applyFont="1" applyFill="1" applyBorder="1" applyAlignment="1" applyProtection="1">
      <alignment horizontal="center"/>
      <protection locked="0"/>
    </xf>
    <xf numFmtId="15" fontId="117" fillId="0" borderId="10" xfId="56" applyNumberFormat="1" applyFill="1" applyBorder="1" applyAlignment="1" applyProtection="1">
      <alignment horizontal="center"/>
      <protection locked="0"/>
    </xf>
    <xf numFmtId="0" fontId="94" fillId="0" borderId="47" xfId="0" applyFont="1" applyBorder="1" applyAlignment="1" applyProtection="1">
      <alignment horizontal="right"/>
    </xf>
    <xf numFmtId="49" fontId="129" fillId="0" borderId="10" xfId="0" applyNumberFormat="1" applyFont="1" applyFill="1" applyBorder="1" applyAlignment="1" applyProtection="1">
      <alignment horizontal="center"/>
      <protection locked="0"/>
    </xf>
    <xf numFmtId="49" fontId="0" fillId="0" borderId="42" xfId="0" applyNumberFormat="1" applyBorder="1" applyAlignment="1" applyProtection="1">
      <alignment horizontal="center"/>
      <protection locked="0"/>
    </xf>
    <xf numFmtId="0" fontId="94" fillId="0" borderId="0" xfId="0" applyFont="1" applyBorder="1" applyAlignment="1" applyProtection="1">
      <alignment horizontal="right"/>
    </xf>
    <xf numFmtId="0" fontId="94" fillId="0" borderId="122" xfId="0" applyFont="1" applyBorder="1" applyAlignment="1" applyProtection="1">
      <alignment horizontal="right"/>
    </xf>
    <xf numFmtId="43" fontId="15" fillId="32" borderId="10" xfId="56" applyFont="1" applyFill="1" applyBorder="1" applyAlignment="1" applyProtection="1">
      <alignment horizontal="center"/>
      <protection locked="0"/>
    </xf>
    <xf numFmtId="49" fontId="2" fillId="28" borderId="240" xfId="0" applyNumberFormat="1" applyFont="1" applyFill="1" applyBorder="1" applyAlignment="1" applyProtection="1">
      <alignment horizontal="center" vertical="center" wrapText="1"/>
      <protection locked="0"/>
    </xf>
    <xf numFmtId="49" fontId="2" fillId="28" borderId="121" xfId="0" applyNumberFormat="1" applyFont="1" applyFill="1" applyBorder="1" applyAlignment="1" applyProtection="1">
      <alignment horizontal="center" vertical="center" wrapText="1"/>
      <protection locked="0"/>
    </xf>
    <xf numFmtId="49" fontId="2" fillId="39" borderId="234" xfId="0" applyNumberFormat="1" applyFont="1" applyFill="1" applyBorder="1" applyAlignment="1" applyProtection="1">
      <alignment horizontal="left" vertical="center" wrapText="1"/>
      <protection locked="0"/>
    </xf>
    <xf numFmtId="49" fontId="2" fillId="39" borderId="94" xfId="0" applyNumberFormat="1" applyFont="1" applyFill="1" applyBorder="1" applyAlignment="1" applyProtection="1">
      <alignment horizontal="left" vertical="center" wrapText="1"/>
      <protection locked="0"/>
    </xf>
    <xf numFmtId="49" fontId="2" fillId="39" borderId="235" xfId="0" applyNumberFormat="1" applyFont="1" applyFill="1" applyBorder="1" applyAlignment="1" applyProtection="1">
      <alignment horizontal="left" vertical="center" wrapText="1"/>
      <protection locked="0"/>
    </xf>
    <xf numFmtId="49" fontId="2" fillId="39" borderId="236" xfId="0" applyNumberFormat="1" applyFont="1" applyFill="1" applyBorder="1" applyAlignment="1" applyProtection="1">
      <alignment horizontal="left" vertical="center" wrapText="1"/>
      <protection locked="0"/>
    </xf>
    <xf numFmtId="49" fontId="2" fillId="39" borderId="97" xfId="0" applyNumberFormat="1" applyFont="1" applyFill="1" applyBorder="1" applyAlignment="1" applyProtection="1">
      <alignment horizontal="left" vertical="center" wrapText="1"/>
      <protection locked="0"/>
    </xf>
    <xf numFmtId="49" fontId="2" fillId="39" borderId="237" xfId="0" applyNumberFormat="1" applyFont="1" applyFill="1" applyBorder="1" applyAlignment="1" applyProtection="1">
      <alignment horizontal="left" vertical="center" wrapText="1"/>
      <protection locked="0"/>
    </xf>
    <xf numFmtId="0" fontId="82" fillId="0" borderId="114" xfId="0" applyFont="1" applyBorder="1" applyAlignment="1" applyProtection="1">
      <alignment horizontal="right"/>
    </xf>
    <xf numFmtId="0" fontId="14" fillId="0" borderId="114" xfId="0" applyFont="1" applyBorder="1" applyAlignment="1"/>
    <xf numFmtId="0" fontId="0" fillId="0" borderId="246" xfId="0" applyBorder="1" applyAlignment="1" applyProtection="1">
      <alignment horizontal="center"/>
    </xf>
    <xf numFmtId="0" fontId="0" fillId="0" borderId="247" xfId="0" applyBorder="1" applyAlignment="1" applyProtection="1">
      <alignment horizontal="center"/>
    </xf>
    <xf numFmtId="0" fontId="26" fillId="0" borderId="103" xfId="0" applyFont="1" applyBorder="1" applyAlignment="1" applyProtection="1">
      <alignment horizontal="center" wrapText="1"/>
    </xf>
    <xf numFmtId="0" fontId="26" fillId="0" borderId="104" xfId="0" applyFont="1" applyBorder="1" applyAlignment="1" applyProtection="1">
      <alignment horizontal="center" wrapText="1"/>
    </xf>
    <xf numFmtId="0" fontId="26" fillId="0" borderId="105" xfId="0" applyFont="1" applyBorder="1" applyAlignment="1" applyProtection="1">
      <alignment horizontal="center" wrapText="1"/>
    </xf>
    <xf numFmtId="49" fontId="14" fillId="0" borderId="245" xfId="0" applyNumberFormat="1" applyFont="1" applyFill="1" applyBorder="1" applyAlignment="1" applyProtection="1">
      <alignment horizontal="center"/>
    </xf>
    <xf numFmtId="49" fontId="14" fillId="0" borderId="43" xfId="0" applyNumberFormat="1" applyFont="1" applyFill="1" applyBorder="1" applyAlignment="1" applyProtection="1">
      <alignment horizontal="center"/>
    </xf>
    <xf numFmtId="43" fontId="14" fillId="0" borderId="115" xfId="0" applyNumberFormat="1" applyFont="1" applyBorder="1" applyAlignment="1" applyProtection="1">
      <alignment horizontal="center"/>
    </xf>
    <xf numFmtId="0" fontId="14" fillId="0" borderId="116" xfId="0" applyFont="1" applyBorder="1" applyAlignment="1" applyProtection="1">
      <alignment horizontal="center"/>
    </xf>
    <xf numFmtId="0" fontId="14" fillId="0" borderId="117" xfId="0" applyFont="1" applyBorder="1" applyAlignment="1" applyProtection="1">
      <alignment horizontal="center"/>
    </xf>
    <xf numFmtId="49" fontId="2" fillId="38" borderId="234" xfId="0" applyNumberFormat="1" applyFont="1" applyFill="1" applyBorder="1" applyAlignment="1" applyProtection="1">
      <alignment horizontal="left" vertical="center" wrapText="1"/>
      <protection locked="0"/>
    </xf>
    <xf numFmtId="49" fontId="2" fillId="38" borderId="94" xfId="0" applyNumberFormat="1" applyFont="1" applyFill="1" applyBorder="1" applyAlignment="1" applyProtection="1">
      <alignment horizontal="left" vertical="center" wrapText="1"/>
      <protection locked="0"/>
    </xf>
    <xf numFmtId="49" fontId="2" fillId="38" borderId="235" xfId="0" applyNumberFormat="1" applyFont="1" applyFill="1" applyBorder="1" applyAlignment="1" applyProtection="1">
      <alignment horizontal="left" vertical="center" wrapText="1"/>
      <protection locked="0"/>
    </xf>
    <xf numFmtId="49" fontId="2" fillId="38" borderId="236" xfId="0" applyNumberFormat="1" applyFont="1" applyFill="1" applyBorder="1" applyAlignment="1" applyProtection="1">
      <alignment horizontal="left" vertical="center" wrapText="1"/>
      <protection locked="0"/>
    </xf>
    <xf numFmtId="49" fontId="2" fillId="38" borderId="97" xfId="0" applyNumberFormat="1" applyFont="1" applyFill="1" applyBorder="1" applyAlignment="1" applyProtection="1">
      <alignment horizontal="left" vertical="center" wrapText="1"/>
      <protection locked="0"/>
    </xf>
    <xf numFmtId="49" fontId="2" fillId="38" borderId="237" xfId="0" applyNumberFormat="1" applyFont="1" applyFill="1" applyBorder="1" applyAlignment="1" applyProtection="1">
      <alignment horizontal="left" vertical="center" wrapText="1"/>
      <protection locked="0"/>
    </xf>
    <xf numFmtId="49" fontId="14" fillId="0" borderId="243" xfId="0" applyNumberFormat="1" applyFont="1" applyFill="1" applyBorder="1" applyAlignment="1" applyProtection="1">
      <alignment horizontal="center"/>
    </xf>
    <xf numFmtId="49" fontId="14" fillId="0" borderId="244" xfId="0" applyNumberFormat="1" applyFont="1" applyFill="1" applyBorder="1" applyAlignment="1" applyProtection="1">
      <alignment horizontal="center"/>
    </xf>
    <xf numFmtId="0" fontId="0" fillId="22" borderId="41" xfId="0" applyFill="1" applyBorder="1" applyAlignment="1" applyProtection="1">
      <alignment horizontal="center"/>
    </xf>
    <xf numFmtId="0" fontId="0" fillId="22" borderId="43" xfId="0" applyFill="1" applyBorder="1" applyAlignment="1" applyProtection="1">
      <alignment horizontal="center"/>
    </xf>
    <xf numFmtId="49" fontId="0" fillId="0" borderId="10" xfId="0" applyNumberFormat="1" applyBorder="1" applyAlignment="1" applyProtection="1">
      <alignment horizontal="center"/>
      <protection locked="0"/>
    </xf>
    <xf numFmtId="0" fontId="134" fillId="22" borderId="102" xfId="0" applyNumberFormat="1" applyFont="1" applyFill="1" applyBorder="1" applyAlignment="1" applyProtection="1">
      <alignment horizontal="center" vertical="center" wrapText="1"/>
      <protection locked="0"/>
    </xf>
    <xf numFmtId="0" fontId="75" fillId="0" borderId="118" xfId="0" applyFont="1" applyFill="1" applyBorder="1" applyAlignment="1" applyProtection="1">
      <alignment horizontal="center" vertical="center"/>
    </xf>
    <xf numFmtId="0" fontId="75" fillId="0" borderId="119" xfId="0" applyFont="1" applyFill="1" applyBorder="1" applyAlignment="1" applyProtection="1">
      <alignment horizontal="center" vertical="center"/>
    </xf>
    <xf numFmtId="0" fontId="75" fillId="0" borderId="120" xfId="0" applyFont="1" applyFill="1" applyBorder="1" applyAlignment="1" applyProtection="1">
      <alignment horizontal="center" vertical="center"/>
    </xf>
    <xf numFmtId="49" fontId="2" fillId="22" borderId="240" xfId="0" applyNumberFormat="1" applyFont="1" applyFill="1" applyBorder="1" applyAlignment="1" applyProtection="1">
      <alignment horizontal="center" vertical="center" wrapText="1"/>
      <protection locked="0"/>
    </xf>
    <xf numFmtId="49" fontId="2" fillId="22" borderId="121" xfId="0" applyNumberFormat="1" applyFont="1" applyFill="1" applyBorder="1" applyAlignment="1" applyProtection="1">
      <alignment horizontal="center" vertical="center" wrapText="1"/>
      <protection locked="0"/>
    </xf>
    <xf numFmtId="0" fontId="134" fillId="28" borderId="102" xfId="0" applyNumberFormat="1" applyFont="1" applyFill="1" applyBorder="1" applyAlignment="1" applyProtection="1">
      <alignment horizontal="center" vertical="center" wrapText="1"/>
      <protection locked="0"/>
    </xf>
    <xf numFmtId="49" fontId="2" fillId="40" borderId="234" xfId="0" applyNumberFormat="1" applyFont="1" applyFill="1" applyBorder="1" applyAlignment="1" applyProtection="1">
      <alignment horizontal="left" vertical="center" wrapText="1"/>
      <protection locked="0"/>
    </xf>
    <xf numFmtId="49" fontId="2" fillId="40" borderId="94" xfId="0" applyNumberFormat="1" applyFont="1" applyFill="1" applyBorder="1" applyAlignment="1" applyProtection="1">
      <alignment horizontal="left" vertical="center" wrapText="1"/>
      <protection locked="0"/>
    </xf>
    <xf numFmtId="49" fontId="2" fillId="40" borderId="235" xfId="0" applyNumberFormat="1" applyFont="1" applyFill="1" applyBorder="1" applyAlignment="1" applyProtection="1">
      <alignment horizontal="left" vertical="center" wrapText="1"/>
      <protection locked="0"/>
    </xf>
    <xf numFmtId="49" fontId="2" fillId="40" borderId="236" xfId="0" applyNumberFormat="1" applyFont="1" applyFill="1" applyBorder="1" applyAlignment="1" applyProtection="1">
      <alignment horizontal="left" vertical="center" wrapText="1"/>
      <protection locked="0"/>
    </xf>
    <xf numFmtId="49" fontId="2" fillId="40" borderId="97" xfId="0" applyNumberFormat="1" applyFont="1" applyFill="1" applyBorder="1" applyAlignment="1" applyProtection="1">
      <alignment horizontal="left" vertical="center" wrapText="1"/>
      <protection locked="0"/>
    </xf>
    <xf numFmtId="49" fontId="2" fillId="40" borderId="237" xfId="0" applyNumberFormat="1" applyFont="1" applyFill="1" applyBorder="1" applyAlignment="1" applyProtection="1">
      <alignment horizontal="left" vertical="center" wrapText="1"/>
      <protection locked="0"/>
    </xf>
    <xf numFmtId="0" fontId="134" fillId="28" borderId="238" xfId="0" applyNumberFormat="1" applyFont="1" applyFill="1" applyBorder="1" applyAlignment="1" applyProtection="1">
      <alignment horizontal="center" vertical="center" wrapText="1"/>
      <protection locked="0"/>
    </xf>
    <xf numFmtId="0" fontId="134" fillId="28" borderId="239" xfId="0" applyNumberFormat="1" applyFont="1" applyFill="1" applyBorder="1" applyAlignment="1" applyProtection="1">
      <alignment horizontal="center" vertical="center" wrapText="1"/>
      <protection locked="0"/>
    </xf>
    <xf numFmtId="0" fontId="2" fillId="0" borderId="250" xfId="0" applyFont="1" applyFill="1" applyBorder="1" applyAlignment="1" applyProtection="1">
      <alignment horizontal="left" vertical="center" wrapText="1"/>
    </xf>
    <xf numFmtId="0" fontId="2" fillId="0" borderId="251" xfId="0" applyFont="1" applyFill="1" applyBorder="1" applyAlignment="1" applyProtection="1">
      <alignment horizontal="left" vertical="center" wrapText="1"/>
    </xf>
    <xf numFmtId="0" fontId="2" fillId="0" borderId="252" xfId="0" applyFont="1" applyFill="1" applyBorder="1" applyAlignment="1" applyProtection="1">
      <alignment horizontal="left" vertical="center" wrapText="1"/>
    </xf>
    <xf numFmtId="0" fontId="2" fillId="0" borderId="253"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254" xfId="0" applyFont="1" applyFill="1" applyBorder="1" applyAlignment="1" applyProtection="1">
      <alignment horizontal="left" vertical="center" wrapText="1"/>
    </xf>
    <xf numFmtId="0" fontId="2" fillId="24" borderId="238" xfId="0" applyFont="1" applyFill="1" applyBorder="1" applyAlignment="1" applyProtection="1">
      <alignment horizontal="center" vertical="center" wrapText="1"/>
    </xf>
    <xf numFmtId="0" fontId="2" fillId="24" borderId="239" xfId="0" applyFont="1" applyFill="1" applyBorder="1" applyAlignment="1" applyProtection="1">
      <alignment horizontal="center" vertical="center" wrapText="1"/>
    </xf>
    <xf numFmtId="0" fontId="2" fillId="0" borderId="238" xfId="0" applyFont="1" applyFill="1" applyBorder="1" applyAlignment="1" applyProtection="1">
      <alignment horizontal="center" vertical="center" wrapText="1"/>
    </xf>
    <xf numFmtId="0" fontId="2" fillId="0" borderId="249" xfId="0" applyFont="1" applyFill="1" applyBorder="1" applyAlignment="1" applyProtection="1">
      <alignment horizontal="center" vertical="center" wrapText="1"/>
    </xf>
    <xf numFmtId="0" fontId="2" fillId="0" borderId="234" xfId="0" applyFont="1" applyFill="1" applyBorder="1" applyAlignment="1" applyProtection="1">
      <alignment horizontal="left" vertical="center" wrapText="1"/>
    </xf>
    <xf numFmtId="0" fontId="2" fillId="0" borderId="94" xfId="0" applyFont="1" applyFill="1" applyBorder="1" applyAlignment="1" applyProtection="1">
      <alignment horizontal="left" vertical="center" wrapText="1"/>
    </xf>
    <xf numFmtId="0" fontId="2" fillId="0" borderId="235" xfId="0" applyFont="1" applyFill="1" applyBorder="1" applyAlignment="1" applyProtection="1">
      <alignment horizontal="left" vertical="center" wrapText="1"/>
    </xf>
    <xf numFmtId="0" fontId="2" fillId="24" borderId="250" xfId="0" applyFont="1" applyFill="1" applyBorder="1" applyAlignment="1" applyProtection="1">
      <alignment horizontal="left" vertical="center" wrapText="1"/>
    </xf>
    <xf numFmtId="0" fontId="2" fillId="24" borderId="251" xfId="0" applyFont="1" applyFill="1" applyBorder="1" applyAlignment="1" applyProtection="1">
      <alignment horizontal="left" vertical="center" wrapText="1"/>
    </xf>
    <xf numFmtId="0" fontId="2" fillId="24" borderId="252" xfId="0" applyFont="1" applyFill="1" applyBorder="1" applyAlignment="1" applyProtection="1">
      <alignment horizontal="left" vertical="center" wrapText="1"/>
    </xf>
    <xf numFmtId="0" fontId="2" fillId="24" borderId="253" xfId="0" applyFont="1" applyFill="1" applyBorder="1" applyAlignment="1" applyProtection="1">
      <alignment horizontal="left" vertical="center" wrapText="1"/>
    </xf>
    <xf numFmtId="0" fontId="2" fillId="24" borderId="25" xfId="0" applyFont="1" applyFill="1" applyBorder="1" applyAlignment="1" applyProtection="1">
      <alignment horizontal="left" vertical="center" wrapText="1"/>
    </xf>
    <xf numFmtId="0" fontId="2" fillId="24" borderId="254" xfId="0" applyFont="1" applyFill="1" applyBorder="1" applyAlignment="1" applyProtection="1">
      <alignment horizontal="left" vertical="center" wrapText="1"/>
    </xf>
    <xf numFmtId="0" fontId="2" fillId="0" borderId="240" xfId="0" applyFont="1" applyFill="1" applyBorder="1" applyAlignment="1" applyProtection="1">
      <alignment horizontal="center" vertical="center" wrapText="1"/>
    </xf>
    <xf numFmtId="0" fontId="2" fillId="0" borderId="248" xfId="0" applyFont="1" applyFill="1" applyBorder="1" applyAlignment="1" applyProtection="1">
      <alignment horizontal="center" vertical="center" wrapText="1"/>
    </xf>
    <xf numFmtId="0" fontId="2" fillId="24" borderId="240" xfId="0" applyFont="1" applyFill="1" applyBorder="1" applyAlignment="1" applyProtection="1">
      <alignment horizontal="center" vertical="center" wrapText="1"/>
    </xf>
    <xf numFmtId="0" fontId="2" fillId="24" borderId="121" xfId="0" applyFont="1" applyFill="1" applyBorder="1" applyAlignment="1" applyProtection="1">
      <alignment horizontal="center" vertical="center" wrapText="1"/>
    </xf>
    <xf numFmtId="0" fontId="2" fillId="0" borderId="239" xfId="0" applyFont="1" applyFill="1" applyBorder="1" applyAlignment="1" applyProtection="1">
      <alignment horizontal="center" vertical="center" wrapText="1"/>
    </xf>
    <xf numFmtId="0" fontId="2" fillId="0" borderId="121" xfId="0" applyFont="1" applyFill="1" applyBorder="1" applyAlignment="1" applyProtection="1">
      <alignment horizontal="center" vertical="center" wrapText="1"/>
    </xf>
    <xf numFmtId="0" fontId="138" fillId="43" borderId="48" xfId="0" applyFont="1" applyFill="1" applyBorder="1" applyAlignment="1" applyProtection="1">
      <alignment horizontal="center" vertical="center"/>
    </xf>
    <xf numFmtId="0" fontId="138" fillId="43" borderId="264" xfId="0" applyFont="1" applyFill="1" applyBorder="1" applyAlignment="1" applyProtection="1">
      <alignment horizontal="center" vertical="center"/>
    </xf>
    <xf numFmtId="0" fontId="138" fillId="43" borderId="51" xfId="0" applyFont="1" applyFill="1" applyBorder="1" applyAlignment="1" applyProtection="1">
      <alignment horizontal="center" vertical="center"/>
    </xf>
    <xf numFmtId="9" fontId="33" fillId="0" borderId="99" xfId="61" applyFont="1" applyFill="1" applyBorder="1" applyAlignment="1" applyProtection="1">
      <alignment horizontal="center" vertical="center"/>
    </xf>
    <xf numFmtId="9" fontId="33" fillId="0" borderId="100" xfId="61" applyFont="1" applyFill="1" applyBorder="1" applyAlignment="1" applyProtection="1">
      <alignment horizontal="center" vertical="center"/>
    </xf>
    <xf numFmtId="9" fontId="33" fillId="0" borderId="101" xfId="61" applyFont="1" applyFill="1" applyBorder="1" applyAlignment="1" applyProtection="1">
      <alignment horizontal="center" vertical="center"/>
    </xf>
    <xf numFmtId="0" fontId="0" fillId="31" borderId="103" xfId="0" applyFill="1" applyBorder="1" applyAlignment="1" applyProtection="1">
      <alignment horizontal="center"/>
    </xf>
    <xf numFmtId="0" fontId="0" fillId="31" borderId="104" xfId="0" applyFill="1" applyBorder="1" applyAlignment="1" applyProtection="1">
      <alignment horizontal="center"/>
    </xf>
    <xf numFmtId="0" fontId="0" fillId="31" borderId="105" xfId="0" applyFill="1" applyBorder="1" applyAlignment="1" applyProtection="1">
      <alignment horizontal="center"/>
    </xf>
    <xf numFmtId="49" fontId="134" fillId="22" borderId="43" xfId="0" applyNumberFormat="1" applyFont="1" applyFill="1" applyBorder="1" applyAlignment="1" applyProtection="1">
      <alignment horizontal="center" vertical="center" wrapText="1"/>
      <protection locked="0"/>
    </xf>
    <xf numFmtId="49" fontId="134" fillId="28" borderId="111" xfId="0" applyNumberFormat="1" applyFont="1" applyFill="1" applyBorder="1" applyAlignment="1" applyProtection="1">
      <alignment horizontal="left" vertical="center" wrapText="1"/>
      <protection locked="0"/>
    </xf>
    <xf numFmtId="49" fontId="134" fillId="28" borderId="10" xfId="0" applyNumberFormat="1" applyFont="1" applyFill="1" applyBorder="1" applyAlignment="1" applyProtection="1">
      <alignment horizontal="left" vertical="center" wrapText="1"/>
      <protection locked="0"/>
    </xf>
    <xf numFmtId="49" fontId="134" fillId="28" borderId="41" xfId="0" applyNumberFormat="1" applyFont="1" applyFill="1" applyBorder="1" applyAlignment="1" applyProtection="1">
      <alignment horizontal="left" vertical="center" wrapText="1"/>
      <protection locked="0"/>
    </xf>
    <xf numFmtId="49" fontId="134" fillId="28" borderId="43" xfId="0" applyNumberFormat="1" applyFont="1" applyFill="1" applyBorder="1" applyAlignment="1" applyProtection="1">
      <alignment horizontal="center" vertical="center" wrapText="1"/>
      <protection locked="0"/>
    </xf>
    <xf numFmtId="49" fontId="134" fillId="42" borderId="111" xfId="0" applyNumberFormat="1" applyFont="1" applyFill="1" applyBorder="1" applyAlignment="1" applyProtection="1">
      <alignment horizontal="left" vertical="center" wrapText="1"/>
      <protection locked="0"/>
    </xf>
    <xf numFmtId="49" fontId="134" fillId="42" borderId="10" xfId="0" applyNumberFormat="1" applyFont="1" applyFill="1" applyBorder="1" applyAlignment="1" applyProtection="1">
      <alignment horizontal="left" vertical="center" wrapText="1"/>
      <protection locked="0"/>
    </xf>
    <xf numFmtId="49" fontId="134" fillId="42" borderId="41" xfId="0" applyNumberFormat="1" applyFont="1" applyFill="1" applyBorder="1" applyAlignment="1" applyProtection="1">
      <alignment horizontal="left" vertical="center" wrapText="1"/>
      <protection locked="0"/>
    </xf>
    <xf numFmtId="49" fontId="134" fillId="22" borderId="121" xfId="0" applyNumberFormat="1" applyFont="1" applyFill="1" applyBorder="1" applyAlignment="1" applyProtection="1">
      <alignment horizontal="left" vertical="center" wrapText="1"/>
      <protection locked="0"/>
    </xf>
    <xf numFmtId="49" fontId="134" fillId="22" borderId="87" xfId="0" applyNumberFormat="1" applyFont="1" applyFill="1" applyBorder="1" applyAlignment="1" applyProtection="1">
      <alignment horizontal="left" vertical="center" wrapText="1"/>
      <protection locked="0"/>
    </xf>
    <xf numFmtId="49" fontId="134" fillId="22" borderId="88" xfId="0" applyNumberFormat="1" applyFont="1" applyFill="1" applyBorder="1" applyAlignment="1" applyProtection="1">
      <alignment horizontal="left" vertical="center" wrapText="1"/>
      <protection locked="0"/>
    </xf>
    <xf numFmtId="49" fontId="134" fillId="22" borderId="111" xfId="0" applyNumberFormat="1" applyFont="1" applyFill="1" applyBorder="1" applyAlignment="1" applyProtection="1">
      <alignment horizontal="left" vertical="center" wrapText="1"/>
      <protection locked="0"/>
    </xf>
    <xf numFmtId="49" fontId="134" fillId="22" borderId="10" xfId="0" applyNumberFormat="1" applyFont="1" applyFill="1" applyBorder="1" applyAlignment="1" applyProtection="1">
      <alignment horizontal="left" vertical="center" wrapText="1"/>
      <protection locked="0"/>
    </xf>
    <xf numFmtId="49" fontId="134" fillId="22" borderId="41" xfId="0" applyNumberFormat="1" applyFont="1" applyFill="1" applyBorder="1" applyAlignment="1" applyProtection="1">
      <alignment horizontal="left" vertical="center" wrapText="1"/>
      <protection locked="0"/>
    </xf>
    <xf numFmtId="0" fontId="134" fillId="22" borderId="238" xfId="0" applyNumberFormat="1" applyFont="1" applyFill="1" applyBorder="1" applyAlignment="1" applyProtection="1">
      <alignment horizontal="center" vertical="center" wrapText="1"/>
      <protection locked="0"/>
    </xf>
    <xf numFmtId="0" fontId="134" fillId="22" borderId="239" xfId="0" applyNumberFormat="1" applyFont="1" applyFill="1" applyBorder="1" applyAlignment="1" applyProtection="1">
      <alignment horizontal="center" vertical="center" wrapText="1"/>
      <protection locked="0"/>
    </xf>
    <xf numFmtId="0" fontId="134" fillId="0" borderId="106" xfId="0" applyFont="1" applyFill="1" applyBorder="1" applyAlignment="1" applyProtection="1">
      <alignment horizontal="left" vertical="center" wrapText="1"/>
    </xf>
    <xf numFmtId="0" fontId="134" fillId="0" borderId="42" xfId="0" applyFont="1" applyFill="1" applyBorder="1" applyAlignment="1" applyProtection="1">
      <alignment horizontal="left" vertical="center" wrapText="1"/>
    </xf>
    <xf numFmtId="0" fontId="134" fillId="0" borderId="107" xfId="0" applyFont="1" applyFill="1" applyBorder="1" applyAlignment="1" applyProtection="1">
      <alignment horizontal="left" vertical="center" wrapText="1"/>
    </xf>
    <xf numFmtId="0" fontId="134" fillId="0" borderId="108" xfId="0" applyFont="1" applyFill="1" applyBorder="1" applyAlignment="1" applyProtection="1">
      <alignment horizontal="left" vertical="center" wrapText="1"/>
    </xf>
    <xf numFmtId="0" fontId="134" fillId="0" borderId="109" xfId="0" applyFont="1" applyFill="1" applyBorder="1" applyAlignment="1" applyProtection="1">
      <alignment horizontal="left" vertical="center" wrapText="1"/>
    </xf>
    <xf numFmtId="0" fontId="134" fillId="0" borderId="110" xfId="0" applyFont="1" applyFill="1" applyBorder="1" applyAlignment="1" applyProtection="1">
      <alignment horizontal="left" vertical="center" wrapText="1"/>
    </xf>
    <xf numFmtId="0" fontId="134" fillId="0" borderId="102" xfId="0" applyFont="1" applyFill="1" applyBorder="1" applyAlignment="1" applyProtection="1">
      <alignment horizontal="center" vertical="center" wrapText="1"/>
    </xf>
    <xf numFmtId="0" fontId="134" fillId="24" borderId="102" xfId="0" applyFont="1" applyFill="1" applyBorder="1" applyAlignment="1" applyProtection="1">
      <alignment horizontal="center" vertical="center" wrapText="1"/>
    </xf>
    <xf numFmtId="0" fontId="134" fillId="24" borderId="43" xfId="0" applyFont="1" applyFill="1" applyBorder="1" applyAlignment="1" applyProtection="1">
      <alignment horizontal="center" vertical="center" wrapText="1"/>
    </xf>
    <xf numFmtId="0" fontId="134" fillId="0" borderId="112" xfId="0" applyFont="1" applyFill="1" applyBorder="1" applyAlignment="1" applyProtection="1">
      <alignment horizontal="center" vertical="center" wrapText="1"/>
    </xf>
    <xf numFmtId="0" fontId="134" fillId="0" borderId="43" xfId="0" applyFont="1" applyFill="1" applyBorder="1" applyAlignment="1" applyProtection="1">
      <alignment horizontal="center" vertical="center" wrapText="1"/>
    </xf>
    <xf numFmtId="0" fontId="134" fillId="0" borderId="113" xfId="0" applyFont="1" applyFill="1" applyBorder="1" applyAlignment="1" applyProtection="1">
      <alignment horizontal="center" vertical="center" wrapText="1"/>
    </xf>
    <xf numFmtId="0" fontId="134" fillId="24" borderId="106" xfId="0" applyFont="1" applyFill="1" applyBorder="1" applyAlignment="1" applyProtection="1">
      <alignment horizontal="left" vertical="center" wrapText="1"/>
    </xf>
    <xf numFmtId="0" fontId="134" fillId="24" borderId="42" xfId="0" applyFont="1" applyFill="1" applyBorder="1" applyAlignment="1" applyProtection="1">
      <alignment horizontal="left" vertical="center" wrapText="1"/>
    </xf>
    <xf numFmtId="0" fontId="134" fillId="24" borderId="107" xfId="0" applyFont="1" applyFill="1" applyBorder="1" applyAlignment="1" applyProtection="1">
      <alignment horizontal="left" vertical="center" wrapText="1"/>
    </xf>
    <xf numFmtId="0" fontId="134" fillId="24" borderId="108" xfId="0" applyFont="1" applyFill="1" applyBorder="1" applyAlignment="1" applyProtection="1">
      <alignment horizontal="left" vertical="center" wrapText="1"/>
    </xf>
    <xf numFmtId="0" fontId="134" fillId="24" borderId="109" xfId="0" applyFont="1" applyFill="1" applyBorder="1" applyAlignment="1" applyProtection="1">
      <alignment horizontal="left" vertical="center" wrapText="1"/>
    </xf>
    <xf numFmtId="0" fontId="134" fillId="24" borderId="110" xfId="0" applyFont="1" applyFill="1" applyBorder="1" applyAlignment="1" applyProtection="1">
      <alignment horizontal="left" vertical="center" wrapText="1"/>
    </xf>
    <xf numFmtId="0" fontId="138" fillId="43" borderId="264" xfId="0" applyFont="1" applyFill="1" applyBorder="1" applyAlignment="1" applyProtection="1">
      <alignment horizontal="center" vertical="center"/>
      <protection locked="0"/>
    </xf>
    <xf numFmtId="0" fontId="0" fillId="0" borderId="265" xfId="0" applyBorder="1" applyAlignment="1">
      <alignment horizontal="center"/>
    </xf>
    <xf numFmtId="0" fontId="0" fillId="0" borderId="53" xfId="0" applyBorder="1" applyAlignment="1">
      <alignment horizontal="center"/>
    </xf>
    <xf numFmtId="0" fontId="134" fillId="22" borderId="106" xfId="0" applyNumberFormat="1" applyFont="1" applyFill="1" applyBorder="1" applyAlignment="1" applyProtection="1">
      <alignment horizontal="center" vertical="center" wrapText="1"/>
      <protection locked="0"/>
    </xf>
    <xf numFmtId="43" fontId="17" fillId="30" borderId="0" xfId="38" applyFont="1" applyFill="1" applyAlignment="1" applyProtection="1">
      <alignment horizontal="center" vertical="center"/>
    </xf>
    <xf numFmtId="43" fontId="24" fillId="25" borderId="38" xfId="56" applyFont="1" applyFill="1" applyBorder="1" applyAlignment="1" applyProtection="1">
      <alignment horizontal="center"/>
    </xf>
    <xf numFmtId="43" fontId="33" fillId="25" borderId="0" xfId="49" applyFont="1" applyFill="1" applyAlignment="1" applyProtection="1">
      <alignment horizontal="center" vertical="center" wrapText="1"/>
    </xf>
    <xf numFmtId="174" fontId="24" fillId="25" borderId="38" xfId="56" applyNumberFormat="1" applyFont="1" applyFill="1" applyBorder="1" applyAlignment="1" applyProtection="1">
      <alignment horizontal="center" vertical="center"/>
    </xf>
    <xf numFmtId="43" fontId="1" fillId="0" borderId="38" xfId="56" applyFont="1" applyBorder="1" applyAlignment="1" applyProtection="1">
      <alignment horizontal="right"/>
    </xf>
    <xf numFmtId="43" fontId="1" fillId="0" borderId="38" xfId="56" applyFont="1" applyFill="1" applyBorder="1" applyAlignment="1" applyProtection="1">
      <alignment horizontal="right" wrapText="1"/>
    </xf>
    <xf numFmtId="43" fontId="20" fillId="0" borderId="0" xfId="49" applyFont="1" applyFill="1" applyAlignment="1" applyProtection="1">
      <alignment horizontal="right" vertical="center"/>
    </xf>
    <xf numFmtId="43" fontId="24" fillId="25" borderId="0" xfId="49" applyFont="1" applyFill="1" applyAlignment="1" applyProtection="1">
      <alignment horizontal="center" vertical="center" wrapText="1"/>
    </xf>
    <xf numFmtId="43" fontId="1" fillId="0" borderId="38" xfId="56" applyFont="1" applyFill="1" applyBorder="1" applyAlignment="1" applyProtection="1">
      <alignment horizontal="right" vertical="top" wrapText="1"/>
    </xf>
    <xf numFmtId="0" fontId="0" fillId="0" borderId="38" xfId="0" applyBorder="1" applyAlignment="1"/>
    <xf numFmtId="43" fontId="102" fillId="33" borderId="38" xfId="56" applyFont="1" applyFill="1" applyBorder="1" applyAlignment="1" applyProtection="1">
      <alignment horizontal="center" wrapText="1"/>
    </xf>
    <xf numFmtId="15" fontId="24" fillId="25" borderId="38" xfId="56" applyNumberFormat="1" applyFont="1" applyFill="1" applyBorder="1" applyAlignment="1" applyProtection="1">
      <alignment horizontal="center"/>
    </xf>
    <xf numFmtId="0" fontId="34" fillId="22" borderId="41" xfId="0" applyFont="1" applyFill="1"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43" xfId="0" applyBorder="1" applyAlignment="1" applyProtection="1">
      <alignment horizontal="left" wrapText="1"/>
      <protection locked="0"/>
    </xf>
    <xf numFmtId="0" fontId="103" fillId="0" borderId="123" xfId="0" applyFont="1" applyFill="1" applyBorder="1" applyAlignment="1" applyProtection="1">
      <alignment horizontal="left" wrapText="1"/>
    </xf>
    <xf numFmtId="0" fontId="103" fillId="0" borderId="73" xfId="0" applyFont="1" applyFill="1" applyBorder="1" applyAlignment="1" applyProtection="1">
      <alignment horizontal="left" wrapText="1"/>
    </xf>
    <xf numFmtId="0" fontId="103" fillId="0" borderId="124" xfId="0" applyFont="1" applyFill="1" applyBorder="1" applyAlignment="1" applyProtection="1">
      <alignment horizontal="left" wrapText="1"/>
    </xf>
    <xf numFmtId="0" fontId="103" fillId="0" borderId="125" xfId="0" applyFont="1" applyFill="1" applyBorder="1" applyAlignment="1" applyProtection="1">
      <alignment horizontal="left" wrapText="1"/>
    </xf>
    <xf numFmtId="43" fontId="60" fillId="30" borderId="0" xfId="47" applyFont="1" applyFill="1" applyAlignment="1">
      <alignment horizontal="center" vertical="center"/>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3" borderId="0" xfId="56" applyFont="1" applyFill="1" applyBorder="1" applyAlignment="1" applyProtection="1">
      <alignment horizontal="center" wrapText="1"/>
    </xf>
    <xf numFmtId="0" fontId="100" fillId="0" borderId="0" xfId="0" applyFont="1" applyAlignment="1" applyProtection="1">
      <alignment horizontal="center"/>
    </xf>
    <xf numFmtId="43" fontId="99" fillId="0" borderId="103" xfId="0" applyNumberFormat="1" applyFont="1" applyBorder="1" applyAlignment="1" applyProtection="1">
      <alignment horizontal="center" vertical="center" wrapText="1"/>
    </xf>
    <xf numFmtId="43" fontId="99" fillId="0" borderId="104" xfId="0" applyNumberFormat="1" applyFont="1" applyBorder="1" applyAlignment="1" applyProtection="1">
      <alignment horizontal="center" vertical="center" wrapText="1"/>
    </xf>
    <xf numFmtId="43" fontId="99" fillId="0" borderId="105" xfId="0" applyNumberFormat="1" applyFont="1" applyBorder="1" applyAlignment="1" applyProtection="1">
      <alignment horizontal="center" vertical="center" wrapText="1"/>
    </xf>
    <xf numFmtId="0" fontId="0" fillId="0" borderId="126" xfId="0" applyBorder="1" applyAlignment="1" applyProtection="1">
      <alignment horizontal="center"/>
    </xf>
    <xf numFmtId="0" fontId="0" fillId="0" borderId="56" xfId="0" applyBorder="1" applyAlignment="1" applyProtection="1">
      <alignment horizontal="center"/>
    </xf>
    <xf numFmtId="0" fontId="30" fillId="22" borderId="41" xfId="0" applyFont="1" applyFill="1" applyBorder="1" applyAlignment="1" applyProtection="1">
      <alignment horizontal="left" wrapText="1"/>
      <protection locked="0"/>
    </xf>
    <xf numFmtId="0" fontId="34" fillId="22" borderId="42"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34" fillId="22" borderId="104" xfId="0" applyFont="1" applyFill="1" applyBorder="1" applyAlignment="1" applyProtection="1">
      <alignment horizontal="left" vertical="top" wrapText="1"/>
      <protection locked="0"/>
    </xf>
    <xf numFmtId="0" fontId="34" fillId="22" borderId="105" xfId="0" applyFont="1" applyFill="1" applyBorder="1" applyAlignment="1" applyProtection="1">
      <alignment horizontal="left" vertical="top" wrapText="1"/>
      <protection locked="0"/>
    </xf>
    <xf numFmtId="43" fontId="35" fillId="0" borderId="0" xfId="0" applyNumberFormat="1" applyFont="1" applyAlignment="1">
      <alignment horizontal="center" vertical="center" wrapText="1"/>
    </xf>
    <xf numFmtId="43" fontId="35" fillId="0" borderId="0" xfId="0" applyNumberFormat="1" applyFont="1" applyAlignment="1">
      <alignment horizontal="center" vertical="center"/>
    </xf>
    <xf numFmtId="0" fontId="83" fillId="0" borderId="0" xfId="0" applyFont="1" applyAlignment="1">
      <alignment horizontal="left" wrapText="1"/>
    </xf>
    <xf numFmtId="0" fontId="177" fillId="22" borderId="0" xfId="0" applyFont="1" applyFill="1" applyBorder="1" applyAlignment="1" applyProtection="1">
      <alignment horizontal="left" vertical="top" wrapText="1"/>
      <protection locked="0"/>
    </xf>
    <xf numFmtId="0" fontId="34" fillId="22" borderId="0" xfId="0" applyFont="1" applyFill="1" applyBorder="1" applyAlignment="1" applyProtection="1">
      <alignment horizontal="left" vertical="top" wrapText="1"/>
      <protection locked="0"/>
    </xf>
    <xf numFmtId="0" fontId="122" fillId="55" borderId="48" xfId="0" applyFont="1" applyFill="1" applyBorder="1" applyAlignment="1" applyProtection="1">
      <alignment horizontal="center" vertical="center"/>
    </xf>
    <xf numFmtId="0" fontId="0" fillId="0" borderId="51" xfId="0" applyBorder="1" applyAlignment="1"/>
    <xf numFmtId="0" fontId="122" fillId="54" borderId="264" xfId="0" applyFont="1" applyFill="1" applyBorder="1" applyAlignment="1" applyProtection="1">
      <alignment horizontal="center" vertical="center" wrapText="1"/>
    </xf>
    <xf numFmtId="0" fontId="0" fillId="0" borderId="265" xfId="0" applyBorder="1" applyAlignment="1">
      <alignment horizontal="center" wrapText="1"/>
    </xf>
    <xf numFmtId="0" fontId="0" fillId="0" borderId="53" xfId="0" applyBorder="1" applyAlignment="1">
      <alignment horizontal="center" wrapText="1"/>
    </xf>
    <xf numFmtId="0" fontId="30" fillId="22" borderId="0" xfId="0" applyFont="1" applyFill="1" applyBorder="1" applyAlignment="1" applyProtection="1">
      <alignment horizontal="left" vertical="top" wrapText="1"/>
      <protection locked="0"/>
    </xf>
    <xf numFmtId="0" fontId="30" fillId="22" borderId="0" xfId="0" applyFont="1" applyFill="1" applyBorder="1" applyAlignment="1" applyProtection="1">
      <alignment horizontal="left" vertical="top"/>
      <protection locked="0"/>
    </xf>
    <xf numFmtId="43" fontId="15" fillId="33" borderId="0" xfId="56" applyFont="1" applyFill="1" applyBorder="1" applyAlignment="1" applyProtection="1">
      <alignment horizontal="center" vertical="center" wrapText="1"/>
    </xf>
    <xf numFmtId="43" fontId="14" fillId="0" borderId="0" xfId="0" applyNumberFormat="1" applyFont="1" applyAlignment="1">
      <alignment horizontal="center"/>
    </xf>
    <xf numFmtId="43" fontId="28" fillId="0" borderId="0" xfId="0" applyNumberFormat="1" applyFont="1" applyAlignment="1">
      <alignment horizontal="right"/>
    </xf>
    <xf numFmtId="0" fontId="177" fillId="22" borderId="104" xfId="0" applyFont="1" applyFill="1" applyBorder="1" applyAlignment="1" applyProtection="1">
      <alignment horizontal="left" vertical="top" wrapText="1"/>
      <protection locked="0"/>
    </xf>
    <xf numFmtId="0" fontId="177" fillId="22" borderId="105" xfId="0" applyFont="1" applyFill="1" applyBorder="1" applyAlignment="1" applyProtection="1">
      <alignment horizontal="left" vertical="top" wrapText="1"/>
      <protection locked="0"/>
    </xf>
    <xf numFmtId="43" fontId="35" fillId="0" borderId="0" xfId="0" applyNumberFormat="1" applyFont="1" applyAlignment="1">
      <alignment horizontal="left" vertical="center" wrapText="1"/>
    </xf>
    <xf numFmtId="0" fontId="14" fillId="0" borderId="0" xfId="0" applyFont="1" applyBorder="1" applyAlignment="1">
      <alignment horizontal="center"/>
    </xf>
    <xf numFmtId="43" fontId="28" fillId="0" borderId="0" xfId="0" applyNumberFormat="1" applyFont="1" applyAlignment="1">
      <alignment horizontal="left" vertical="center" wrapText="1"/>
    </xf>
    <xf numFmtId="9" fontId="21" fillId="35" borderId="41" xfId="61" applyFont="1" applyFill="1" applyBorder="1" applyAlignment="1" applyProtection="1">
      <alignment horizontal="left" vertical="center" wrapText="1"/>
      <protection locked="0"/>
    </xf>
    <xf numFmtId="0" fontId="0" fillId="35" borderId="42" xfId="0" applyFill="1" applyBorder="1" applyAlignment="1">
      <alignment horizontal="left" vertical="center" wrapText="1"/>
    </xf>
    <xf numFmtId="0" fontId="0" fillId="35" borderId="43" xfId="0" applyFill="1" applyBorder="1" applyAlignment="1">
      <alignment horizontal="left" vertical="center" wrapText="1"/>
    </xf>
    <xf numFmtId="0" fontId="34" fillId="22" borderId="256" xfId="0" applyFont="1" applyFill="1" applyBorder="1" applyAlignment="1" applyProtection="1">
      <alignment horizontal="left" vertical="top" wrapText="1"/>
      <protection locked="0"/>
    </xf>
    <xf numFmtId="0" fontId="0" fillId="0" borderId="104" xfId="0" applyBorder="1" applyAlignment="1">
      <alignment horizontal="left" vertical="top" wrapText="1"/>
    </xf>
    <xf numFmtId="0" fontId="0" fillId="0" borderId="257" xfId="0" applyBorder="1" applyAlignment="1">
      <alignment horizontal="left" vertical="top" wrapText="1"/>
    </xf>
    <xf numFmtId="9" fontId="0" fillId="35" borderId="10" xfId="61" applyFont="1" applyFill="1" applyBorder="1" applyAlignment="1" applyProtection="1">
      <alignment horizontal="left" vertical="center" wrapText="1"/>
      <protection locked="0"/>
    </xf>
    <xf numFmtId="9" fontId="1" fillId="35" borderId="10" xfId="61" applyFont="1" applyFill="1" applyBorder="1" applyAlignment="1" applyProtection="1">
      <alignment horizontal="left" vertical="center" wrapText="1"/>
      <protection locked="0"/>
    </xf>
    <xf numFmtId="0" fontId="21" fillId="56" borderId="41" xfId="0" applyFont="1" applyFill="1" applyBorder="1" applyAlignment="1" applyProtection="1">
      <alignment vertical="center" wrapText="1"/>
    </xf>
    <xf numFmtId="0" fontId="21" fillId="56" borderId="42" xfId="0" applyFont="1" applyFill="1" applyBorder="1" applyAlignment="1" applyProtection="1">
      <alignment vertical="center" wrapText="1"/>
    </xf>
    <xf numFmtId="0" fontId="21" fillId="56" borderId="43" xfId="0" applyFont="1" applyFill="1" applyBorder="1" applyAlignment="1" applyProtection="1">
      <alignment vertical="center" wrapText="1"/>
    </xf>
    <xf numFmtId="9" fontId="1" fillId="0" borderId="41" xfId="61" applyFont="1" applyBorder="1" applyAlignment="1" applyProtection="1">
      <alignment horizontal="center" vertical="center" wrapText="1"/>
    </xf>
    <xf numFmtId="9" fontId="1" fillId="0" borderId="42" xfId="61" applyFont="1" applyBorder="1" applyAlignment="1" applyProtection="1">
      <alignment horizontal="center" vertical="center" wrapText="1"/>
    </xf>
    <xf numFmtId="9" fontId="1" fillId="0" borderId="43" xfId="61" applyFont="1" applyBorder="1" applyAlignment="1" applyProtection="1">
      <alignment horizontal="center" vertical="center" wrapText="1"/>
    </xf>
    <xf numFmtId="43" fontId="100" fillId="0" borderId="0" xfId="0" applyNumberFormat="1" applyFont="1" applyAlignment="1" applyProtection="1">
      <alignment horizontal="center"/>
    </xf>
    <xf numFmtId="0" fontId="0" fillId="0" borderId="0" xfId="0" applyAlignment="1">
      <alignment horizontal="center"/>
    </xf>
    <xf numFmtId="0" fontId="0" fillId="0" borderId="105" xfId="0" applyBorder="1" applyAlignment="1">
      <alignment horizontal="left" vertical="top" wrapText="1"/>
    </xf>
    <xf numFmtId="0" fontId="34" fillId="0" borderId="41" xfId="0" applyFont="1" applyBorder="1" applyAlignment="1" applyProtection="1">
      <alignment horizontal="center" vertical="center"/>
    </xf>
    <xf numFmtId="0" fontId="34" fillId="0" borderId="42" xfId="0" applyFont="1" applyBorder="1" applyAlignment="1" applyProtection="1">
      <alignment horizontal="center" vertical="center"/>
    </xf>
    <xf numFmtId="0" fontId="34" fillId="0" borderId="43" xfId="0" applyFont="1" applyBorder="1" applyAlignment="1" applyProtection="1">
      <alignment horizontal="center" vertical="center"/>
    </xf>
    <xf numFmtId="9" fontId="34" fillId="22" borderId="10" xfId="61" applyFont="1" applyFill="1" applyBorder="1" applyAlignment="1" applyProtection="1">
      <alignment horizontal="left" vertical="center" wrapText="1"/>
      <protection locked="0"/>
    </xf>
    <xf numFmtId="9" fontId="28" fillId="0" borderId="41" xfId="61" applyFont="1" applyBorder="1" applyAlignment="1" applyProtection="1">
      <alignment horizontal="center" vertical="center" wrapText="1"/>
    </xf>
    <xf numFmtId="9" fontId="28" fillId="0" borderId="42" xfId="61" applyFont="1" applyBorder="1" applyAlignment="1" applyProtection="1">
      <alignment horizontal="center" vertical="center" wrapText="1"/>
    </xf>
    <xf numFmtId="9" fontId="28" fillId="0" borderId="43" xfId="61" applyFont="1" applyBorder="1" applyAlignment="1" applyProtection="1">
      <alignment horizontal="center" vertical="center" wrapText="1"/>
    </xf>
    <xf numFmtId="0" fontId="34" fillId="0" borderId="94" xfId="0" applyFont="1" applyBorder="1" applyAlignment="1" applyProtection="1">
      <alignment horizontal="left" vertical="center" wrapText="1"/>
    </xf>
    <xf numFmtId="9" fontId="36" fillId="34" borderId="41" xfId="61" applyFont="1" applyFill="1" applyBorder="1" applyAlignment="1" applyProtection="1">
      <alignment horizontal="center" vertical="center" wrapText="1"/>
    </xf>
    <xf numFmtId="9" fontId="36" fillId="34" borderId="43" xfId="61" applyFont="1" applyFill="1" applyBorder="1" applyAlignment="1" applyProtection="1">
      <alignment horizontal="center" vertical="center" wrapText="1"/>
    </xf>
    <xf numFmtId="0" fontId="21" fillId="56" borderId="41" xfId="0" applyFont="1" applyFill="1" applyBorder="1" applyAlignment="1" applyProtection="1">
      <alignment horizontal="left" vertical="center" wrapText="1"/>
    </xf>
    <xf numFmtId="0" fontId="21" fillId="56" borderId="42" xfId="0" applyFont="1" applyFill="1" applyBorder="1" applyAlignment="1" applyProtection="1">
      <alignment horizontal="left" vertical="center" wrapText="1"/>
    </xf>
    <xf numFmtId="0" fontId="21" fillId="56" borderId="43" xfId="0" applyFont="1" applyFill="1" applyBorder="1" applyAlignment="1" applyProtection="1">
      <alignment horizontal="left" vertical="center" wrapText="1"/>
    </xf>
    <xf numFmtId="9" fontId="1" fillId="0" borderId="41" xfId="61" applyNumberFormat="1" applyFont="1" applyBorder="1" applyAlignment="1" applyProtection="1">
      <alignment horizontal="center" vertical="center" wrapText="1"/>
    </xf>
    <xf numFmtId="9" fontId="1" fillId="0" borderId="42" xfId="61" applyNumberFormat="1" applyFont="1" applyBorder="1" applyAlignment="1" applyProtection="1">
      <alignment horizontal="center" vertical="center" wrapText="1"/>
    </xf>
    <xf numFmtId="9" fontId="1" fillId="0" borderId="43" xfId="61" applyNumberFormat="1" applyFont="1" applyBorder="1" applyAlignment="1" applyProtection="1">
      <alignment horizontal="center" vertical="center" wrapText="1"/>
    </xf>
    <xf numFmtId="0" fontId="1" fillId="56" borderId="10" xfId="0" applyFont="1" applyFill="1" applyBorder="1" applyAlignment="1" applyProtection="1">
      <alignment vertical="center" wrapText="1"/>
    </xf>
    <xf numFmtId="9" fontId="21" fillId="35" borderId="42" xfId="61" applyFont="1" applyFill="1" applyBorder="1" applyAlignment="1" applyProtection="1">
      <alignment horizontal="left" vertical="center" wrapText="1"/>
      <protection locked="0"/>
    </xf>
    <xf numFmtId="9" fontId="21" fillId="35" borderId="43" xfId="61" applyFont="1" applyFill="1" applyBorder="1" applyAlignment="1" applyProtection="1">
      <alignment horizontal="left" vertical="center" wrapText="1"/>
      <protection locked="0"/>
    </xf>
    <xf numFmtId="9" fontId="119" fillId="31" borderId="41" xfId="61" applyFont="1" applyFill="1" applyBorder="1" applyAlignment="1" applyProtection="1">
      <alignment horizontal="center" vertical="center" wrapText="1"/>
    </xf>
    <xf numFmtId="9" fontId="119" fillId="31" borderId="43" xfId="61" applyFont="1" applyFill="1" applyBorder="1" applyAlignment="1" applyProtection="1">
      <alignment horizontal="center" vertical="center" wrapText="1"/>
    </xf>
    <xf numFmtId="9" fontId="120" fillId="34" borderId="41" xfId="61" applyFont="1" applyFill="1" applyBorder="1" applyAlignment="1" applyProtection="1">
      <alignment horizontal="center" vertical="center" wrapText="1"/>
    </xf>
    <xf numFmtId="9" fontId="120" fillId="34" borderId="43" xfId="61" applyFont="1" applyFill="1" applyBorder="1" applyAlignment="1" applyProtection="1">
      <alignment horizontal="center" vertical="center" wrapText="1"/>
    </xf>
    <xf numFmtId="0" fontId="33" fillId="0" borderId="97" xfId="0" applyFont="1" applyBorder="1" applyAlignment="1" applyProtection="1">
      <alignment horizontal="center"/>
    </xf>
    <xf numFmtId="0" fontId="122" fillId="0" borderId="10" xfId="0" applyFont="1" applyBorder="1" applyAlignment="1" applyProtection="1">
      <alignment horizontal="center" vertical="center" wrapText="1"/>
    </xf>
    <xf numFmtId="0" fontId="122" fillId="0" borderId="41" xfId="0" applyFont="1" applyBorder="1" applyAlignment="1" applyProtection="1">
      <alignment vertical="center" wrapText="1"/>
    </xf>
    <xf numFmtId="0" fontId="122" fillId="0" borderId="42" xfId="0" applyFont="1" applyBorder="1" applyAlignment="1" applyProtection="1">
      <alignment vertical="center" wrapText="1"/>
    </xf>
    <xf numFmtId="0" fontId="122" fillId="0" borderId="43" xfId="0" applyFont="1" applyBorder="1" applyAlignment="1" applyProtection="1">
      <alignment vertical="center" wrapText="1"/>
    </xf>
    <xf numFmtId="49" fontId="122" fillId="0" borderId="41" xfId="0" applyNumberFormat="1" applyFont="1" applyBorder="1" applyAlignment="1" applyProtection="1">
      <alignment vertical="center" wrapText="1"/>
    </xf>
    <xf numFmtId="49" fontId="122" fillId="0" borderId="42" xfId="0" applyNumberFormat="1" applyFont="1" applyBorder="1" applyAlignment="1" applyProtection="1">
      <alignment vertical="center" wrapText="1"/>
    </xf>
    <xf numFmtId="49" fontId="122" fillId="0" borderId="43" xfId="0" applyNumberFormat="1" applyFont="1" applyBorder="1" applyAlignment="1" applyProtection="1">
      <alignment vertical="center" wrapText="1"/>
    </xf>
    <xf numFmtId="0" fontId="34" fillId="20" borderId="12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34" fillId="20" borderId="0" xfId="0" applyFont="1" applyFill="1" applyBorder="1" applyAlignment="1" applyProtection="1">
      <alignment horizontal="left"/>
    </xf>
    <xf numFmtId="9" fontId="1" fillId="35" borderId="41" xfId="61" applyFont="1" applyFill="1" applyBorder="1" applyAlignment="1" applyProtection="1">
      <alignment horizontal="center" vertical="center" wrapText="1"/>
    </xf>
    <xf numFmtId="0" fontId="0" fillId="35" borderId="42" xfId="0" applyFill="1" applyBorder="1" applyAlignment="1">
      <alignment horizontal="center" vertical="center" wrapText="1"/>
    </xf>
    <xf numFmtId="0" fontId="0" fillId="35" borderId="43" xfId="0" applyFill="1" applyBorder="1" applyAlignment="1">
      <alignment horizontal="center" vertical="center" wrapText="1"/>
    </xf>
    <xf numFmtId="9" fontId="28" fillId="0" borderId="41" xfId="61" applyFont="1" applyFill="1" applyBorder="1" applyAlignment="1" applyProtection="1">
      <alignment horizontal="center" vertical="center" wrapText="1"/>
    </xf>
    <xf numFmtId="9" fontId="28" fillId="0" borderId="42" xfId="61" applyFont="1" applyFill="1" applyBorder="1" applyAlignment="1" applyProtection="1">
      <alignment horizontal="center" vertical="center" wrapText="1"/>
    </xf>
    <xf numFmtId="9" fontId="28" fillId="0" borderId="43" xfId="61" applyFont="1" applyFill="1" applyBorder="1" applyAlignment="1" applyProtection="1">
      <alignment horizontal="center" vertical="center" wrapText="1"/>
    </xf>
    <xf numFmtId="0" fontId="34" fillId="20" borderId="0" xfId="0" applyFont="1" applyFill="1" applyAlignment="1" applyProtection="1">
      <alignment horizontal="center" vertical="center" wrapText="1"/>
    </xf>
    <xf numFmtId="0" fontId="123" fillId="20" borderId="41" xfId="0" applyFont="1" applyFill="1" applyBorder="1" applyAlignment="1" applyProtection="1">
      <alignment vertical="center" wrapText="1"/>
    </xf>
    <xf numFmtId="0" fontId="123" fillId="20" borderId="42" xfId="0" applyFont="1" applyFill="1" applyBorder="1" applyAlignment="1" applyProtection="1">
      <alignment vertical="center" wrapText="1"/>
    </xf>
    <xf numFmtId="0" fontId="123" fillId="20" borderId="43" xfId="0" applyFont="1" applyFill="1" applyBorder="1" applyAlignment="1" applyProtection="1">
      <alignment vertical="center" wrapText="1"/>
    </xf>
    <xf numFmtId="9" fontId="28" fillId="41" borderId="41" xfId="61" applyFont="1" applyFill="1" applyBorder="1" applyAlignment="1" applyProtection="1">
      <alignment horizontal="center" vertical="center" wrapText="1"/>
    </xf>
    <xf numFmtId="9" fontId="28" fillId="41" borderId="42" xfId="61" applyFont="1" applyFill="1" applyBorder="1" applyAlignment="1" applyProtection="1">
      <alignment horizontal="center" vertical="center" wrapText="1"/>
    </xf>
    <xf numFmtId="9" fontId="28" fillId="41" borderId="43" xfId="6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39" xfId="0" applyFont="1" applyFill="1" applyBorder="1" applyAlignment="1" applyProtection="1">
      <alignment horizontal="left"/>
      <protection locked="0"/>
    </xf>
    <xf numFmtId="0" fontId="34" fillId="20" borderId="94" xfId="0" applyFont="1" applyFill="1" applyBorder="1" applyAlignment="1" applyProtection="1">
      <alignment horizontal="left"/>
    </xf>
    <xf numFmtId="0" fontId="34" fillId="20" borderId="94" xfId="0" applyFont="1" applyFill="1" applyBorder="1" applyAlignment="1" applyProtection="1">
      <alignment horizontal="left" vertical="center" wrapText="1"/>
    </xf>
    <xf numFmtId="0" fontId="0" fillId="56" borderId="42" xfId="0" applyFill="1" applyBorder="1" applyAlignment="1">
      <alignment vertical="center" wrapText="1"/>
    </xf>
    <xf numFmtId="0" fontId="0" fillId="56" borderId="43" xfId="0" applyFill="1" applyBorder="1" applyAlignment="1">
      <alignment vertical="center" wrapText="1"/>
    </xf>
    <xf numFmtId="9" fontId="1" fillId="35" borderId="41" xfId="61" applyNumberFormat="1" applyFont="1" applyFill="1" applyBorder="1" applyAlignment="1" applyProtection="1">
      <alignment horizontal="center" vertical="center" wrapText="1"/>
    </xf>
    <xf numFmtId="9" fontId="1" fillId="35" borderId="42" xfId="61" applyNumberFormat="1" applyFont="1" applyFill="1" applyBorder="1" applyAlignment="1" applyProtection="1">
      <alignment horizontal="center" vertical="center" wrapText="1"/>
    </xf>
    <xf numFmtId="9" fontId="1" fillId="35" borderId="43" xfId="61" applyNumberFormat="1" applyFont="1" applyFill="1" applyBorder="1" applyAlignment="1" applyProtection="1">
      <alignment horizontal="center" vertical="center" wrapText="1"/>
    </xf>
    <xf numFmtId="9" fontId="21" fillId="35" borderId="10" xfId="61" applyFont="1" applyFill="1" applyBorder="1" applyAlignment="1" applyProtection="1">
      <alignment horizontal="left" vertical="center" wrapText="1"/>
      <protection locked="0"/>
    </xf>
    <xf numFmtId="0" fontId="0" fillId="56" borderId="41" xfId="0" applyFill="1" applyBorder="1" applyAlignment="1">
      <alignment horizontal="left" vertical="center" wrapText="1"/>
    </xf>
    <xf numFmtId="0" fontId="0" fillId="56" borderId="42" xfId="0" applyFill="1" applyBorder="1" applyAlignment="1">
      <alignment horizontal="left" vertical="center" wrapText="1"/>
    </xf>
    <xf numFmtId="0" fontId="0" fillId="56" borderId="43" xfId="0" applyFill="1" applyBorder="1" applyAlignment="1">
      <alignment horizontal="left" vertical="center" wrapText="1"/>
    </xf>
    <xf numFmtId="9" fontId="135" fillId="31" borderId="41" xfId="61" applyFont="1" applyFill="1" applyBorder="1" applyAlignment="1" applyProtection="1">
      <alignment horizontal="center" vertical="center" wrapText="1"/>
    </xf>
    <xf numFmtId="9" fontId="135" fillId="31" borderId="43" xfId="61" applyFont="1" applyFill="1" applyBorder="1" applyAlignment="1" applyProtection="1">
      <alignment horizontal="center" vertical="center" wrapText="1"/>
    </xf>
    <xf numFmtId="43" fontId="60" fillId="30" borderId="0" xfId="47" applyFont="1" applyFill="1" applyAlignment="1" applyProtection="1">
      <alignment horizontal="center" vertical="center"/>
    </xf>
    <xf numFmtId="43" fontId="33" fillId="0" borderId="0" xfId="0" applyNumberFormat="1" applyFont="1" applyAlignment="1" applyProtection="1">
      <alignment horizontal="center"/>
    </xf>
    <xf numFmtId="43" fontId="15" fillId="33" borderId="0" xfId="57" applyFont="1" applyFill="1" applyBorder="1" applyAlignment="1" applyProtection="1">
      <alignment horizontal="center"/>
    </xf>
    <xf numFmtId="2" fontId="122" fillId="0" borderId="94" xfId="0" applyNumberFormat="1" applyFont="1" applyBorder="1" applyAlignment="1" applyProtection="1">
      <alignment horizontal="left" vertical="center" wrapText="1"/>
    </xf>
    <xf numFmtId="0" fontId="28" fillId="22" borderId="41" xfId="0" applyFont="1" applyFill="1" applyBorder="1" applyAlignment="1" applyProtection="1">
      <alignment horizontal="left" vertical="top" wrapText="1"/>
      <protection locked="0"/>
    </xf>
    <xf numFmtId="0" fontId="28" fillId="0" borderId="42" xfId="0" applyFont="1" applyBorder="1" applyAlignment="1">
      <alignment horizontal="left" vertical="top" wrapText="1"/>
    </xf>
    <xf numFmtId="0" fontId="28" fillId="0" borderId="43" xfId="0" applyFont="1" applyBorder="1" applyAlignment="1">
      <alignment horizontal="left" vertical="top" wrapText="1"/>
    </xf>
    <xf numFmtId="0" fontId="34" fillId="0" borderId="10" xfId="0" applyFont="1" applyBorder="1" applyAlignment="1" applyProtection="1">
      <alignment horizontal="center" vertical="center" wrapText="1"/>
    </xf>
    <xf numFmtId="9" fontId="2" fillId="0" borderId="181" xfId="61" applyNumberFormat="1" applyFont="1" applyFill="1" applyBorder="1" applyAlignment="1" applyProtection="1">
      <alignment horizontal="left" vertical="center" wrapText="1"/>
    </xf>
    <xf numFmtId="0" fontId="2" fillId="0" borderId="182" xfId="61" applyNumberFormat="1" applyFont="1" applyFill="1" applyBorder="1" applyAlignment="1" applyProtection="1">
      <alignment horizontal="left" vertical="center" wrapText="1"/>
    </xf>
    <xf numFmtId="0" fontId="2" fillId="0" borderId="183" xfId="61" applyNumberFormat="1" applyFont="1" applyFill="1" applyBorder="1" applyAlignment="1" applyProtection="1">
      <alignment horizontal="left" vertical="center" wrapText="1"/>
    </xf>
    <xf numFmtId="0" fontId="59" fillId="22" borderId="184" xfId="0" applyFont="1" applyFill="1" applyBorder="1" applyAlignment="1" applyProtection="1">
      <alignment horizontal="center" vertical="center"/>
    </xf>
    <xf numFmtId="0" fontId="59" fillId="22" borderId="185" xfId="0" applyFont="1" applyFill="1" applyBorder="1" applyAlignment="1" applyProtection="1">
      <alignment horizontal="center" vertical="center"/>
    </xf>
    <xf numFmtId="0" fontId="59" fillId="22" borderId="186" xfId="0" applyFont="1" applyFill="1" applyBorder="1" applyAlignment="1" applyProtection="1">
      <alignment horizontal="center" vertical="center"/>
    </xf>
    <xf numFmtId="9" fontId="2" fillId="0" borderId="159" xfId="61" applyNumberFormat="1" applyFont="1" applyFill="1" applyBorder="1" applyAlignment="1" applyProtection="1">
      <alignment horizontal="left" vertical="center" wrapText="1"/>
    </xf>
    <xf numFmtId="0" fontId="2" fillId="0" borderId="135" xfId="61" applyNumberFormat="1" applyFont="1" applyFill="1" applyBorder="1" applyAlignment="1" applyProtection="1">
      <alignment horizontal="left" vertical="center" wrapText="1"/>
    </xf>
    <xf numFmtId="0" fontId="2" fillId="0" borderId="160" xfId="61" applyNumberFormat="1" applyFont="1" applyFill="1" applyBorder="1" applyAlignment="1" applyProtection="1">
      <alignment horizontal="left" vertical="center" wrapText="1"/>
    </xf>
    <xf numFmtId="0" fontId="78" fillId="0" borderId="187" xfId="0" applyNumberFormat="1" applyFont="1" applyFill="1" applyBorder="1" applyAlignment="1" applyProtection="1">
      <alignment horizontal="left" vertical="center" wrapText="1"/>
    </xf>
    <xf numFmtId="0" fontId="78" fillId="0" borderId="188" xfId="0" applyNumberFormat="1" applyFont="1" applyFill="1" applyBorder="1" applyAlignment="1" applyProtection="1">
      <alignment horizontal="left" vertical="center" wrapText="1"/>
    </xf>
    <xf numFmtId="0" fontId="78" fillId="0" borderId="189" xfId="0" applyNumberFormat="1" applyFont="1" applyFill="1" applyBorder="1" applyAlignment="1" applyProtection="1">
      <alignment horizontal="left" vertical="center" wrapText="1"/>
    </xf>
    <xf numFmtId="0" fontId="2" fillId="22" borderId="128" xfId="0" applyFont="1" applyFill="1" applyBorder="1" applyAlignment="1" applyProtection="1">
      <alignment horizontal="center" vertical="top" wrapText="1"/>
      <protection locked="0"/>
    </xf>
    <xf numFmtId="0" fontId="2" fillId="22" borderId="129" xfId="0" applyFont="1" applyFill="1" applyBorder="1" applyAlignment="1" applyProtection="1">
      <alignment horizontal="center" vertical="top" wrapText="1"/>
      <protection locked="0"/>
    </xf>
    <xf numFmtId="0" fontId="2" fillId="22" borderId="130" xfId="0" applyFont="1" applyFill="1" applyBorder="1" applyAlignment="1" applyProtection="1">
      <alignment horizontal="center" vertical="top" wrapText="1"/>
      <protection locked="0"/>
    </xf>
    <xf numFmtId="0" fontId="2" fillId="22" borderId="138" xfId="0" applyFont="1" applyFill="1" applyBorder="1" applyAlignment="1" applyProtection="1">
      <alignment horizontal="center" vertical="top" wrapText="1"/>
      <protection locked="0"/>
    </xf>
    <xf numFmtId="0" fontId="2" fillId="22" borderId="139" xfId="0" applyFont="1" applyFill="1" applyBorder="1" applyAlignment="1" applyProtection="1">
      <alignment horizontal="center" vertical="top" wrapText="1"/>
      <protection locked="0"/>
    </xf>
    <xf numFmtId="0" fontId="2" fillId="22" borderId="140" xfId="0" applyFont="1" applyFill="1" applyBorder="1" applyAlignment="1" applyProtection="1">
      <alignment horizontal="center" vertical="top" wrapText="1"/>
      <protection locked="0"/>
    </xf>
    <xf numFmtId="0" fontId="2" fillId="22" borderId="128" xfId="0" applyFont="1" applyFill="1" applyBorder="1" applyAlignment="1" applyProtection="1">
      <alignment horizontal="left" vertical="top" wrapText="1"/>
      <protection locked="0"/>
    </xf>
    <xf numFmtId="0" fontId="2" fillId="22" borderId="129" xfId="0" applyFont="1" applyFill="1" applyBorder="1" applyAlignment="1" applyProtection="1">
      <alignment horizontal="left" vertical="top" wrapText="1"/>
      <protection locked="0"/>
    </xf>
    <xf numFmtId="0" fontId="2" fillId="22" borderId="130" xfId="0" applyFont="1" applyFill="1" applyBorder="1" applyAlignment="1" applyProtection="1">
      <alignment horizontal="left" vertical="top" wrapText="1"/>
      <protection locked="0"/>
    </xf>
    <xf numFmtId="0" fontId="2" fillId="0" borderId="159" xfId="61" applyNumberFormat="1" applyFont="1" applyFill="1" applyBorder="1" applyAlignment="1" applyProtection="1">
      <alignment horizontal="left" vertical="center" wrapText="1"/>
    </xf>
    <xf numFmtId="0" fontId="78" fillId="0" borderId="178" xfId="0" applyNumberFormat="1" applyFont="1" applyFill="1" applyBorder="1" applyAlignment="1" applyProtection="1">
      <alignment horizontal="left" vertical="top" wrapText="1"/>
    </xf>
    <xf numFmtId="0" fontId="78" fillId="0" borderId="179" xfId="0" applyNumberFormat="1" applyFont="1" applyFill="1" applyBorder="1" applyAlignment="1" applyProtection="1">
      <alignment horizontal="left" vertical="top" wrapText="1"/>
    </xf>
    <xf numFmtId="0" fontId="78" fillId="0" borderId="180" xfId="0" applyNumberFormat="1" applyFont="1" applyFill="1" applyBorder="1" applyAlignment="1" applyProtection="1">
      <alignment horizontal="left" vertical="top" wrapText="1"/>
    </xf>
    <xf numFmtId="0" fontId="77" fillId="19" borderId="12" xfId="0" applyFont="1" applyFill="1" applyBorder="1" applyAlignment="1" applyProtection="1">
      <alignment horizontal="center" vertical="center"/>
    </xf>
    <xf numFmtId="0" fontId="78" fillId="0" borderId="131" xfId="0" applyNumberFormat="1" applyFont="1" applyFill="1" applyBorder="1" applyAlignment="1" applyProtection="1">
      <alignment horizontal="left" vertical="top" wrapText="1"/>
    </xf>
    <xf numFmtId="0" fontId="78" fillId="0" borderId="132" xfId="0" applyNumberFormat="1" applyFont="1" applyFill="1" applyBorder="1" applyAlignment="1" applyProtection="1">
      <alignment horizontal="left" vertical="top" wrapText="1"/>
    </xf>
    <xf numFmtId="0" fontId="78" fillId="0" borderId="167" xfId="0" applyNumberFormat="1" applyFont="1" applyFill="1" applyBorder="1" applyAlignment="1" applyProtection="1">
      <alignment horizontal="left" vertical="top" wrapText="1"/>
    </xf>
    <xf numFmtId="0" fontId="2" fillId="25" borderId="161" xfId="0" applyFont="1" applyFill="1" applyBorder="1" applyAlignment="1" applyProtection="1">
      <alignment horizontal="left" vertical="top" wrapText="1"/>
      <protection locked="0"/>
    </xf>
    <xf numFmtId="0" fontId="2" fillId="25" borderId="162" xfId="0" applyFont="1" applyFill="1" applyBorder="1" applyAlignment="1" applyProtection="1">
      <alignment horizontal="left" vertical="top" wrapText="1"/>
      <protection locked="0"/>
    </xf>
    <xf numFmtId="0" fontId="2" fillId="25" borderId="163" xfId="0" applyFont="1" applyFill="1" applyBorder="1" applyAlignment="1" applyProtection="1">
      <alignment horizontal="left" vertical="top" wrapText="1"/>
      <protection locked="0"/>
    </xf>
    <xf numFmtId="0" fontId="2" fillId="22" borderId="175" xfId="0" applyFont="1" applyFill="1" applyBorder="1" applyAlignment="1" applyProtection="1">
      <alignment horizontal="center" vertical="top" wrapText="1"/>
      <protection locked="0"/>
    </xf>
    <xf numFmtId="0" fontId="2" fillId="22" borderId="176" xfId="0" applyFont="1" applyFill="1" applyBorder="1" applyAlignment="1" applyProtection="1">
      <alignment horizontal="center" vertical="top" wrapText="1"/>
      <protection locked="0"/>
    </xf>
    <xf numFmtId="0" fontId="2" fillId="22" borderId="177" xfId="0" applyFont="1" applyFill="1" applyBorder="1" applyAlignment="1" applyProtection="1">
      <alignment horizontal="center" vertical="top" wrapText="1"/>
      <protection locked="0"/>
    </xf>
    <xf numFmtId="0" fontId="100" fillId="0" borderId="0" xfId="0" applyFont="1" applyBorder="1" applyAlignment="1" applyProtection="1">
      <alignment horizontal="center"/>
    </xf>
    <xf numFmtId="0" fontId="59" fillId="26" borderId="141" xfId="0" applyFont="1" applyFill="1" applyBorder="1" applyAlignment="1" applyProtection="1">
      <alignment horizontal="center" vertical="center"/>
    </xf>
    <xf numFmtId="0" fontId="59" fillId="26" borderId="142" xfId="0" applyFont="1" applyFill="1" applyBorder="1" applyAlignment="1" applyProtection="1">
      <alignment horizontal="center" vertical="center"/>
    </xf>
    <xf numFmtId="0" fontId="59" fillId="26" borderId="143" xfId="0" applyFont="1" applyFill="1" applyBorder="1" applyAlignment="1" applyProtection="1">
      <alignment horizontal="center" vertical="center"/>
    </xf>
    <xf numFmtId="0" fontId="78" fillId="0" borderId="14" xfId="0" applyNumberFormat="1" applyFont="1" applyFill="1" applyBorder="1" applyAlignment="1" applyProtection="1">
      <alignment horizontal="left" vertical="top" wrapText="1"/>
    </xf>
    <xf numFmtId="0" fontId="78" fillId="0" borderId="144" xfId="0" applyNumberFormat="1" applyFont="1" applyFill="1" applyBorder="1" applyAlignment="1" applyProtection="1">
      <alignment horizontal="left" vertical="top" wrapText="1"/>
    </xf>
    <xf numFmtId="0" fontId="78" fillId="0" borderId="145" xfId="0" applyNumberFormat="1" applyFont="1" applyFill="1" applyBorder="1" applyAlignment="1" applyProtection="1">
      <alignment horizontal="left" vertical="top" wrapText="1"/>
    </xf>
    <xf numFmtId="0" fontId="78" fillId="0" borderId="146" xfId="0" applyNumberFormat="1" applyFont="1" applyFill="1" applyBorder="1" applyAlignment="1" applyProtection="1">
      <alignment horizontal="left" vertical="top" wrapText="1"/>
    </xf>
    <xf numFmtId="0" fontId="78" fillId="0" borderId="147" xfId="0" applyNumberFormat="1" applyFont="1" applyFill="1" applyBorder="1" applyAlignment="1" applyProtection="1">
      <alignment horizontal="left" vertical="top" wrapText="1"/>
    </xf>
    <xf numFmtId="49" fontId="2" fillId="26" borderId="148" xfId="0" applyNumberFormat="1" applyFont="1" applyFill="1" applyBorder="1" applyAlignment="1" applyProtection="1">
      <alignment horizontal="center" vertical="center"/>
      <protection locked="0"/>
    </xf>
    <xf numFmtId="49" fontId="2" fillId="26" borderId="14" xfId="0" applyNumberFormat="1" applyFont="1" applyFill="1" applyBorder="1" applyAlignment="1" applyProtection="1">
      <alignment horizontal="center" vertical="center"/>
      <protection locked="0"/>
    </xf>
    <xf numFmtId="49" fontId="2" fillId="26" borderId="144" xfId="0" applyNumberFormat="1" applyFont="1" applyFill="1" applyBorder="1" applyAlignment="1" applyProtection="1">
      <alignment horizontal="center" vertical="center"/>
      <protection locked="0"/>
    </xf>
    <xf numFmtId="0" fontId="76" fillId="0" borderId="0" xfId="0" applyFont="1" applyFill="1" applyBorder="1" applyAlignment="1" applyProtection="1">
      <alignment horizontal="center"/>
    </xf>
    <xf numFmtId="0" fontId="76" fillId="0" borderId="149" xfId="0" applyFont="1" applyFill="1" applyBorder="1" applyAlignment="1" applyProtection="1">
      <alignment horizontal="center"/>
    </xf>
    <xf numFmtId="49" fontId="2" fillId="26" borderId="150" xfId="0" applyNumberFormat="1" applyFont="1" applyFill="1" applyBorder="1" applyAlignment="1" applyProtection="1">
      <alignment horizontal="center" vertical="center"/>
      <protection locked="0"/>
    </xf>
    <xf numFmtId="49" fontId="2" fillId="26" borderId="151" xfId="0" applyNumberFormat="1" applyFont="1" applyFill="1" applyBorder="1" applyAlignment="1" applyProtection="1">
      <alignment horizontal="center" vertical="center"/>
      <protection locked="0"/>
    </xf>
    <xf numFmtId="49" fontId="2" fillId="26" borderId="152" xfId="0" applyNumberFormat="1" applyFont="1" applyFill="1" applyBorder="1" applyAlignment="1" applyProtection="1">
      <alignment horizontal="center" vertical="center"/>
      <protection locked="0"/>
    </xf>
    <xf numFmtId="0" fontId="76" fillId="0" borderId="171" xfId="0" applyFont="1" applyFill="1" applyBorder="1" applyAlignment="1" applyProtection="1">
      <alignment horizontal="center"/>
    </xf>
    <xf numFmtId="0" fontId="2" fillId="25" borderId="172" xfId="0" applyFont="1" applyFill="1" applyBorder="1" applyAlignment="1" applyProtection="1">
      <alignment horizontal="left" vertical="top" wrapText="1"/>
      <protection locked="0"/>
    </xf>
    <xf numFmtId="0" fontId="2" fillId="25" borderId="173" xfId="0" applyFont="1" applyFill="1" applyBorder="1" applyAlignment="1" applyProtection="1">
      <alignment horizontal="left" vertical="top" wrapText="1"/>
      <protection locked="0"/>
    </xf>
    <xf numFmtId="0" fontId="2" fillId="25" borderId="174" xfId="0" applyFont="1" applyFill="1" applyBorder="1" applyAlignment="1" applyProtection="1">
      <alignment horizontal="left" vertical="top" wrapText="1"/>
      <protection locked="0"/>
    </xf>
    <xf numFmtId="0" fontId="78" fillId="0" borderId="133" xfId="0" applyNumberFormat="1" applyFont="1" applyFill="1" applyBorder="1" applyAlignment="1" applyProtection="1">
      <alignment horizontal="left" vertical="top" wrapText="1"/>
    </xf>
    <xf numFmtId="49" fontId="2" fillId="26" borderId="134" xfId="0" applyNumberFormat="1" applyFont="1" applyFill="1" applyBorder="1" applyAlignment="1" applyProtection="1">
      <alignment horizontal="center" vertical="center"/>
      <protection locked="0"/>
    </xf>
    <xf numFmtId="49" fontId="2" fillId="26" borderId="135" xfId="0" applyNumberFormat="1" applyFont="1" applyFill="1" applyBorder="1" applyAlignment="1" applyProtection="1">
      <alignment horizontal="center" vertical="center"/>
      <protection locked="0"/>
    </xf>
    <xf numFmtId="49" fontId="2" fillId="26" borderId="136" xfId="0" applyNumberFormat="1" applyFont="1" applyFill="1" applyBorder="1" applyAlignment="1" applyProtection="1">
      <alignment horizontal="center" vertical="center"/>
      <protection locked="0"/>
    </xf>
    <xf numFmtId="0" fontId="78" fillId="0" borderId="0" xfId="0" applyNumberFormat="1" applyFont="1" applyFill="1" applyBorder="1" applyAlignment="1" applyProtection="1">
      <alignment horizontal="left" vertical="top" wrapText="1"/>
    </xf>
    <xf numFmtId="0" fontId="78" fillId="0" borderId="137" xfId="0" applyNumberFormat="1" applyFont="1" applyFill="1" applyBorder="1" applyAlignment="1" applyProtection="1">
      <alignment horizontal="left" vertical="top" wrapText="1"/>
    </xf>
    <xf numFmtId="0" fontId="107" fillId="25" borderId="153" xfId="0" applyFont="1" applyFill="1" applyBorder="1" applyAlignment="1" applyProtection="1">
      <alignment horizontal="center" vertical="center"/>
    </xf>
    <xf numFmtId="0" fontId="107" fillId="25" borderId="154" xfId="0" applyFont="1" applyFill="1" applyBorder="1" applyAlignment="1" applyProtection="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107" fillId="25" borderId="156" xfId="0" applyFont="1" applyFill="1" applyBorder="1" applyAlignment="1" applyProtection="1">
      <alignment horizontal="center" vertical="center"/>
    </xf>
    <xf numFmtId="0" fontId="107" fillId="25" borderId="157" xfId="0" applyFont="1" applyFill="1" applyBorder="1" applyAlignment="1" applyProtection="1">
      <alignment horizontal="center" vertical="center"/>
    </xf>
    <xf numFmtId="0" fontId="107" fillId="25" borderId="158" xfId="0" applyFont="1" applyFill="1" applyBorder="1" applyAlignment="1" applyProtection="1">
      <alignment horizontal="center" vertical="center"/>
    </xf>
    <xf numFmtId="0" fontId="78" fillId="0" borderId="164" xfId="0" applyNumberFormat="1" applyFont="1" applyFill="1" applyBorder="1" applyAlignment="1" applyProtection="1">
      <alignment horizontal="left" vertical="top" wrapText="1"/>
    </xf>
    <xf numFmtId="0" fontId="78" fillId="0" borderId="165" xfId="0" applyNumberFormat="1" applyFont="1" applyFill="1" applyBorder="1" applyAlignment="1" applyProtection="1">
      <alignment horizontal="left" vertical="top" wrapText="1"/>
    </xf>
    <xf numFmtId="0" fontId="78" fillId="0" borderId="166" xfId="0" applyNumberFormat="1" applyFont="1" applyFill="1" applyBorder="1" applyAlignment="1" applyProtection="1">
      <alignment horizontal="left" vertical="top" wrapText="1"/>
    </xf>
    <xf numFmtId="0" fontId="2" fillId="25" borderId="168" xfId="0" applyFont="1" applyFill="1" applyBorder="1" applyAlignment="1" applyProtection="1">
      <alignment horizontal="left" vertical="top" wrapText="1"/>
      <protection locked="0"/>
    </xf>
    <xf numFmtId="0" fontId="2" fillId="25" borderId="169" xfId="0" applyFont="1" applyFill="1" applyBorder="1" applyAlignment="1" applyProtection="1">
      <alignment horizontal="left" vertical="top" wrapText="1"/>
      <protection locked="0"/>
    </xf>
    <xf numFmtId="0" fontId="2" fillId="25" borderId="170" xfId="0" applyFont="1" applyFill="1" applyBorder="1" applyAlignment="1" applyProtection="1">
      <alignment horizontal="left" vertical="top" wrapText="1"/>
      <protection locked="0"/>
    </xf>
    <xf numFmtId="0" fontId="21" fillId="0" borderId="225" xfId="0" applyFont="1" applyBorder="1" applyAlignment="1" applyProtection="1">
      <alignment horizontal="left"/>
      <protection locked="0"/>
    </xf>
    <xf numFmtId="0" fontId="21" fillId="0" borderId="226" xfId="0" applyFont="1" applyBorder="1" applyAlignment="1" applyProtection="1">
      <alignment horizontal="left"/>
      <protection locked="0"/>
    </xf>
    <xf numFmtId="14" fontId="21" fillId="0" borderId="209" xfId="0" applyNumberFormat="1" applyFont="1" applyBorder="1" applyAlignment="1" applyProtection="1">
      <alignment horizontal="left"/>
      <protection locked="0"/>
    </xf>
    <xf numFmtId="0" fontId="21" fillId="0" borderId="34" xfId="0" applyFont="1" applyBorder="1" applyAlignment="1" applyProtection="1">
      <alignment horizontal="left"/>
      <protection locked="0"/>
    </xf>
    <xf numFmtId="0" fontId="75" fillId="21" borderId="229" xfId="52" applyNumberFormat="1" applyFont="1" applyFill="1" applyBorder="1" applyAlignment="1">
      <alignment horizontal="center" vertical="center" wrapText="1"/>
    </xf>
    <xf numFmtId="0" fontId="75" fillId="21" borderId="217" xfId="52" applyNumberFormat="1" applyFont="1" applyFill="1" applyBorder="1" applyAlignment="1">
      <alignment horizontal="center" vertical="center" wrapText="1"/>
    </xf>
    <xf numFmtId="0" fontId="21" fillId="0" borderId="199" xfId="0" applyFont="1" applyFill="1" applyBorder="1" applyAlignment="1" applyProtection="1">
      <alignment horizontal="left"/>
      <protection locked="0"/>
    </xf>
    <xf numFmtId="0" fontId="21" fillId="0" borderId="200"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199" xfId="0" applyFont="1" applyBorder="1" applyAlignment="1" applyProtection="1">
      <alignment horizontal="left" wrapText="1"/>
      <protection locked="0"/>
    </xf>
    <xf numFmtId="0" fontId="21" fillId="0" borderId="200" xfId="0" applyFont="1" applyBorder="1" applyAlignment="1" applyProtection="1">
      <alignment horizontal="left" wrapText="1"/>
      <protection locked="0"/>
    </xf>
    <xf numFmtId="0" fontId="21" fillId="0" borderId="201" xfId="0" applyFont="1" applyBorder="1" applyAlignment="1" applyProtection="1">
      <alignment horizontal="left" wrapText="1"/>
      <protection locked="0"/>
    </xf>
    <xf numFmtId="0" fontId="21" fillId="0" borderId="202" xfId="0" applyFont="1" applyBorder="1" applyAlignment="1" applyProtection="1">
      <alignment horizontal="left" wrapText="1"/>
      <protection locked="0"/>
    </xf>
    <xf numFmtId="0" fontId="21" fillId="0" borderId="199" xfId="0" applyFont="1" applyBorder="1" applyAlignment="1" applyProtection="1">
      <alignment horizontal="left"/>
      <protection locked="0"/>
    </xf>
    <xf numFmtId="0" fontId="21" fillId="0" borderId="200" xfId="0" applyFont="1" applyBorder="1" applyAlignment="1" applyProtection="1">
      <alignment horizontal="left"/>
      <protection locked="0"/>
    </xf>
    <xf numFmtId="0" fontId="21" fillId="0" borderId="201" xfId="0" applyFont="1" applyBorder="1" applyAlignment="1" applyProtection="1">
      <alignment horizontal="left"/>
      <protection locked="0"/>
    </xf>
    <xf numFmtId="0" fontId="21" fillId="0" borderId="202"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228" xfId="0" applyFont="1" applyFill="1" applyBorder="1" applyAlignment="1" applyProtection="1">
      <alignment horizontal="left" wrapText="1"/>
      <protection locked="0"/>
    </xf>
    <xf numFmtId="0" fontId="21" fillId="0" borderId="220" xfId="0" applyFont="1" applyFill="1" applyBorder="1" applyAlignment="1" applyProtection="1">
      <alignment horizontal="left" wrapText="1"/>
      <protection locked="0"/>
    </xf>
    <xf numFmtId="0" fontId="21" fillId="0" borderId="201" xfId="0" applyFont="1" applyFill="1" applyBorder="1" applyAlignment="1" applyProtection="1">
      <alignment horizontal="left" wrapText="1"/>
      <protection locked="0"/>
    </xf>
    <xf numFmtId="0" fontId="21" fillId="0" borderId="202" xfId="0" applyFont="1" applyFill="1" applyBorder="1" applyAlignment="1" applyProtection="1">
      <alignment horizontal="left" wrapText="1"/>
      <protection locked="0"/>
    </xf>
    <xf numFmtId="43" fontId="15" fillId="33" borderId="0" xfId="58" applyFont="1" applyFill="1" applyBorder="1" applyAlignment="1" applyProtection="1">
      <alignment horizontal="center"/>
      <protection locked="0"/>
    </xf>
    <xf numFmtId="0" fontId="21" fillId="0" borderId="199" xfId="0" applyFont="1" applyFill="1" applyBorder="1" applyAlignment="1" applyProtection="1">
      <alignment horizontal="left" wrapText="1"/>
      <protection locked="0"/>
    </xf>
    <xf numFmtId="0" fontId="21" fillId="0" borderId="200" xfId="0" applyFont="1" applyFill="1" applyBorder="1" applyAlignment="1" applyProtection="1">
      <alignment horizontal="left" wrapText="1"/>
      <protection locked="0"/>
    </xf>
    <xf numFmtId="15" fontId="28" fillId="0" borderId="0" xfId="0" applyNumberFormat="1" applyFont="1" applyAlignment="1">
      <alignment horizontal="right"/>
    </xf>
    <xf numFmtId="0" fontId="100" fillId="0" borderId="0" xfId="0" applyFont="1" applyAlignment="1">
      <alignment horizontal="center"/>
    </xf>
    <xf numFmtId="43" fontId="28" fillId="0" borderId="0" xfId="0" applyNumberFormat="1" applyFont="1" applyAlignment="1">
      <alignment horizontal="left"/>
    </xf>
    <xf numFmtId="0" fontId="75" fillId="21" borderId="213" xfId="52" applyNumberFormat="1" applyFont="1" applyFill="1" applyBorder="1" applyAlignment="1">
      <alignment horizontal="center" vertical="center" wrapText="1"/>
    </xf>
    <xf numFmtId="0" fontId="75" fillId="21" borderId="214" xfId="52" applyNumberFormat="1" applyFont="1" applyFill="1" applyBorder="1" applyAlignment="1">
      <alignment horizontal="center" vertical="center" wrapText="1"/>
    </xf>
    <xf numFmtId="0" fontId="21" fillId="0" borderId="135" xfId="0" applyFont="1" applyFill="1" applyBorder="1" applyAlignment="1" applyProtection="1">
      <alignment horizontal="left" vertical="center" wrapText="1"/>
      <protection locked="0"/>
    </xf>
    <xf numFmtId="0" fontId="21" fillId="0" borderId="191" xfId="0" applyFont="1" applyFill="1" applyBorder="1" applyAlignment="1" applyProtection="1">
      <alignment horizontal="left" vertical="center" wrapText="1"/>
      <protection locked="0"/>
    </xf>
    <xf numFmtId="0" fontId="0" fillId="22" borderId="95" xfId="0" applyFill="1" applyBorder="1" applyAlignment="1" applyProtection="1">
      <alignment horizontal="center"/>
      <protection locked="0"/>
    </xf>
    <xf numFmtId="0" fontId="0" fillId="22" borderId="94" xfId="0" applyFill="1" applyBorder="1" applyAlignment="1" applyProtection="1">
      <alignment horizontal="center"/>
      <protection locked="0"/>
    </xf>
    <xf numFmtId="0" fontId="0" fillId="22" borderId="96" xfId="0" applyFill="1" applyBorder="1" applyAlignment="1" applyProtection="1">
      <alignment horizontal="center"/>
      <protection locked="0"/>
    </xf>
    <xf numFmtId="0" fontId="0" fillId="22" borderId="88" xfId="0" applyFill="1" applyBorder="1" applyAlignment="1" applyProtection="1">
      <alignment horizontal="center"/>
      <protection locked="0"/>
    </xf>
    <xf numFmtId="0" fontId="0" fillId="22" borderId="97" xfId="0" applyFill="1" applyBorder="1" applyAlignment="1" applyProtection="1">
      <alignment horizontal="center"/>
      <protection locked="0"/>
    </xf>
    <xf numFmtId="0" fontId="0" fillId="22" borderId="98" xfId="0" applyFill="1" applyBorder="1" applyAlignment="1" applyProtection="1">
      <alignment horizontal="center"/>
      <protection locked="0"/>
    </xf>
    <xf numFmtId="0" fontId="75" fillId="21" borderId="13" xfId="52" applyNumberFormat="1" applyFont="1" applyFill="1" applyBorder="1" applyAlignment="1">
      <alignment horizontal="center" vertical="center" wrapText="1"/>
    </xf>
    <xf numFmtId="0" fontId="75" fillId="21" borderId="190" xfId="52" applyNumberFormat="1" applyFont="1" applyFill="1" applyBorder="1" applyAlignment="1">
      <alignment horizontal="center" vertical="center" wrapText="1"/>
    </xf>
    <xf numFmtId="14" fontId="21" fillId="0" borderId="207" xfId="0" applyNumberFormat="1" applyFont="1" applyFill="1" applyBorder="1" applyAlignment="1" applyProtection="1">
      <alignment horizontal="left"/>
      <protection locked="0"/>
    </xf>
    <xf numFmtId="0" fontId="21" fillId="0" borderId="207" xfId="0" applyFont="1" applyFill="1" applyBorder="1" applyAlignment="1" applyProtection="1">
      <alignment horizontal="left"/>
      <protection locked="0"/>
    </xf>
    <xf numFmtId="0" fontId="21" fillId="0" borderId="203" xfId="0" applyFont="1" applyBorder="1" applyAlignment="1" applyProtection="1">
      <alignment horizontal="left"/>
      <protection locked="0"/>
    </xf>
    <xf numFmtId="0" fontId="21" fillId="0" borderId="204" xfId="0" applyFont="1" applyBorder="1" applyAlignment="1" applyProtection="1">
      <alignment horizontal="left"/>
      <protection locked="0"/>
    </xf>
    <xf numFmtId="0" fontId="21" fillId="0" borderId="205" xfId="0" applyFont="1" applyBorder="1" applyAlignment="1" applyProtection="1">
      <alignment horizontal="left"/>
      <protection locked="0"/>
    </xf>
    <xf numFmtId="0" fontId="21" fillId="0" borderId="197" xfId="0" applyFont="1" applyBorder="1" applyAlignment="1" applyProtection="1">
      <alignment horizontal="left"/>
      <protection locked="0"/>
    </xf>
    <xf numFmtId="0" fontId="21" fillId="0" borderId="151"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203" xfId="0" applyFont="1" applyFill="1" applyBorder="1" applyAlignment="1" applyProtection="1">
      <alignment horizontal="left"/>
      <protection locked="0"/>
    </xf>
    <xf numFmtId="0" fontId="21" fillId="0" borderId="204" xfId="0" applyFont="1" applyFill="1" applyBorder="1" applyAlignment="1" applyProtection="1">
      <alignment horizontal="left"/>
      <protection locked="0"/>
    </xf>
    <xf numFmtId="0" fontId="21" fillId="0" borderId="197" xfId="0" applyFont="1" applyFill="1" applyBorder="1" applyAlignment="1" applyProtection="1">
      <alignment horizontal="left"/>
      <protection locked="0"/>
    </xf>
    <xf numFmtId="0" fontId="21" fillId="0" borderId="151" xfId="0" applyFont="1" applyFill="1" applyBorder="1" applyAlignment="1" applyProtection="1">
      <alignment horizontal="left"/>
      <protection locked="0"/>
    </xf>
    <xf numFmtId="0" fontId="21" fillId="0" borderId="202" xfId="0" applyFont="1" applyFill="1" applyBorder="1" applyAlignment="1" applyProtection="1">
      <alignment horizontal="left"/>
      <protection locked="0"/>
    </xf>
    <xf numFmtId="0" fontId="21" fillId="0" borderId="203" xfId="0" applyFont="1" applyFill="1" applyBorder="1" applyAlignment="1" applyProtection="1">
      <alignment horizontal="left" wrapText="1"/>
      <protection locked="0"/>
    </xf>
    <xf numFmtId="0" fontId="21" fillId="0" borderId="204" xfId="0" applyFont="1" applyFill="1" applyBorder="1" applyAlignment="1" applyProtection="1">
      <alignment horizontal="left" wrapText="1"/>
      <protection locked="0"/>
    </xf>
    <xf numFmtId="0" fontId="21" fillId="0" borderId="197" xfId="0" applyFont="1" applyFill="1" applyBorder="1" applyAlignment="1" applyProtection="1">
      <alignment horizontal="left" wrapText="1"/>
      <protection locked="0"/>
    </xf>
    <xf numFmtId="0" fontId="21" fillId="0" borderId="151" xfId="0" applyFont="1" applyFill="1" applyBorder="1" applyAlignment="1" applyProtection="1">
      <alignment horizontal="left" wrapText="1"/>
      <protection locked="0"/>
    </xf>
    <xf numFmtId="0" fontId="21" fillId="0" borderId="203" xfId="0" applyFont="1" applyBorder="1" applyAlignment="1" applyProtection="1">
      <alignment horizontal="left" wrapText="1"/>
      <protection locked="0"/>
    </xf>
    <xf numFmtId="0" fontId="21" fillId="0" borderId="204" xfId="0" applyFont="1" applyBorder="1" applyAlignment="1" applyProtection="1">
      <alignment horizontal="left" wrapText="1"/>
      <protection locked="0"/>
    </xf>
    <xf numFmtId="0" fontId="21" fillId="0" borderId="205" xfId="0" applyFont="1" applyBorder="1" applyAlignment="1" applyProtection="1">
      <alignment horizontal="left" wrapText="1"/>
      <protection locked="0"/>
    </xf>
    <xf numFmtId="0" fontId="21" fillId="0" borderId="197" xfId="0" applyFont="1" applyBorder="1" applyAlignment="1" applyProtection="1">
      <alignment horizontal="left" wrapText="1"/>
      <protection locked="0"/>
    </xf>
    <xf numFmtId="0" fontId="21" fillId="0" borderId="151" xfId="0" applyFont="1" applyBorder="1" applyAlignment="1" applyProtection="1">
      <alignment horizontal="left" wrapText="1"/>
      <protection locked="0"/>
    </xf>
    <xf numFmtId="0" fontId="21" fillId="0" borderId="198" xfId="0" applyFont="1" applyBorder="1" applyAlignment="1" applyProtection="1">
      <alignment horizontal="left" wrapText="1"/>
      <protection locked="0"/>
    </xf>
    <xf numFmtId="14" fontId="21" fillId="0" borderId="225" xfId="0" applyNumberFormat="1" applyFont="1" applyBorder="1" applyAlignment="1" applyProtection="1">
      <alignment horizontal="left"/>
      <protection locked="0"/>
    </xf>
    <xf numFmtId="0" fontId="21" fillId="0" borderId="219" xfId="0" applyFont="1" applyFill="1" applyBorder="1" applyAlignment="1" applyProtection="1">
      <alignment horizontal="left"/>
      <protection locked="0"/>
    </xf>
    <xf numFmtId="0" fontId="93" fillId="21" borderId="210" xfId="0" applyFont="1" applyFill="1" applyBorder="1" applyAlignment="1">
      <alignment horizontal="center" vertical="center" textRotation="90" wrapText="1"/>
    </xf>
    <xf numFmtId="0" fontId="93" fillId="21" borderId="211" xfId="0" applyFont="1" applyFill="1" applyBorder="1" applyAlignment="1">
      <alignment horizontal="center" vertical="center" textRotation="90" wrapText="1"/>
    </xf>
    <xf numFmtId="0" fontId="93" fillId="21" borderId="212" xfId="0" applyFont="1" applyFill="1" applyBorder="1" applyAlignment="1">
      <alignment horizontal="center" vertical="center" textRotation="90" wrapText="1"/>
    </xf>
    <xf numFmtId="0" fontId="75" fillId="21" borderId="215" xfId="52"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21" fillId="0" borderId="207" xfId="0" applyFont="1" applyFill="1" applyBorder="1" applyAlignment="1" applyProtection="1">
      <alignment horizontal="left" wrapText="1"/>
      <protection locked="0"/>
    </xf>
    <xf numFmtId="0" fontId="21" fillId="0" borderId="218" xfId="0" applyFont="1" applyFill="1" applyBorder="1" applyAlignment="1" applyProtection="1">
      <alignment horizontal="left" wrapText="1"/>
      <protection locked="0"/>
    </xf>
    <xf numFmtId="0" fontId="21" fillId="0" borderId="219" xfId="0" applyFont="1" applyFill="1" applyBorder="1" applyAlignment="1" applyProtection="1">
      <alignment horizontal="left" wrapText="1"/>
      <protection locked="0"/>
    </xf>
    <xf numFmtId="0" fontId="21" fillId="0" borderId="194"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197" xfId="0" applyFont="1" applyFill="1" applyBorder="1" applyAlignment="1" applyProtection="1">
      <alignment horizontal="left" vertical="top" wrapText="1"/>
      <protection locked="0"/>
    </xf>
    <xf numFmtId="0" fontId="21" fillId="0" borderId="151" xfId="0" applyFont="1" applyFill="1" applyBorder="1" applyAlignment="1" applyProtection="1">
      <alignment horizontal="left" vertical="top" wrapText="1"/>
      <protection locked="0"/>
    </xf>
    <xf numFmtId="0" fontId="21" fillId="0" borderId="202"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22"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192" xfId="0" applyFont="1" applyFill="1" applyBorder="1" applyAlignment="1" applyProtection="1">
      <alignment horizontal="left" vertical="center" wrapText="1"/>
      <protection locked="0"/>
    </xf>
    <xf numFmtId="0" fontId="21" fillId="0" borderId="193" xfId="0" applyFont="1" applyFill="1" applyBorder="1" applyAlignment="1" applyProtection="1">
      <alignment horizontal="left" vertical="center" wrapText="1"/>
      <protection locked="0"/>
    </xf>
    <xf numFmtId="0" fontId="21" fillId="0" borderId="194" xfId="0" applyFont="1" applyBorder="1" applyAlignment="1" applyProtection="1">
      <alignment horizontal="left" wrapText="1"/>
      <protection locked="0"/>
    </xf>
    <xf numFmtId="0" fontId="21" fillId="0" borderId="195" xfId="0" applyFont="1" applyBorder="1" applyAlignment="1" applyProtection="1">
      <alignment horizontal="left" wrapText="1"/>
      <protection locked="0"/>
    </xf>
    <xf numFmtId="0" fontId="21" fillId="0" borderId="196" xfId="0" applyFont="1" applyBorder="1" applyAlignment="1" applyProtection="1">
      <alignment horizontal="left" wrapText="1"/>
      <protection locked="0"/>
    </xf>
    <xf numFmtId="0" fontId="93" fillId="21" borderId="90" xfId="0" applyFont="1" applyFill="1" applyBorder="1" applyAlignment="1">
      <alignment horizontal="center" vertical="center" textRotation="90"/>
    </xf>
    <xf numFmtId="0" fontId="0" fillId="21" borderId="72" xfId="0" applyFill="1" applyBorder="1" applyAlignment="1">
      <alignment horizontal="center" vertical="center" textRotation="90"/>
    </xf>
    <xf numFmtId="0" fontId="0" fillId="21" borderId="87" xfId="0" applyFill="1" applyBorder="1" applyAlignment="1">
      <alignment horizontal="center" vertical="center" textRotation="90"/>
    </xf>
    <xf numFmtId="0" fontId="21" fillId="0" borderId="227" xfId="0" applyFont="1" applyFill="1" applyBorder="1" applyAlignment="1" applyProtection="1">
      <alignment horizontal="left" wrapText="1"/>
      <protection locked="0"/>
    </xf>
    <xf numFmtId="0" fontId="21" fillId="0" borderId="34" xfId="0" applyFont="1" applyFill="1" applyBorder="1" applyAlignment="1" applyProtection="1">
      <alignment horizontal="left" wrapText="1"/>
      <protection locked="0"/>
    </xf>
    <xf numFmtId="0" fontId="21" fillId="0" borderId="203" xfId="0" applyFont="1" applyFill="1" applyBorder="1" applyAlignment="1" applyProtection="1">
      <alignment horizontal="left" vertical="top" wrapText="1"/>
      <protection locked="0"/>
    </xf>
    <xf numFmtId="0" fontId="21" fillId="0" borderId="204" xfId="0" applyFont="1" applyFill="1" applyBorder="1" applyAlignment="1" applyProtection="1">
      <alignment horizontal="left" vertical="top" wrapText="1"/>
      <protection locked="0"/>
    </xf>
    <xf numFmtId="0" fontId="21" fillId="0" borderId="205" xfId="0" applyFont="1" applyFill="1" applyBorder="1" applyAlignment="1" applyProtection="1">
      <alignment horizontal="left" vertical="top" wrapText="1"/>
      <protection locked="0"/>
    </xf>
    <xf numFmtId="0" fontId="21" fillId="0" borderId="198" xfId="0" applyFont="1" applyFill="1" applyBorder="1" applyAlignment="1" applyProtection="1">
      <alignment horizontal="left" vertical="top" wrapText="1"/>
      <protection locked="0"/>
    </xf>
    <xf numFmtId="0" fontId="75" fillId="21" borderId="206" xfId="52" applyNumberFormat="1" applyFont="1" applyFill="1" applyBorder="1" applyAlignment="1">
      <alignment horizontal="center" vertical="center" wrapText="1"/>
    </xf>
    <xf numFmtId="0" fontId="21" fillId="0" borderId="208" xfId="0" applyFont="1" applyFill="1" applyBorder="1" applyAlignment="1" applyProtection="1">
      <alignment horizontal="left"/>
      <protection locked="0"/>
    </xf>
    <xf numFmtId="0" fontId="21" fillId="0" borderId="225" xfId="0" applyFont="1" applyFill="1" applyBorder="1" applyAlignment="1" applyProtection="1">
      <alignment horizontal="left" wrapText="1"/>
      <protection locked="0"/>
    </xf>
    <xf numFmtId="14" fontId="21" fillId="0" borderId="34" xfId="0" applyNumberFormat="1" applyFont="1" applyFill="1" applyBorder="1" applyAlignment="1" applyProtection="1">
      <alignment horizontal="left"/>
      <protection locked="0"/>
    </xf>
    <xf numFmtId="43" fontId="17" fillId="30" borderId="0" xfId="38" applyFont="1" applyFill="1" applyAlignment="1">
      <alignment horizontal="center" vertical="center"/>
    </xf>
    <xf numFmtId="0" fontId="33" fillId="0" borderId="0" xfId="0" applyFont="1" applyAlignment="1">
      <alignment horizontal="center"/>
    </xf>
  </cellXfs>
  <cellStyles count="174">
    <cellStyle name="???????????" xfId="92"/>
    <cellStyle name="????????????? ???????????" xfId="93"/>
    <cellStyle name="_TB_Calc_number" xfId="69"/>
    <cellStyle name="_TB_Calc_percent" xfId="70"/>
    <cellStyle name="_TB_def_number" xfId="71"/>
    <cellStyle name="_TB_def_percent" xfId="72"/>
    <cellStyle name="_TB_results1" xfId="89"/>
    <cellStyle name="_TB_subtitle2" xfId="73"/>
    <cellStyle name="_TB_textunprotect" xfId="90"/>
    <cellStyle name="_TB_years" xfId="91"/>
    <cellStyle name="20% - Accent1" xfId="1"/>
    <cellStyle name="20% - Accent2" xfId="2"/>
    <cellStyle name="20% - Accent3" xfId="3"/>
    <cellStyle name="20% - Accent4" xfId="4"/>
    <cellStyle name="20% - Accent5" xfId="5"/>
    <cellStyle name="20% - Accent6" xfId="6"/>
    <cellStyle name="20% - Акцент1 2" xfId="94"/>
    <cellStyle name="20% - Акцент2 2" xfId="95"/>
    <cellStyle name="20% - Акцент3 2" xfId="96"/>
    <cellStyle name="20% - Акцент4 2" xfId="97"/>
    <cellStyle name="20% - Акцент5 2" xfId="98"/>
    <cellStyle name="20% - Акцент6 2" xfId="99"/>
    <cellStyle name="40% - Accent1" xfId="7"/>
    <cellStyle name="40% - Accent2" xfId="8"/>
    <cellStyle name="40% - Accent3" xfId="9"/>
    <cellStyle name="40% - Accent4" xfId="10"/>
    <cellStyle name="40% - Accent5" xfId="11"/>
    <cellStyle name="40% - Accent6" xfId="12"/>
    <cellStyle name="40% - Акцент1 2" xfId="100"/>
    <cellStyle name="40% - Акцент2 2" xfId="101"/>
    <cellStyle name="40% - Акцент3 2" xfId="102"/>
    <cellStyle name="40% - Акцент4 2" xfId="103"/>
    <cellStyle name="40% - Акцент5 2" xfId="104"/>
    <cellStyle name="40% - Акцент6 2" xfId="105"/>
    <cellStyle name="60% - Accent1" xfId="13"/>
    <cellStyle name="60% - Accent2" xfId="14"/>
    <cellStyle name="60% - Accent3" xfId="15"/>
    <cellStyle name="60% - Accent4" xfId="16"/>
    <cellStyle name="60% - Accent5" xfId="17"/>
    <cellStyle name="60% - Accent6" xfId="18"/>
    <cellStyle name="60% - Акцент1 2" xfId="106"/>
    <cellStyle name="60% - Акцент2 2" xfId="107"/>
    <cellStyle name="60% - Акцент3 2" xfId="108"/>
    <cellStyle name="60% - Акцент4 2" xfId="109"/>
    <cellStyle name="60% - Акцент5 2" xfId="110"/>
    <cellStyle name="60% - Акцент6 2" xfId="111"/>
    <cellStyle name="Accent1" xfId="19"/>
    <cellStyle name="Accent2" xfId="20"/>
    <cellStyle name="Accent3" xfId="21"/>
    <cellStyle name="Accent4" xfId="22"/>
    <cellStyle name="Accent5" xfId="23"/>
    <cellStyle name="Accent6" xfId="24"/>
    <cellStyle name="Activity" xfId="173"/>
    <cellStyle name="Ãèïåðññûëêà" xfId="112"/>
    <cellStyle name="Bad" xfId="25"/>
    <cellStyle name="Calculation" xfId="26"/>
    <cellStyle name="Check Cell" xfId="27"/>
    <cellStyle name="Comma" xfId="62" builtinId="3"/>
    <cellStyle name="Comma 2" xfId="82"/>
    <cellStyle name="Comma 2 2" xfId="68"/>
    <cellStyle name="Comma 2 3" xfId="85"/>
    <cellStyle name="Comma 3" xfId="87"/>
    <cellStyle name="Comma 4" xfId="113"/>
    <cellStyle name="Comma 5" xfId="114"/>
    <cellStyle name="Euro" xfId="28"/>
    <cellStyle name="Euro 2" xfId="115"/>
    <cellStyle name="Explanatory Text" xfId="29"/>
    <cellStyle name="Good" xfId="30"/>
    <cellStyle name="Heading 1" xfId="31"/>
    <cellStyle name="Heading 2" xfId="32"/>
    <cellStyle name="Heading 3" xfId="33"/>
    <cellStyle name="Heading 4" xfId="34"/>
    <cellStyle name="Hyperlink 2" xfId="74"/>
    <cellStyle name="Hyperlink 3" xfId="116"/>
    <cellStyle name="info" xfId="117"/>
    <cellStyle name="Input" xfId="35"/>
    <cellStyle name="Îòêðûâàâøàÿñÿ ãèïåðññûëêà" xfId="118"/>
    <cellStyle name="Linked Cell" xfId="36"/>
    <cellStyle name="ListData" xfId="119"/>
    <cellStyle name="Millares 2" xfId="37"/>
    <cellStyle name="Normal" xfId="0" builtinId="0"/>
    <cellStyle name="Normal 10" xfId="120"/>
    <cellStyle name="Normal 11" xfId="121"/>
    <cellStyle name="Normal 12" xfId="172"/>
    <cellStyle name="Normal 2" xfId="38"/>
    <cellStyle name="Normal 2 2" xfId="39"/>
    <cellStyle name="Normal 2 2 2" xfId="84"/>
    <cellStyle name="Normal 2 3" xfId="40"/>
    <cellStyle name="Normal 2 4" xfId="41"/>
    <cellStyle name="Normal 2 5" xfId="42"/>
    <cellStyle name="Normal 2 6" xfId="43"/>
    <cellStyle name="Normal 2 7" xfId="44"/>
    <cellStyle name="Normal 2 8" xfId="45"/>
    <cellStyle name="Normal 2 9" xfId="65"/>
    <cellStyle name="Normal 2_Dashboard ver 2.2 ES" xfId="46"/>
    <cellStyle name="Normal 2_Prototipo" xfId="47"/>
    <cellStyle name="Normal 3" xfId="48"/>
    <cellStyle name="Normal 3 2" xfId="75"/>
    <cellStyle name="Normal 4" xfId="49"/>
    <cellStyle name="Normal 4 2" xfId="76"/>
    <cellStyle name="Normal 5" xfId="50"/>
    <cellStyle name="Normal 5 2" xfId="78"/>
    <cellStyle name="Normal 5 3" xfId="77"/>
    <cellStyle name="Normal 6" xfId="51"/>
    <cellStyle name="Normal 6 2" xfId="79"/>
    <cellStyle name="Normal 7" xfId="64"/>
    <cellStyle name="Normal 7 2" xfId="122"/>
    <cellStyle name="Normal 8" xfId="123"/>
    <cellStyle name="Normal 8 2" xfId="124"/>
    <cellStyle name="Normal 9" xfId="125"/>
    <cellStyle name="Normal_TZ_R3HIV_Phase_2_21_August_08" xfId="52"/>
    <cellStyle name="Note" xfId="53"/>
    <cellStyle name="Output" xfId="54"/>
    <cellStyle name="Percent" xfId="61" builtinId="5"/>
    <cellStyle name="Percent 2" xfId="66"/>
    <cellStyle name="Percent 3" xfId="67"/>
    <cellStyle name="Percent 4" xfId="88"/>
    <cellStyle name="Percent 5" xfId="126"/>
    <cellStyle name="Percent 6" xfId="127"/>
    <cellStyle name="Percent 7" xfId="128"/>
    <cellStyle name="Percent 8" xfId="129"/>
    <cellStyle name="SheetHeader" xfId="130"/>
    <cellStyle name="TableHeader" xfId="131"/>
    <cellStyle name="Title" xfId="55"/>
    <cellStyle name="Título 3 3" xfId="56"/>
    <cellStyle name="Título 3 3_Prototipo" xfId="57"/>
    <cellStyle name="Título 3 3_PrototipoRep1" xfId="58"/>
    <cellStyle name="Título 3 7" xfId="59"/>
    <cellStyle name="Warning Text" xfId="60"/>
    <cellStyle name="Акцент1 2" xfId="132"/>
    <cellStyle name="Акцент2 2" xfId="133"/>
    <cellStyle name="Акцент3 2" xfId="134"/>
    <cellStyle name="Акцент4 2" xfId="135"/>
    <cellStyle name="Акцент5 2" xfId="136"/>
    <cellStyle name="Акцент6 2" xfId="137"/>
    <cellStyle name="Ввод  2" xfId="138"/>
    <cellStyle name="Вывод 2" xfId="139"/>
    <cellStyle name="Вычисление 2" xfId="140"/>
    <cellStyle name="Гиперссылка 2" xfId="141"/>
    <cellStyle name="Гиперссылка 3" xfId="142"/>
    <cellStyle name="Заголовок 1 2" xfId="143"/>
    <cellStyle name="Заголовок 2 2" xfId="144"/>
    <cellStyle name="Заголовок 3 2" xfId="145"/>
    <cellStyle name="Заголовок 4 2" xfId="146"/>
    <cellStyle name="Итог 2" xfId="147"/>
    <cellStyle name="Контрольная ячейка 2" xfId="148"/>
    <cellStyle name="Название 2" xfId="149"/>
    <cellStyle name="Нейтральный 2" xfId="150"/>
    <cellStyle name="Обычный 2" xfId="80"/>
    <cellStyle name="Обычный 2 2" xfId="151"/>
    <cellStyle name="Обычный 2 3" xfId="152"/>
    <cellStyle name="Обычный 3" xfId="81"/>
    <cellStyle name="Обычный 4" xfId="153"/>
    <cellStyle name="Обычный 4 2" xfId="154"/>
    <cellStyle name="Обычный 4_KGZ Rnd 7 budget HIV" xfId="155"/>
    <cellStyle name="Обычный 5" xfId="156"/>
    <cellStyle name="Обычный 6" xfId="157"/>
    <cellStyle name="Обычный 7" xfId="63"/>
    <cellStyle name="Плохой 2" xfId="158"/>
    <cellStyle name="Пояснение 2" xfId="159"/>
    <cellStyle name="Примечание 2" xfId="160"/>
    <cellStyle name="Процентный 2" xfId="161"/>
    <cellStyle name="Процентный 3" xfId="83"/>
    <cellStyle name="Связанная ячейка 2" xfId="162"/>
    <cellStyle name="Текст предупреждения 2" xfId="163"/>
    <cellStyle name="Финансовый 2" xfId="164"/>
    <cellStyle name="Финансовый 2 2" xfId="165"/>
    <cellStyle name="Финансовый 3" xfId="166"/>
    <cellStyle name="Финансовый 4" xfId="167"/>
    <cellStyle name="Финансовый 5" xfId="168"/>
    <cellStyle name="Финансовый 6" xfId="169"/>
    <cellStyle name="Финансовый 7" xfId="86"/>
    <cellStyle name="Хороший 2" xfId="171"/>
    <cellStyle name="Хороший 3" xfId="170"/>
  </cellStyles>
  <dxfs count="8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7763873.9000000004</c:v>
                </c:pt>
                <c:pt idx="1">
                  <c:v>0</c:v>
                </c:pt>
                <c:pt idx="2">
                  <c:v>0</c:v>
                </c:pt>
                <c:pt idx="3">
                  <c:v>0</c:v>
                </c:pt>
              </c:numCache>
            </c:numRef>
          </c:val>
          <c:extLs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9283289</c:v>
                </c:pt>
                <c:pt idx="1">
                  <c:v>0</c:v>
                </c:pt>
                <c:pt idx="2">
                  <c:v>0</c:v>
                </c:pt>
                <c:pt idx="3">
                  <c:v>0</c:v>
                </c:pt>
              </c:numCache>
            </c:numRef>
          </c:val>
          <c:extLs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1388296480"/>
        <c:axId val="1388287232"/>
      </c:barChart>
      <c:catAx>
        <c:axId val="13882964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1388287232"/>
        <c:crosses val="autoZero"/>
        <c:auto val="1"/>
        <c:lblAlgn val="ctr"/>
        <c:lblOffset val="100"/>
        <c:tickLblSkip val="1"/>
        <c:tickMarkSkip val="1"/>
        <c:noMultiLvlLbl val="0"/>
      </c:catAx>
      <c:valAx>
        <c:axId val="1388287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13882964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u-RU"/>
          </a:p>
        </c:txPr>
      </c:legendEntry>
      <c:legendEntry>
        <c:idx val="1"/>
        <c:txPr>
          <a:bodyPr/>
          <a:lstStyle/>
          <a:p>
            <a:pPr>
              <a:defRPr sz="735" b="0" i="0" u="none" strike="noStrike" baseline="0">
                <a:solidFill>
                  <a:srgbClr val="000000"/>
                </a:solidFill>
                <a:latin typeface="Arial"/>
                <a:ea typeface="Arial"/>
                <a:cs typeface="Arial"/>
              </a:defRPr>
            </a:pPr>
            <a:endParaRPr lang="ru-RU"/>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взрослых и детей, получающих в настоящее время антиретровирусную терапию, от оценочного числа всех взрослых и детей, живущих с ВИЧ</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1"/>
          <c:order val="0"/>
          <c:tx>
            <c:strRef>
              <c:f>'Ввод данных'!$F$170</c:f>
              <c:strCache>
                <c:ptCount val="1"/>
                <c:pt idx="0">
                  <c:v>Целевой показатель</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c:f>
              <c:strCache>
                <c:ptCount val="1"/>
                <c:pt idx="0">
                  <c:v>P1</c:v>
                </c:pt>
              </c:strCache>
            </c:strRef>
          </c:cat>
          <c:val>
            <c:numRef>
              <c:f>'Ввод данных'!$G$170</c:f>
              <c:numCache>
                <c:formatCode>#,##0</c:formatCode>
                <c:ptCount val="1"/>
                <c:pt idx="0">
                  <c:v>4373</c:v>
                </c:pt>
              </c:numCache>
            </c:numRef>
          </c:val>
          <c:extLst>
            <c:ext xmlns:c16="http://schemas.microsoft.com/office/drawing/2014/chart" uri="{C3380CC4-5D6E-409C-BE32-E72D297353CC}">
              <c16:uniqueId val="{00000000-5B30-4091-B18A-6AC4751D1127}"/>
            </c:ext>
          </c:extLst>
        </c:ser>
        <c:ser>
          <c:idx val="2"/>
          <c:order val="1"/>
          <c:tx>
            <c:strRef>
              <c:f>'Ввод данных'!$F$171</c:f>
              <c:strCache>
                <c:ptCount val="1"/>
                <c:pt idx="0">
                  <c:v>Достигнуто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c:f>
              <c:strCache>
                <c:ptCount val="1"/>
                <c:pt idx="0">
                  <c:v>P1</c:v>
                </c:pt>
              </c:strCache>
            </c:strRef>
          </c:cat>
          <c:val>
            <c:numRef>
              <c:f>'Ввод данных'!$G$171</c:f>
              <c:numCache>
                <c:formatCode>#,##0</c:formatCode>
                <c:ptCount val="1"/>
                <c:pt idx="0">
                  <c:v>3718</c:v>
                </c:pt>
              </c:numCache>
            </c:numRef>
          </c:val>
          <c:extLst>
            <c:ext xmlns:c16="http://schemas.microsoft.com/office/drawing/2014/chart" uri="{C3380CC4-5D6E-409C-BE32-E72D297353CC}">
              <c16:uniqueId val="{00000001-5B30-4091-B18A-6AC4751D1127}"/>
            </c:ext>
          </c:extLst>
        </c:ser>
        <c:dLbls>
          <c:showLegendKey val="0"/>
          <c:showVal val="1"/>
          <c:showCatName val="0"/>
          <c:showSerName val="0"/>
          <c:showPercent val="0"/>
          <c:showBubbleSize val="0"/>
        </c:dLbls>
        <c:gapWidth val="150"/>
        <c:overlap val="-25"/>
        <c:axId val="1511070352"/>
        <c:axId val="1511060560"/>
      </c:barChart>
      <c:catAx>
        <c:axId val="151107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0560"/>
        <c:crosses val="autoZero"/>
        <c:auto val="1"/>
        <c:lblAlgn val="ctr"/>
        <c:lblOffset val="100"/>
        <c:noMultiLvlLbl val="0"/>
      </c:catAx>
      <c:valAx>
        <c:axId val="1511060560"/>
        <c:scaling>
          <c:orientation val="minMax"/>
        </c:scaling>
        <c:delete val="1"/>
        <c:axPos val="l"/>
        <c:numFmt formatCode="#,##0" sourceLinked="1"/>
        <c:majorTickMark val="none"/>
        <c:minorTickMark val="none"/>
        <c:tickLblPos val="nextTo"/>
        <c:crossAx val="151107035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ЛЖВ, получающих АРТ и достигших неопределяемую вирусную нагрузку (т.е. ≤1000 копий)</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данных'!$F$172</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c:f>
              <c:strCache>
                <c:ptCount val="1"/>
                <c:pt idx="0">
                  <c:v>P1</c:v>
                </c:pt>
              </c:strCache>
            </c:strRef>
          </c:cat>
          <c:val>
            <c:numRef>
              <c:f>'Ввод данных'!$G$172</c:f>
              <c:numCache>
                <c:formatCode>0.0%</c:formatCode>
                <c:ptCount val="1"/>
                <c:pt idx="0">
                  <c:v>0.54900000000000004</c:v>
                </c:pt>
              </c:numCache>
            </c:numRef>
          </c:val>
          <c:extLst>
            <c:ext xmlns:c16="http://schemas.microsoft.com/office/drawing/2014/chart" uri="{C3380CC4-5D6E-409C-BE32-E72D297353CC}">
              <c16:uniqueId val="{00000000-8E36-4759-95E6-C1FD3F67DC3B}"/>
            </c:ext>
          </c:extLst>
        </c:ser>
        <c:ser>
          <c:idx val="1"/>
          <c:order val="1"/>
          <c:tx>
            <c:strRef>
              <c:f>'Ввод данных'!$F$173</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c:f>
              <c:strCache>
                <c:ptCount val="1"/>
                <c:pt idx="0">
                  <c:v>P1</c:v>
                </c:pt>
              </c:strCache>
            </c:strRef>
          </c:cat>
          <c:val>
            <c:numRef>
              <c:f>'Ввод данных'!$G$173</c:f>
              <c:numCache>
                <c:formatCode>0.0%</c:formatCode>
                <c:ptCount val="1"/>
                <c:pt idx="0">
                  <c:v>0.68500000000000005</c:v>
                </c:pt>
              </c:numCache>
            </c:numRef>
          </c:val>
          <c:extLst>
            <c:ext xmlns:c16="http://schemas.microsoft.com/office/drawing/2014/chart" uri="{C3380CC4-5D6E-409C-BE32-E72D297353CC}">
              <c16:uniqueId val="{00000001-130A-4129-A48F-ACABB2AA91FF}"/>
            </c:ext>
          </c:extLst>
        </c:ser>
        <c:dLbls>
          <c:showLegendKey val="0"/>
          <c:showVal val="1"/>
          <c:showCatName val="0"/>
          <c:showSerName val="0"/>
          <c:showPercent val="0"/>
          <c:showBubbleSize val="0"/>
        </c:dLbls>
        <c:gapWidth val="150"/>
        <c:overlap val="-25"/>
        <c:axId val="1511065456"/>
        <c:axId val="1511062736"/>
      </c:barChart>
      <c:catAx>
        <c:axId val="151106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2736"/>
        <c:crosses val="autoZero"/>
        <c:auto val="1"/>
        <c:lblAlgn val="ctr"/>
        <c:lblOffset val="100"/>
        <c:noMultiLvlLbl val="0"/>
      </c:catAx>
      <c:valAx>
        <c:axId val="1511062736"/>
        <c:scaling>
          <c:orientation val="minMax"/>
        </c:scaling>
        <c:delete val="1"/>
        <c:axPos val="l"/>
        <c:numFmt formatCode="0.0%" sourceLinked="1"/>
        <c:majorTickMark val="none"/>
        <c:minorTickMark val="none"/>
        <c:tickLblPos val="nextTo"/>
        <c:crossAx val="15110654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TCP-1: </a:t>
            </a:r>
            <a:r>
              <a:rPr lang="ru-RU" sz="1000" b="0" i="0" u="none" strike="noStrike" baseline="0">
                <a:effectLst/>
              </a:rPr>
              <a:t>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a:t>
            </a:r>
            <a:r>
              <a:rPr lang="ru-RU" sz="1000" b="0" i="0" u="none" strike="noStrike" baseline="0"/>
              <a:t> </a:t>
            </a:r>
            <a:endParaRPr lang="ru-RU"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данных'!$F$208</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данных'!$G$207</c:f>
              <c:strCache>
                <c:ptCount val="1"/>
                <c:pt idx="0">
                  <c:v>Р1</c:v>
                </c:pt>
              </c:strCache>
            </c:strRef>
          </c:cat>
          <c:val>
            <c:numRef>
              <c:f>'Ввод данных'!$G$208</c:f>
              <c:numCache>
                <c:formatCode>#,##0</c:formatCode>
                <c:ptCount val="1"/>
                <c:pt idx="0">
                  <c:v>3500</c:v>
                </c:pt>
              </c:numCache>
            </c:numRef>
          </c:val>
          <c:extLst>
            <c:ext xmlns:c16="http://schemas.microsoft.com/office/drawing/2014/chart" uri="{C3380CC4-5D6E-409C-BE32-E72D297353CC}">
              <c16:uniqueId val="{00000000-3B9B-49FD-BF6F-70EC39C3254D}"/>
            </c:ext>
          </c:extLst>
        </c:ser>
        <c:ser>
          <c:idx val="1"/>
          <c:order val="1"/>
          <c:tx>
            <c:strRef>
              <c:f>'Ввод данных'!$F$209</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данных'!$G$207</c:f>
              <c:strCache>
                <c:ptCount val="1"/>
                <c:pt idx="0">
                  <c:v>Р1</c:v>
                </c:pt>
              </c:strCache>
            </c:strRef>
          </c:cat>
          <c:val>
            <c:numRef>
              <c:f>'Ввод данных'!$G$209</c:f>
              <c:numCache>
                <c:formatCode>#,##0</c:formatCode>
                <c:ptCount val="1"/>
                <c:pt idx="0">
                  <c:v>3191</c:v>
                </c:pt>
              </c:numCache>
            </c:numRef>
          </c:val>
          <c:extLst>
            <c:ext xmlns:c16="http://schemas.microsoft.com/office/drawing/2014/chart" uri="{C3380CC4-5D6E-409C-BE32-E72D297353CC}">
              <c16:uniqueId val="{00000001-3B9B-49FD-BF6F-70EC39C3254D}"/>
            </c:ext>
          </c:extLst>
        </c:ser>
        <c:dLbls>
          <c:showLegendKey val="0"/>
          <c:showVal val="1"/>
          <c:showCatName val="0"/>
          <c:showSerName val="0"/>
          <c:showPercent val="0"/>
          <c:showBubbleSize val="0"/>
        </c:dLbls>
        <c:gapWidth val="150"/>
        <c:overlap val="-25"/>
        <c:axId val="1511056208"/>
        <c:axId val="1511056752"/>
      </c:barChart>
      <c:catAx>
        <c:axId val="151105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6752"/>
        <c:crosses val="autoZero"/>
        <c:auto val="1"/>
        <c:lblAlgn val="ctr"/>
        <c:lblOffset val="100"/>
        <c:noMultiLvlLbl val="0"/>
      </c:catAx>
      <c:valAx>
        <c:axId val="1511056752"/>
        <c:scaling>
          <c:orientation val="minMax"/>
        </c:scaling>
        <c:delete val="1"/>
        <c:axPos val="l"/>
        <c:numFmt formatCode="#,##0" sourceLinked="1"/>
        <c:majorTickMark val="none"/>
        <c:minorTickMark val="none"/>
        <c:tickLblPos val="nextTo"/>
        <c:crossAx val="151105620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TB-2: </a:t>
            </a:r>
            <a:r>
              <a:rPr lang="ru-RU" sz="1000" b="0" i="0" u="none" strike="noStrike" baseline="0">
                <a:effectLst/>
              </a:rPr>
              <a:t>Количество бактериологически подтвержденных зарегистрированных ЛУ-ТБ случаев (РУ-ТБ и/или МЛУ-ТБ) </a:t>
            </a:r>
            <a:endParaRPr lang="ru-RU"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данных'!$F$210</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данных'!$G$207</c:f>
              <c:strCache>
                <c:ptCount val="1"/>
                <c:pt idx="0">
                  <c:v>Р1</c:v>
                </c:pt>
              </c:strCache>
            </c:strRef>
          </c:cat>
          <c:val>
            <c:numRef>
              <c:f>'Ввод данных'!$G$210</c:f>
              <c:numCache>
                <c:formatCode>#,##0</c:formatCode>
                <c:ptCount val="1"/>
                <c:pt idx="0">
                  <c:v>700</c:v>
                </c:pt>
              </c:numCache>
            </c:numRef>
          </c:val>
          <c:extLst>
            <c:ext xmlns:c16="http://schemas.microsoft.com/office/drawing/2014/chart" uri="{C3380CC4-5D6E-409C-BE32-E72D297353CC}">
              <c16:uniqueId val="{00000000-0FA3-483E-9E00-1641FC511067}"/>
            </c:ext>
          </c:extLst>
        </c:ser>
        <c:ser>
          <c:idx val="1"/>
          <c:order val="1"/>
          <c:tx>
            <c:strRef>
              <c:f>'Ввод данных'!$F$211</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данных'!$G$207</c:f>
              <c:strCache>
                <c:ptCount val="1"/>
                <c:pt idx="0">
                  <c:v>Р1</c:v>
                </c:pt>
              </c:strCache>
            </c:strRef>
          </c:cat>
          <c:val>
            <c:numRef>
              <c:f>'Ввод данных'!$G$211</c:f>
              <c:numCache>
                <c:formatCode>#,##0</c:formatCode>
                <c:ptCount val="1"/>
                <c:pt idx="0">
                  <c:v>847</c:v>
                </c:pt>
              </c:numCache>
            </c:numRef>
          </c:val>
          <c:extLst>
            <c:ext xmlns:c16="http://schemas.microsoft.com/office/drawing/2014/chart" uri="{C3380CC4-5D6E-409C-BE32-E72D297353CC}">
              <c16:uniqueId val="{00000000-6FEB-490A-9FBE-7AF32BF3D081}"/>
            </c:ext>
          </c:extLst>
        </c:ser>
        <c:dLbls>
          <c:showLegendKey val="0"/>
          <c:showVal val="1"/>
          <c:showCatName val="0"/>
          <c:showSerName val="0"/>
          <c:showPercent val="0"/>
          <c:showBubbleSize val="0"/>
        </c:dLbls>
        <c:gapWidth val="150"/>
        <c:overlap val="-25"/>
        <c:axId val="1512274016"/>
        <c:axId val="1512273472"/>
      </c:barChart>
      <c:catAx>
        <c:axId val="15122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73472"/>
        <c:crosses val="autoZero"/>
        <c:auto val="1"/>
        <c:lblAlgn val="ctr"/>
        <c:lblOffset val="100"/>
        <c:noMultiLvlLbl val="0"/>
      </c:catAx>
      <c:valAx>
        <c:axId val="1512273472"/>
        <c:scaling>
          <c:orientation val="minMax"/>
        </c:scaling>
        <c:delete val="1"/>
        <c:axPos val="l"/>
        <c:numFmt formatCode="#,##0" sourceLinked="1"/>
        <c:majorTickMark val="none"/>
        <c:minorTickMark val="none"/>
        <c:tickLblPos val="nextTo"/>
        <c:crossAx val="151227401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TB-3: </a:t>
            </a:r>
            <a:r>
              <a:rPr lang="ru-RU" sz="1000" b="0" i="0" u="none" strike="noStrike" baseline="0">
                <a:effectLst/>
              </a:rPr>
              <a:t>Количество случаев с РУ/МЛУ ТБ, начавших лечение препаратами второго ряда </a:t>
            </a:r>
            <a:endParaRPr lang="ru-RU"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2.6907577767137161E-2"/>
          <c:y val="0.28708574224016331"/>
          <c:w val="0.97309242223286285"/>
          <c:h val="0.59200153327338678"/>
        </c:manualLayout>
      </c:layout>
      <c:barChart>
        <c:barDir val="col"/>
        <c:grouping val="clustered"/>
        <c:varyColors val="0"/>
        <c:ser>
          <c:idx val="0"/>
          <c:order val="0"/>
          <c:tx>
            <c:strRef>
              <c:f>'Ввод данных'!$F$212</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данных'!$G$207</c:f>
              <c:strCache>
                <c:ptCount val="1"/>
                <c:pt idx="0">
                  <c:v>Р1</c:v>
                </c:pt>
              </c:strCache>
            </c:strRef>
          </c:cat>
          <c:val>
            <c:numRef>
              <c:f>'Ввод данных'!$G$212</c:f>
              <c:numCache>
                <c:formatCode>#,##0</c:formatCode>
                <c:ptCount val="1"/>
                <c:pt idx="0">
                  <c:v>700</c:v>
                </c:pt>
              </c:numCache>
            </c:numRef>
          </c:val>
          <c:extLst>
            <c:ext xmlns:c16="http://schemas.microsoft.com/office/drawing/2014/chart" uri="{C3380CC4-5D6E-409C-BE32-E72D297353CC}">
              <c16:uniqueId val="{00000000-C5F8-4F29-8519-CACFFDA40A9D}"/>
            </c:ext>
          </c:extLst>
        </c:ser>
        <c:ser>
          <c:idx val="1"/>
          <c:order val="1"/>
          <c:tx>
            <c:strRef>
              <c:f>'Ввод данных'!$F$213</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данных'!$G$207</c:f>
              <c:strCache>
                <c:ptCount val="1"/>
                <c:pt idx="0">
                  <c:v>Р1</c:v>
                </c:pt>
              </c:strCache>
            </c:strRef>
          </c:cat>
          <c:val>
            <c:numRef>
              <c:f>'Ввод данных'!$G$213</c:f>
              <c:numCache>
                <c:formatCode>#,##0</c:formatCode>
                <c:ptCount val="1"/>
                <c:pt idx="0">
                  <c:v>671</c:v>
                </c:pt>
              </c:numCache>
            </c:numRef>
          </c:val>
          <c:extLst>
            <c:ext xmlns:c16="http://schemas.microsoft.com/office/drawing/2014/chart" uri="{C3380CC4-5D6E-409C-BE32-E72D297353CC}">
              <c16:uniqueId val="{00000000-5E67-423E-AF7A-3C6CCD39638C}"/>
            </c:ext>
          </c:extLst>
        </c:ser>
        <c:dLbls>
          <c:showLegendKey val="0"/>
          <c:showVal val="1"/>
          <c:showCatName val="0"/>
          <c:showSerName val="0"/>
          <c:showPercent val="0"/>
          <c:showBubbleSize val="0"/>
        </c:dLbls>
        <c:gapWidth val="150"/>
        <c:overlap val="-25"/>
        <c:axId val="1512272384"/>
        <c:axId val="1512268032"/>
      </c:barChart>
      <c:catAx>
        <c:axId val="15122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68032"/>
        <c:crosses val="autoZero"/>
        <c:auto val="1"/>
        <c:lblAlgn val="ctr"/>
        <c:lblOffset val="100"/>
        <c:noMultiLvlLbl val="0"/>
      </c:catAx>
      <c:valAx>
        <c:axId val="1512268032"/>
        <c:scaling>
          <c:orientation val="minMax"/>
        </c:scaling>
        <c:delete val="1"/>
        <c:axPos val="l"/>
        <c:numFmt formatCode="#,##0" sourceLinked="1"/>
        <c:majorTickMark val="none"/>
        <c:minorTickMark val="none"/>
        <c:tickLblPos val="nextTo"/>
        <c:crossAx val="15122723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'Ввод данных'!$A$33</c:f>
              <c:strCache>
                <c:ptCount val="1"/>
                <c:pt idx="0">
                  <c:v>Общий бюджет</c:v>
                </c:pt>
              </c:strCache>
            </c:strRef>
          </c:tx>
          <c:spPr>
            <a:solidFill>
              <a:srgbClr val="339966"/>
            </a:solidFill>
            <a:ln w="12700">
              <a:solidFill>
                <a:srgbClr val="0000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данных'!$B$33:$L$33</c:f>
              <c:numCache>
                <c:formatCode>#,##0</c:formatCode>
                <c:ptCount val="11"/>
                <c:pt idx="0">
                  <c:v>7763873.9000000004</c:v>
                </c:pt>
                <c:pt idx="1">
                  <c:v>0</c:v>
                </c:pt>
                <c:pt idx="2">
                  <c:v>0</c:v>
                </c:pt>
                <c:pt idx="3">
                  <c:v>0</c:v>
                </c:pt>
              </c:numCache>
            </c:numRef>
          </c:val>
          <c:extLst>
            <c:ext xmlns:c16="http://schemas.microsoft.com/office/drawing/2014/chart" uri="{C3380CC4-5D6E-409C-BE32-E72D297353CC}">
              <c16:uniqueId val="{00000000-745B-4750-98B5-D01D83B5846C}"/>
            </c:ext>
          </c:extLst>
        </c:ser>
        <c:ser>
          <c:idx val="1"/>
          <c:order val="1"/>
          <c:tx>
            <c:strRef>
              <c:f>'Ввод данных'!$A$34</c:f>
              <c:strCache>
                <c:ptCount val="1"/>
                <c:pt idx="0">
                  <c:v>Общая сумма выплат</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данных'!$B$34:$L$34</c:f>
              <c:numCache>
                <c:formatCode>#,##0</c:formatCode>
                <c:ptCount val="11"/>
                <c:pt idx="0">
                  <c:v>9283289</c:v>
                </c:pt>
                <c:pt idx="1">
                  <c:v>0</c:v>
                </c:pt>
                <c:pt idx="2">
                  <c:v>0</c:v>
                </c:pt>
                <c:pt idx="3">
                  <c:v>0</c:v>
                </c:pt>
              </c:numCache>
            </c:numRef>
          </c:val>
          <c:extLst>
            <c:ext xmlns:c16="http://schemas.microsoft.com/office/drawing/2014/chart" uri="{C3380CC4-5D6E-409C-BE32-E72D297353CC}">
              <c16:uniqueId val="{00000001-745B-4750-98B5-D01D83B5846C}"/>
            </c:ext>
          </c:extLst>
        </c:ser>
        <c:dLbls>
          <c:showLegendKey val="0"/>
          <c:showVal val="0"/>
          <c:showCatName val="0"/>
          <c:showSerName val="0"/>
          <c:showPercent val="0"/>
          <c:showBubbleSize val="0"/>
        </c:dLbls>
        <c:dropLines>
          <c:spPr>
            <a:ln w="3175">
              <a:solidFill>
                <a:srgbClr val="000000"/>
              </a:solidFill>
              <a:prstDash val="solid"/>
            </a:ln>
          </c:spPr>
        </c:dropLines>
        <c:axId val="1512269664"/>
        <c:axId val="1512270208"/>
      </c:areaChart>
      <c:catAx>
        <c:axId val="151226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1512270208"/>
        <c:crosses val="autoZero"/>
        <c:auto val="1"/>
        <c:lblAlgn val="ctr"/>
        <c:lblOffset val="100"/>
        <c:tickLblSkip val="8"/>
        <c:tickMarkSkip val="1"/>
        <c:noMultiLvlLbl val="0"/>
      </c:catAx>
      <c:valAx>
        <c:axId val="151227020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15122696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7684682629"/>
          <c:y val="3.9455782312925194E-2"/>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данных'!$A$39:$A$55</c:f>
              <c:strCache>
                <c:ptCount val="13"/>
                <c:pt idx="0">
                  <c:v>Профилактика - Работники секс-бизнеса и их клиенты</c:v>
                </c:pt>
                <c:pt idx="1">
                  <c:v>Профилактика - ПИН и их партнеры</c:v>
                </c:pt>
                <c:pt idx="2">
                  <c:v>Профилактика - Другие уязвимые группы населения </c:v>
                </c:pt>
                <c:pt idx="3">
                  <c:v>ППМР</c:v>
                </c:pt>
                <c:pt idx="4">
                  <c:v>Лечение, уход и поддержка </c:v>
                </c:pt>
                <c:pt idx="5">
                  <c:v>ТБ/ВИЧ</c:v>
                </c:pt>
                <c:pt idx="6">
                  <c:v>МЛУ-ТБ</c:v>
                </c:pt>
                <c:pt idx="7">
                  <c:v>Укрепление систем сообществ</c:v>
                </c:pt>
                <c:pt idx="8">
                  <c:v>УC3 - Информационные системы здравоохранения и МиО</c:v>
                </c:pt>
                <c:pt idx="9">
                  <c:v>Управление программой</c:v>
                </c:pt>
                <c:pt idx="10">
                  <c:v>Профилактика - заключенные </c:v>
                </c:pt>
                <c:pt idx="11">
                  <c:v>Профилактика - МСМ и трансгендерные лица</c:v>
                </c:pt>
                <c:pt idx="12">
                  <c:v>Устранение правовых барьеров к доступу</c:v>
                </c:pt>
              </c:strCache>
            </c:strRef>
          </c:cat>
          <c:val>
            <c:numRef>
              <c:f>'Ввод данных'!$B$39:$B$55</c:f>
              <c:numCache>
                <c:formatCode>#,##0</c:formatCode>
                <c:ptCount val="17"/>
                <c:pt idx="0">
                  <c:v>356854.99</c:v>
                </c:pt>
                <c:pt idx="1">
                  <c:v>730796.26</c:v>
                </c:pt>
                <c:pt idx="2">
                  <c:v>2951.1</c:v>
                </c:pt>
                <c:pt idx="3">
                  <c:v>33593.21</c:v>
                </c:pt>
                <c:pt idx="4">
                  <c:v>1030139.54</c:v>
                </c:pt>
                <c:pt idx="5">
                  <c:v>8211.52</c:v>
                </c:pt>
                <c:pt idx="6">
                  <c:v>3757429.23</c:v>
                </c:pt>
                <c:pt idx="7">
                  <c:v>17866.830000000002</c:v>
                </c:pt>
                <c:pt idx="8">
                  <c:v>29700.05</c:v>
                </c:pt>
                <c:pt idx="9">
                  <c:v>1373211.27</c:v>
                </c:pt>
                <c:pt idx="10">
                  <c:v>47912.26</c:v>
                </c:pt>
                <c:pt idx="11">
                  <c:v>172596.16</c:v>
                </c:pt>
                <c:pt idx="12">
                  <c:v>202611.48</c:v>
                </c:pt>
              </c:numCache>
            </c:numRef>
          </c:val>
          <c:extLs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данных'!$A$39:$A$55</c:f>
              <c:strCache>
                <c:ptCount val="13"/>
                <c:pt idx="0">
                  <c:v>Профилактика - Работники секс-бизнеса и их клиенты</c:v>
                </c:pt>
                <c:pt idx="1">
                  <c:v>Профилактика - ПИН и их партнеры</c:v>
                </c:pt>
                <c:pt idx="2">
                  <c:v>Профилактика - Другие уязвимые группы населения </c:v>
                </c:pt>
                <c:pt idx="3">
                  <c:v>ППМР</c:v>
                </c:pt>
                <c:pt idx="4">
                  <c:v>Лечение, уход и поддержка </c:v>
                </c:pt>
                <c:pt idx="5">
                  <c:v>ТБ/ВИЧ</c:v>
                </c:pt>
                <c:pt idx="6">
                  <c:v>МЛУ-ТБ</c:v>
                </c:pt>
                <c:pt idx="7">
                  <c:v>Укрепление систем сообществ</c:v>
                </c:pt>
                <c:pt idx="8">
                  <c:v>УC3 - Информационные системы здравоохранения и МиО</c:v>
                </c:pt>
                <c:pt idx="9">
                  <c:v>Управление программой</c:v>
                </c:pt>
                <c:pt idx="10">
                  <c:v>Профилактика - заключенные </c:v>
                </c:pt>
                <c:pt idx="11">
                  <c:v>Профилактика - МСМ и трансгендерные лица</c:v>
                </c:pt>
                <c:pt idx="12">
                  <c:v>Устранение правовых барьеров к доступу</c:v>
                </c:pt>
              </c:strCache>
            </c:strRef>
          </c:cat>
          <c:val>
            <c:numRef>
              <c:f>'Ввод данных'!$C$39:$C$55</c:f>
              <c:numCache>
                <c:formatCode>#,##0</c:formatCode>
                <c:ptCount val="17"/>
                <c:pt idx="0">
                  <c:v>73535.91</c:v>
                </c:pt>
                <c:pt idx="1">
                  <c:v>506221.75</c:v>
                </c:pt>
                <c:pt idx="2">
                  <c:v>0</c:v>
                </c:pt>
                <c:pt idx="3">
                  <c:v>121.8</c:v>
                </c:pt>
                <c:pt idx="4">
                  <c:v>383985.39</c:v>
                </c:pt>
                <c:pt idx="5">
                  <c:v>0</c:v>
                </c:pt>
                <c:pt idx="6">
                  <c:v>1048716</c:v>
                </c:pt>
                <c:pt idx="7">
                  <c:v>14550.33</c:v>
                </c:pt>
                <c:pt idx="8">
                  <c:v>27741.15</c:v>
                </c:pt>
                <c:pt idx="9">
                  <c:v>904267.58</c:v>
                </c:pt>
                <c:pt idx="10">
                  <c:v>31146.42</c:v>
                </c:pt>
                <c:pt idx="11">
                  <c:v>86004.76</c:v>
                </c:pt>
                <c:pt idx="12">
                  <c:v>153038.49</c:v>
                </c:pt>
              </c:numCache>
            </c:numRef>
          </c:val>
          <c:extLs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1388297024"/>
        <c:axId val="1388292128"/>
      </c:barChart>
      <c:catAx>
        <c:axId val="138829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1388292128"/>
        <c:crosses val="autoZero"/>
        <c:auto val="1"/>
        <c:lblAlgn val="ctr"/>
        <c:lblOffset val="100"/>
        <c:tickMarkSkip val="1"/>
        <c:noMultiLvlLbl val="0"/>
      </c:catAx>
      <c:valAx>
        <c:axId val="13882921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13882970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данных'!$B$61:$B$64</c:f>
              <c:numCache>
                <c:formatCode>#,##0</c:formatCode>
                <c:ptCount val="4"/>
              </c:numCache>
            </c:numRef>
          </c:val>
          <c:extLs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данных'!$C$61:$C$64</c:f>
              <c:numCache>
                <c:formatCode>#,##0</c:formatCode>
                <c:ptCount val="4"/>
                <c:pt idx="0">
                  <c:v>9283289</c:v>
                </c:pt>
                <c:pt idx="1">
                  <c:v>5559757</c:v>
                </c:pt>
                <c:pt idx="2">
                  <c:v>1045893</c:v>
                </c:pt>
                <c:pt idx="3">
                  <c:v>997821</c:v>
                </c:pt>
              </c:numCache>
            </c:numRef>
          </c:val>
          <c:extLs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1388286688"/>
        <c:axId val="1388282880"/>
      </c:barChart>
      <c:catAx>
        <c:axId val="1388286688"/>
        <c:scaling>
          <c:orientation val="minMax"/>
        </c:scaling>
        <c:delete val="0"/>
        <c:axPos val="b"/>
        <c:numFmt formatCode="General" sourceLinked="1"/>
        <c:majorTickMark val="none"/>
        <c:minorTickMark val="none"/>
        <c:tickLblPos val="nextTo"/>
        <c:crossAx val="1388282880"/>
        <c:crosses val="autoZero"/>
        <c:auto val="1"/>
        <c:lblAlgn val="ctr"/>
        <c:lblOffset val="100"/>
        <c:noMultiLvlLbl val="0"/>
      </c:catAx>
      <c:valAx>
        <c:axId val="1388282880"/>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ru-RU"/>
          </a:p>
        </c:txPr>
        <c:crossAx val="1388286688"/>
        <c:crosses val="autoZero"/>
        <c:crossBetween val="between"/>
      </c:valAx>
      <c:dTable>
        <c:showHorzBorder val="1"/>
        <c:showVertBorder val="1"/>
        <c:showOutline val="1"/>
        <c:showKeys val="1"/>
        <c:txPr>
          <a:bodyPr/>
          <a:lstStyle/>
          <a:p>
            <a:pPr rtl="0">
              <a:defRPr sz="500" baseline="0"/>
            </a:pPr>
            <a:endParaRPr lang="ru-RU"/>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'Ввод данных'!$A$102:$A$106</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данных'!$C$102:$C$106</c:f>
              <c:numCache>
                <c:formatCode>0</c:formatCode>
                <c:ptCount val="5"/>
                <c:pt idx="0" formatCode="General">
                  <c:v>0</c:v>
                </c:pt>
                <c:pt idx="1">
                  <c:v>0</c:v>
                </c:pt>
                <c:pt idx="2">
                  <c:v>32</c:v>
                </c:pt>
                <c:pt idx="4">
                  <c:v>12</c:v>
                </c:pt>
              </c:numCache>
            </c:numRef>
          </c:val>
          <c:extLs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'Ввод данных'!$A$102:$A$106</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данных'!$D$102:$D$106</c:f>
              <c:numCache>
                <c:formatCode>0</c:formatCode>
                <c:ptCount val="5"/>
                <c:pt idx="0" formatCode="General">
                  <c:v>0</c:v>
                </c:pt>
                <c:pt idx="1">
                  <c:v>0</c:v>
                </c:pt>
                <c:pt idx="2">
                  <c:v>0</c:v>
                </c:pt>
                <c:pt idx="3">
                  <c:v>0</c:v>
                </c:pt>
                <c:pt idx="4">
                  <c:v>0</c:v>
                </c:pt>
              </c:numCache>
            </c:numRef>
          </c:val>
          <c:extLs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1388293216"/>
        <c:axId val="1388288320"/>
      </c:barChart>
      <c:catAx>
        <c:axId val="138829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88320"/>
        <c:crosses val="autoZero"/>
        <c:auto val="1"/>
        <c:lblAlgn val="ctr"/>
        <c:lblOffset val="100"/>
        <c:noMultiLvlLbl val="0"/>
      </c:catAx>
      <c:valAx>
        <c:axId val="13882883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93216"/>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1" l="0.75000000000000033" r="0.750000000000000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'Ввод данных'!$A$90</c:f>
              <c:strCache>
                <c:ptCount val="1"/>
                <c:pt idx="0">
                  <c:v>ВИЧ/СПИД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данных'!$B$90:$D$90</c:f>
              <c:numCache>
                <c:formatCode>0</c:formatCode>
                <c:ptCount val="3"/>
                <c:pt idx="0">
                  <c:v>4</c:v>
                </c:pt>
                <c:pt idx="1">
                  <c:v>4</c:v>
                </c:pt>
                <c:pt idx="2" formatCode="General">
                  <c:v>0</c:v>
                </c:pt>
              </c:numCache>
            </c:numRef>
          </c:val>
          <c:extLst>
            <c:ext xmlns:c16="http://schemas.microsoft.com/office/drawing/2014/chart" uri="{C3380CC4-5D6E-409C-BE32-E72D297353CC}">
              <c16:uniqueId val="{00000000-274B-4005-864A-0DDDFC5C7C10}"/>
            </c:ext>
          </c:extLst>
        </c:ser>
        <c:ser>
          <c:idx val="0"/>
          <c:order val="1"/>
          <c:tx>
            <c:strRef>
              <c:f>'Ввод данных'!$A$91</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данных'!$B$91:$D$91</c:f>
              <c:numCache>
                <c:formatCode>General</c:formatCode>
                <c:ptCount val="3"/>
                <c:pt idx="0">
                  <c:v>2</c:v>
                </c:pt>
                <c:pt idx="1">
                  <c:v>2</c:v>
                </c:pt>
                <c:pt idx="2" formatCode="0">
                  <c:v>0</c:v>
                </c:pt>
              </c:numCache>
            </c:numRef>
          </c:val>
          <c:extLst>
            <c:ext xmlns:c16="http://schemas.microsoft.com/office/drawing/2014/chart" uri="{C3380CC4-5D6E-409C-BE32-E72D297353CC}">
              <c16:uniqueId val="{00000001-6F9B-4B25-914D-D5664FA4C833}"/>
            </c:ext>
          </c:extLst>
        </c:ser>
        <c:ser>
          <c:idx val="2"/>
          <c:order val="2"/>
          <c:tx>
            <c:strRef>
              <c:f>'Ввод данных'!$A$92</c:f>
              <c:strCache>
                <c:ptCount val="1"/>
                <c:pt idx="0">
                  <c:v>General (both components)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данных'!$B$92:$D$92</c:f>
              <c:numCache>
                <c:formatCode>General</c:formatCode>
                <c:ptCount val="3"/>
                <c:pt idx="0">
                  <c:v>16</c:v>
                </c:pt>
                <c:pt idx="1">
                  <c:v>16</c:v>
                </c:pt>
                <c:pt idx="2">
                  <c:v>0</c:v>
                </c:pt>
              </c:numCache>
            </c:numRef>
          </c:val>
          <c:extLst>
            <c:ext xmlns:c16="http://schemas.microsoft.com/office/drawing/2014/chart" uri="{C3380CC4-5D6E-409C-BE32-E72D297353CC}">
              <c16:uniqueId val="{00000002-6F9B-4B25-914D-D5664FA4C833}"/>
            </c:ext>
          </c:extLst>
        </c:ser>
        <c:dLbls>
          <c:showLegendKey val="0"/>
          <c:showVal val="1"/>
          <c:showCatName val="0"/>
          <c:showSerName val="0"/>
          <c:showPercent val="0"/>
          <c:showBubbleSize val="0"/>
        </c:dLbls>
        <c:gapWidth val="150"/>
        <c:overlap val="-25"/>
        <c:axId val="1511063280"/>
        <c:axId val="1511061648"/>
      </c:barChart>
      <c:catAx>
        <c:axId val="151106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1648"/>
        <c:crosses val="autoZero"/>
        <c:auto val="1"/>
        <c:lblAlgn val="ctr"/>
        <c:lblOffset val="100"/>
        <c:noMultiLvlLbl val="0"/>
      </c:catAx>
      <c:valAx>
        <c:axId val="1511061648"/>
        <c:scaling>
          <c:orientation val="minMax"/>
        </c:scaling>
        <c:delete val="1"/>
        <c:axPos val="l"/>
        <c:numFmt formatCode="0" sourceLinked="1"/>
        <c:majorTickMark val="none"/>
        <c:minorTickMark val="none"/>
        <c:tickLblPos val="nextTo"/>
        <c:crossAx val="151106328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0-9E67-4D7D-BE0E-C99C3E701244}"/>
            </c:ext>
          </c:extLst>
        </c:ser>
        <c:ser>
          <c:idx val="1"/>
          <c:order val="1"/>
          <c:tx>
            <c:strRef>
              <c:f>'Ввод данных'!$C$80</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данных'!$C$81:$C$84</c:f>
              <c:numCache>
                <c:formatCode>0</c:formatCode>
                <c:ptCount val="4"/>
                <c:pt idx="1">
                  <c:v>0</c:v>
                </c:pt>
                <c:pt idx="2">
                  <c:v>0</c:v>
                </c:pt>
                <c:pt idx="3">
                  <c:v>0</c:v>
                </c:pt>
              </c:numCache>
            </c:numRef>
          </c:val>
          <c:extLst>
            <c:ext xmlns:c16="http://schemas.microsoft.com/office/drawing/2014/chart" uri="{C3380CC4-5D6E-409C-BE32-E72D297353CC}">
              <c16:uniqueId val="{00000001-9E67-4D7D-BE0E-C99C3E701244}"/>
            </c:ext>
          </c:extLst>
        </c:ser>
        <c:ser>
          <c:idx val="2"/>
          <c:order val="2"/>
          <c:tx>
            <c:strRef>
              <c:f>'Ввод данных'!$D$80</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данных'!$D$81:$D$84</c:f>
              <c:numCache>
                <c:formatCode>0</c:formatCode>
                <c:ptCount val="4"/>
                <c:pt idx="1">
                  <c:v>0</c:v>
                </c:pt>
                <c:pt idx="2">
                  <c:v>0</c:v>
                </c:pt>
                <c:pt idx="3">
                  <c:v>0</c:v>
                </c:pt>
              </c:numCache>
            </c:numRef>
          </c:val>
          <c:extLst>
            <c:ext xmlns:c16="http://schemas.microsoft.com/office/drawing/2014/chart" uri="{C3380CC4-5D6E-409C-BE32-E72D297353CC}">
              <c16:uniqueId val="{00000002-9E67-4D7D-BE0E-C99C3E701244}"/>
            </c:ext>
          </c:extLst>
        </c:ser>
        <c:ser>
          <c:idx val="3"/>
          <c:order val="3"/>
          <c:tx>
            <c:v>Невыполненные и просроченные</c:v>
          </c:tx>
          <c:spPr>
            <a:solidFill>
              <a:schemeClr val="accent1">
                <a:lumMod val="60000"/>
              </a:schemeClr>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3-9E67-4D7D-BE0E-C99C3E701244}"/>
            </c:ext>
          </c:extLst>
        </c:ser>
        <c:dLbls>
          <c:showLegendKey val="0"/>
          <c:showVal val="0"/>
          <c:showCatName val="0"/>
          <c:showSerName val="0"/>
          <c:showPercent val="0"/>
          <c:showBubbleSize val="0"/>
        </c:dLbls>
        <c:gapWidth val="55"/>
        <c:overlap val="100"/>
        <c:axId val="1511067088"/>
        <c:axId val="1511068720"/>
      </c:barChart>
      <c:catAx>
        <c:axId val="1511067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8720"/>
        <c:crosses val="autoZero"/>
        <c:auto val="1"/>
        <c:lblAlgn val="ctr"/>
        <c:lblOffset val="100"/>
        <c:tickLblSkip val="1"/>
        <c:tickMarkSkip val="1"/>
        <c:noMultiLvlLbl val="0"/>
      </c:catAx>
      <c:valAx>
        <c:axId val="151106872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11067088"/>
        <c:crosses val="autoZero"/>
        <c:crossBetween val="between"/>
      </c:valAx>
      <c:spPr>
        <a:noFill/>
        <a:ln>
          <a:noFill/>
        </a:ln>
        <a:effectLst/>
      </c:spPr>
    </c:plotArea>
    <c:legend>
      <c:legendPos val="r"/>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данных'!$A$90</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данных'!$B$96:$F$96</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данных'!$B$97:$F$97</c:f>
              <c:numCache>
                <c:formatCode>General</c:formatCode>
                <c:ptCount val="5"/>
                <c:pt idx="0">
                  <c:v>24</c:v>
                </c:pt>
                <c:pt idx="1">
                  <c:v>28</c:v>
                </c:pt>
                <c:pt idx="2">
                  <c:v>28</c:v>
                </c:pt>
                <c:pt idx="3">
                  <c:v>28</c:v>
                </c:pt>
                <c:pt idx="4">
                  <c:v>28</c:v>
                </c:pt>
              </c:numCache>
            </c:numRef>
          </c:val>
          <c:extLst>
            <c:ext xmlns:c16="http://schemas.microsoft.com/office/drawing/2014/chart" uri="{C3380CC4-5D6E-409C-BE32-E72D297353CC}">
              <c16:uniqueId val="{00000000-3C2F-4B91-B11C-0BA014ED291D}"/>
            </c:ext>
          </c:extLst>
        </c:ser>
        <c:ser>
          <c:idx val="1"/>
          <c:order val="1"/>
          <c:tx>
            <c:strRef>
              <c:f>'Ввод данных'!$A$92</c:f>
              <c:strCache>
                <c:ptCount val="1"/>
                <c:pt idx="0">
                  <c:v>General (both components)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данных'!$B$96:$F$96</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данных'!$B$98:$F$98</c:f>
              <c:numCache>
                <c:formatCode>General</c:formatCode>
                <c:ptCount val="5"/>
                <c:pt idx="0">
                  <c:v>3</c:v>
                </c:pt>
                <c:pt idx="1">
                  <c:v>12</c:v>
                </c:pt>
                <c:pt idx="2">
                  <c:v>12</c:v>
                </c:pt>
                <c:pt idx="3">
                  <c:v>12</c:v>
                </c:pt>
                <c:pt idx="4">
                  <c:v>12</c:v>
                </c:pt>
              </c:numCache>
            </c:numRef>
          </c:val>
          <c:extLst>
            <c:ext xmlns:c16="http://schemas.microsoft.com/office/drawing/2014/chart" uri="{C3380CC4-5D6E-409C-BE32-E72D297353CC}">
              <c16:uniqueId val="{00000001-3C2F-4B91-B11C-0BA014ED291D}"/>
            </c:ext>
          </c:extLst>
        </c:ser>
        <c:dLbls>
          <c:showLegendKey val="0"/>
          <c:showVal val="1"/>
          <c:showCatName val="0"/>
          <c:showSerName val="0"/>
          <c:showPercent val="0"/>
          <c:showBubbleSize val="0"/>
        </c:dLbls>
        <c:gapWidth val="150"/>
        <c:overlap val="-25"/>
        <c:axId val="1511067632"/>
        <c:axId val="1511058928"/>
      </c:barChart>
      <c:catAx>
        <c:axId val="15110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8928"/>
        <c:crosses val="autoZero"/>
        <c:auto val="1"/>
        <c:lblAlgn val="ctr"/>
        <c:lblOffset val="100"/>
        <c:noMultiLvlLbl val="0"/>
      </c:catAx>
      <c:valAx>
        <c:axId val="1511058928"/>
        <c:scaling>
          <c:orientation val="minMax"/>
        </c:scaling>
        <c:delete val="1"/>
        <c:axPos val="l"/>
        <c:numFmt formatCode="General" sourceLinked="1"/>
        <c:majorTickMark val="none"/>
        <c:minorTickMark val="none"/>
        <c:tickLblPos val="nextTo"/>
        <c:crossAx val="15110676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данных'!$A$114</c:f>
              <c:strCache>
                <c:ptCount val="1"/>
                <c:pt idx="0">
                  <c:v>Совокупный утвердженный бюджет*</c:v>
                </c:pt>
              </c:strCache>
            </c:strRef>
          </c:tx>
          <c:spPr>
            <a:solidFill>
              <a:schemeClr val="accent1"/>
            </a:solidFill>
            <a:ln>
              <a:noFill/>
            </a:ln>
            <a:effectLst/>
          </c:spPr>
          <c:invertIfNegative val="0"/>
          <c:cat>
            <c:strRef>
              <c:f>'Ввод данных'!$B$110:$F$110</c:f>
              <c:strCache>
                <c:ptCount val="5"/>
                <c:pt idx="0">
                  <c:v>P1</c:v>
                </c:pt>
                <c:pt idx="1">
                  <c:v>P2</c:v>
                </c:pt>
                <c:pt idx="2">
                  <c:v>P3</c:v>
                </c:pt>
                <c:pt idx="3">
                  <c:v>P4</c:v>
                </c:pt>
                <c:pt idx="4">
                  <c:v>P5</c:v>
                </c:pt>
              </c:strCache>
            </c:strRef>
          </c:cat>
          <c:val>
            <c:numRef>
              <c:f>'Ввод данных'!$B$114:$F$114</c:f>
              <c:numCache>
                <c:formatCode>#,##0</c:formatCode>
                <c:ptCount val="5"/>
                <c:pt idx="0">
                  <c:v>4455859.42</c:v>
                </c:pt>
                <c:pt idx="4">
                  <c:v>0</c:v>
                </c:pt>
              </c:numCache>
            </c:numRef>
          </c:val>
          <c:extLst>
            <c:ext xmlns:c16="http://schemas.microsoft.com/office/drawing/2014/chart" uri="{C3380CC4-5D6E-409C-BE32-E72D297353CC}">
              <c16:uniqueId val="{00000000-D5DF-4B11-9CD6-1C5401548576}"/>
            </c:ext>
          </c:extLst>
        </c:ser>
        <c:ser>
          <c:idx val="1"/>
          <c:order val="1"/>
          <c:tx>
            <c:strRef>
              <c:f>'Ввод данных'!$A$115</c:f>
              <c:strCache>
                <c:ptCount val="1"/>
                <c:pt idx="0">
                  <c:v>Общий объем финансовых обязательств</c:v>
                </c:pt>
              </c:strCache>
            </c:strRef>
          </c:tx>
          <c:spPr>
            <a:solidFill>
              <a:schemeClr val="accent2"/>
            </a:solidFill>
            <a:ln>
              <a:noFill/>
            </a:ln>
            <a:effectLst/>
          </c:spPr>
          <c:invertIfNegative val="0"/>
          <c:cat>
            <c:strRef>
              <c:f>'Ввод данных'!$B$110:$F$110</c:f>
              <c:strCache>
                <c:ptCount val="5"/>
                <c:pt idx="0">
                  <c:v>P1</c:v>
                </c:pt>
                <c:pt idx="1">
                  <c:v>P2</c:v>
                </c:pt>
                <c:pt idx="2">
                  <c:v>P3</c:v>
                </c:pt>
                <c:pt idx="3">
                  <c:v>P4</c:v>
                </c:pt>
                <c:pt idx="4">
                  <c:v>P5</c:v>
                </c:pt>
              </c:strCache>
            </c:strRef>
          </c:cat>
          <c:val>
            <c:numRef>
              <c:f>'Ввод данных'!$B$115:$F$115</c:f>
              <c:numCache>
                <c:formatCode>#,##0</c:formatCode>
                <c:ptCount val="5"/>
                <c:pt idx="0">
                  <c:v>2863012.59</c:v>
                </c:pt>
                <c:pt idx="2">
                  <c:v>0</c:v>
                </c:pt>
                <c:pt idx="3">
                  <c:v>0</c:v>
                </c:pt>
                <c:pt idx="4">
                  <c:v>0</c:v>
                </c:pt>
              </c:numCache>
            </c:numRef>
          </c:val>
          <c:extLst>
            <c:ext xmlns:c16="http://schemas.microsoft.com/office/drawing/2014/chart" uri="{C3380CC4-5D6E-409C-BE32-E72D297353CC}">
              <c16:uniqueId val="{00000001-D5DF-4B11-9CD6-1C5401548576}"/>
            </c:ext>
          </c:extLst>
        </c:ser>
        <c:ser>
          <c:idx val="2"/>
          <c:order val="2"/>
          <c:tx>
            <c:strRef>
              <c:f>'Ввод данных'!$A$116</c:f>
              <c:strCache>
                <c:ptCount val="1"/>
                <c:pt idx="0">
                  <c:v>Общий объем расходов</c:v>
                </c:pt>
              </c:strCache>
            </c:strRef>
          </c:tx>
          <c:spPr>
            <a:solidFill>
              <a:schemeClr val="accent3"/>
            </a:solidFill>
            <a:ln>
              <a:noFill/>
            </a:ln>
            <a:effectLst/>
          </c:spPr>
          <c:invertIfNegative val="0"/>
          <c:cat>
            <c:strRef>
              <c:f>'Ввод данных'!$B$110:$F$110</c:f>
              <c:strCache>
                <c:ptCount val="5"/>
                <c:pt idx="0">
                  <c:v>P1</c:v>
                </c:pt>
                <c:pt idx="1">
                  <c:v>P2</c:v>
                </c:pt>
                <c:pt idx="2">
                  <c:v>P3</c:v>
                </c:pt>
                <c:pt idx="3">
                  <c:v>P4</c:v>
                </c:pt>
                <c:pt idx="4">
                  <c:v>P5</c:v>
                </c:pt>
              </c:strCache>
            </c:strRef>
          </c:cat>
          <c:val>
            <c:numRef>
              <c:f>'Ввод данных'!$B$116:$F$116</c:f>
              <c:numCache>
                <c:formatCode>#,##0</c:formatCode>
                <c:ptCount val="5"/>
                <c:pt idx="0">
                  <c:v>1337830.7</c:v>
                </c:pt>
                <c:pt idx="2">
                  <c:v>0</c:v>
                </c:pt>
                <c:pt idx="3">
                  <c:v>0</c:v>
                </c:pt>
                <c:pt idx="4">
                  <c:v>0</c:v>
                </c:pt>
              </c:numCache>
            </c:numRef>
          </c:val>
          <c:extLst>
            <c:ext xmlns:c16="http://schemas.microsoft.com/office/drawing/2014/chart" uri="{C3380CC4-5D6E-409C-BE32-E72D297353CC}">
              <c16:uniqueId val="{00000002-D5DF-4B11-9CD6-1C5401548576}"/>
            </c:ext>
          </c:extLst>
        </c:ser>
        <c:dLbls>
          <c:showLegendKey val="0"/>
          <c:showVal val="0"/>
          <c:showCatName val="0"/>
          <c:showSerName val="0"/>
          <c:showPercent val="0"/>
          <c:showBubbleSize val="0"/>
        </c:dLbls>
        <c:gapWidth val="219"/>
        <c:overlap val="-27"/>
        <c:axId val="390931016"/>
        <c:axId val="390927408"/>
      </c:barChart>
      <c:catAx>
        <c:axId val="3909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27408"/>
        <c:crosses val="autoZero"/>
        <c:auto val="1"/>
        <c:lblAlgn val="ctr"/>
        <c:lblOffset val="100"/>
        <c:noMultiLvlLbl val="0"/>
      </c:catAx>
      <c:valAx>
        <c:axId val="390927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31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ЛУИН, охваченных программами по  профилактике ВИЧ</a:t>
            </a:r>
          </a:p>
        </c:rich>
      </c:tx>
      <c:layout/>
      <c:overlay val="1"/>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данных'!$F$168</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c:f>
              <c:strCache>
                <c:ptCount val="1"/>
                <c:pt idx="0">
                  <c:v>P1</c:v>
                </c:pt>
              </c:strCache>
            </c:strRef>
          </c:cat>
          <c:val>
            <c:numRef>
              <c:f>'Ввод данных'!$G$168</c:f>
              <c:numCache>
                <c:formatCode>#,##0</c:formatCode>
                <c:ptCount val="1"/>
                <c:pt idx="0">
                  <c:v>16250</c:v>
                </c:pt>
              </c:numCache>
            </c:numRef>
          </c:val>
          <c:extLst>
            <c:ext xmlns:c16="http://schemas.microsoft.com/office/drawing/2014/chart" uri="{C3380CC4-5D6E-409C-BE32-E72D297353CC}">
              <c16:uniqueId val="{00000000-F4FA-4784-8E5F-61D375F426FC}"/>
            </c:ext>
          </c:extLst>
        </c:ser>
        <c:ser>
          <c:idx val="1"/>
          <c:order val="1"/>
          <c:tx>
            <c:strRef>
              <c:f>'Ввод данных'!$F$169</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c:f>
              <c:strCache>
                <c:ptCount val="1"/>
                <c:pt idx="0">
                  <c:v>P1</c:v>
                </c:pt>
              </c:strCache>
            </c:strRef>
          </c:cat>
          <c:val>
            <c:numRef>
              <c:f>'Ввод данных'!$G$169</c:f>
              <c:numCache>
                <c:formatCode>#,##0</c:formatCode>
                <c:ptCount val="1"/>
                <c:pt idx="0">
                  <c:v>16530</c:v>
                </c:pt>
              </c:numCache>
            </c:numRef>
          </c:val>
          <c:extLst>
            <c:ext xmlns:c16="http://schemas.microsoft.com/office/drawing/2014/chart" uri="{C3380CC4-5D6E-409C-BE32-E72D297353CC}">
              <c16:uniqueId val="{00000000-5E2C-4D8B-9303-E6825A744889}"/>
            </c:ext>
          </c:extLst>
        </c:ser>
        <c:dLbls>
          <c:showLegendKey val="0"/>
          <c:showVal val="1"/>
          <c:showCatName val="0"/>
          <c:showSerName val="0"/>
          <c:showPercent val="0"/>
          <c:showBubbleSize val="0"/>
        </c:dLbls>
        <c:gapWidth val="150"/>
        <c:overlap val="-25"/>
        <c:axId val="1511059472"/>
        <c:axId val="1511063824"/>
      </c:barChart>
      <c:catAx>
        <c:axId val="151105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3824"/>
        <c:crosses val="autoZero"/>
        <c:auto val="1"/>
        <c:lblAlgn val="ctr"/>
        <c:lblOffset val="100"/>
        <c:noMultiLvlLbl val="0"/>
      </c:catAx>
      <c:valAx>
        <c:axId val="1511063824"/>
        <c:scaling>
          <c:orientation val="minMax"/>
        </c:scaling>
        <c:delete val="1"/>
        <c:axPos val="l"/>
        <c:numFmt formatCode="#,##0" sourceLinked="1"/>
        <c:majorTickMark val="none"/>
        <c:minorTickMark val="none"/>
        <c:tickLblPos val="nextTo"/>
        <c:crossAx val="1511059472"/>
        <c:crosses val="autoZero"/>
        <c:crossBetween val="between"/>
      </c:valAx>
      <c:spPr>
        <a:noFill/>
        <a:ln>
          <a:noFill/>
        </a:ln>
        <a:effectLst/>
      </c:spPr>
    </c:plotArea>
    <c:legend>
      <c:legendPos val="t"/>
      <c:layout>
        <c:manualLayout>
          <c:xMode val="edge"/>
          <c:yMode val="edge"/>
          <c:x val="0.16948667135520623"/>
          <c:y val="0.14742951907131011"/>
          <c:w val="0.51638426283155525"/>
          <c:h val="8.88531969928702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1052;&#1077;&#1085;&#1102;!A1"/><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hyperlink" Target="#&#1052;&#1077;&#1085;&#1102;!A1"/><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9.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a:extLst>
            <a:ext uri="{FF2B5EF4-FFF2-40B4-BE49-F238E27FC236}">
              <a16:creationId xmlns:a16="http://schemas.microsoft.com/office/drawing/2014/main" id="{00000000-0008-0000-0000-000096F93B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a:extLst>
            <a:ext uri="{FF2B5EF4-FFF2-40B4-BE49-F238E27FC236}">
              <a16:creationId xmlns:a16="http://schemas.microsoft.com/office/drawing/2014/main" id="{00000000-0008-0000-0000-000097F93B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a:extLst>
            <a:ext uri="{FF2B5EF4-FFF2-40B4-BE49-F238E27FC236}">
              <a16:creationId xmlns:a16="http://schemas.microsoft.com/office/drawing/2014/main" id="{00000000-0008-0000-0000-000098F93B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a:extLst>
            <a:ext uri="{FF2B5EF4-FFF2-40B4-BE49-F238E27FC236}">
              <a16:creationId xmlns:a16="http://schemas.microsoft.com/office/drawing/2014/main" id="{00000000-0008-0000-0000-000099F93B00}"/>
            </a:ext>
          </a:extLst>
        </xdr:cNvPr>
        <xdr:cNvGrpSpPr>
          <a:grpSpLocks/>
        </xdr:cNvGrpSpPr>
      </xdr:nvGrpSpPr>
      <xdr:grpSpPr bwMode="auto">
        <a:xfrm>
          <a:off x="3260725" y="2398713"/>
          <a:ext cx="1285875" cy="409575"/>
          <a:chOff x="1200" y="1912"/>
          <a:chExt cx="3456" cy="774"/>
        </a:xfrm>
      </xdr:grpSpPr>
      <xdr:sp macro="" textlink="">
        <xdr:nvSpPr>
          <xdr:cNvPr id="3930565" name="AutoShape 26">
            <a:extLst>
              <a:ext uri="{FF2B5EF4-FFF2-40B4-BE49-F238E27FC236}">
                <a16:creationId xmlns:a16="http://schemas.microsoft.com/office/drawing/2014/main" id="{00000000-0008-0000-0000-0000C5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a:extLst>
            <a:ext uri="{FF2B5EF4-FFF2-40B4-BE49-F238E27FC236}">
              <a16:creationId xmlns:a16="http://schemas.microsoft.com/office/drawing/2014/main" id="{00000000-0008-0000-0000-00009AF93B00}"/>
            </a:ext>
          </a:extLst>
        </xdr:cNvPr>
        <xdr:cNvGrpSpPr>
          <a:grpSpLocks/>
        </xdr:cNvGrpSpPr>
      </xdr:nvGrpSpPr>
      <xdr:grpSpPr bwMode="auto">
        <a:xfrm>
          <a:off x="3260725" y="3465513"/>
          <a:ext cx="1314450" cy="371475"/>
          <a:chOff x="1200" y="1912"/>
          <a:chExt cx="3456" cy="774"/>
        </a:xfrm>
      </xdr:grpSpPr>
      <xdr:sp macro="" textlink="">
        <xdr:nvSpPr>
          <xdr:cNvPr id="3930562" name="AutoShape 26">
            <a:extLst>
              <a:ext uri="{FF2B5EF4-FFF2-40B4-BE49-F238E27FC236}">
                <a16:creationId xmlns:a16="http://schemas.microsoft.com/office/drawing/2014/main" id="{00000000-0008-0000-0000-0000C2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a:extLst>
              <a:ext uri="{FF2B5EF4-FFF2-40B4-BE49-F238E27FC236}">
                <a16:creationId xmlns:a16="http://schemas.microsoft.com/office/drawing/2014/main" id="{00000000-0008-0000-0000-00001A000000}"/>
              </a:ext>
            </a:extLst>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a:extLst>
            <a:ext uri="{FF2B5EF4-FFF2-40B4-BE49-F238E27FC236}">
              <a16:creationId xmlns:a16="http://schemas.microsoft.com/office/drawing/2014/main" id="{00000000-0008-0000-0000-00009BF93B00}"/>
            </a:ext>
          </a:extLst>
        </xdr:cNvPr>
        <xdr:cNvGrpSpPr>
          <a:grpSpLocks/>
        </xdr:cNvGrpSpPr>
      </xdr:nvGrpSpPr>
      <xdr:grpSpPr bwMode="auto">
        <a:xfrm>
          <a:off x="3251200" y="2932113"/>
          <a:ext cx="1314450" cy="390525"/>
          <a:chOff x="1200" y="1912"/>
          <a:chExt cx="3456" cy="774"/>
        </a:xfrm>
      </xdr:grpSpPr>
      <xdr:sp macro="" textlink="">
        <xdr:nvSpPr>
          <xdr:cNvPr id="3930559" name="AutoShape 26">
            <a:extLst>
              <a:ext uri="{FF2B5EF4-FFF2-40B4-BE49-F238E27FC236}">
                <a16:creationId xmlns:a16="http://schemas.microsoft.com/office/drawing/2014/main" id="{00000000-0008-0000-0000-0000BF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a:extLst>
              <a:ext uri="{FF2B5EF4-FFF2-40B4-BE49-F238E27FC236}">
                <a16:creationId xmlns:a16="http://schemas.microsoft.com/office/drawing/2014/main" id="{00000000-0008-0000-0000-0000452C0300}"/>
              </a:ext>
            </a:extLst>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a:extLst>
            <a:ext uri="{FF2B5EF4-FFF2-40B4-BE49-F238E27FC236}">
              <a16:creationId xmlns:a16="http://schemas.microsoft.com/office/drawing/2014/main" id="{00000000-0008-0000-0000-00004E753000}"/>
            </a:ext>
          </a:extLst>
        </xdr:cNvPr>
        <xdr:cNvSpPr>
          <a:spLocks noChangeArrowheads="1"/>
        </xdr:cNvSpPr>
      </xdr:nvSpPr>
      <xdr:spPr bwMode="auto">
        <a:xfrm>
          <a:off x="2247900" y="1428750"/>
          <a:ext cx="3362325" cy="238125"/>
        </a:xfrm>
        <a:prstGeom prst="rect">
          <a:avLst/>
        </a:prstGeom>
        <a:noFill/>
        <a:ln>
          <a:noFill/>
        </a:ln>
        <a:extLst/>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a:extLst>
            <a:ext uri="{FF2B5EF4-FFF2-40B4-BE49-F238E27FC236}">
              <a16:creationId xmlns:a16="http://schemas.microsoft.com/office/drawing/2014/main" id="{00000000-0008-0000-0000-00009DF93B00}"/>
            </a:ext>
          </a:extLst>
        </xdr:cNvPr>
        <xdr:cNvGrpSpPr>
          <a:grpSpLocks/>
        </xdr:cNvGrpSpPr>
      </xdr:nvGrpSpPr>
      <xdr:grpSpPr bwMode="auto">
        <a:xfrm>
          <a:off x="5708650" y="2579688"/>
          <a:ext cx="1501775" cy="409575"/>
          <a:chOff x="599" y="262"/>
          <a:chExt cx="158" cy="43"/>
        </a:xfrm>
      </xdr:grpSpPr>
      <xdr:sp macro="" textlink="">
        <xdr:nvSpPr>
          <xdr:cNvPr id="3930555" name="AutoShape 30">
            <a:extLst>
              <a:ext uri="{FF2B5EF4-FFF2-40B4-BE49-F238E27FC236}">
                <a16:creationId xmlns:a16="http://schemas.microsoft.com/office/drawing/2014/main" id="{00000000-0008-0000-0000-0000BBF93B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a:extLst>
              <a:ext uri="{FF2B5EF4-FFF2-40B4-BE49-F238E27FC236}">
                <a16:creationId xmlns:a16="http://schemas.microsoft.com/office/drawing/2014/main" id="{00000000-0008-0000-0000-0000BCF93B00}"/>
              </a:ext>
            </a:extLst>
          </xdr:cNvPr>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a:extLst>
                <a:ext uri="{FF2B5EF4-FFF2-40B4-BE49-F238E27FC236}">
                  <a16:creationId xmlns:a16="http://schemas.microsoft.com/office/drawing/2014/main" id="{00000000-0008-0000-0000-0000BEF93B00}"/>
                </a:ext>
              </a:extLst>
            </xdr:cNvPr>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a:extLst>
            <a:ext uri="{FF2B5EF4-FFF2-40B4-BE49-F238E27FC236}">
              <a16:creationId xmlns:a16="http://schemas.microsoft.com/office/drawing/2014/main" id="{00000000-0008-0000-0000-00009EF93B00}"/>
            </a:ext>
          </a:extLst>
        </xdr:cNvPr>
        <xdr:cNvGrpSpPr>
          <a:grpSpLocks/>
        </xdr:cNvGrpSpPr>
      </xdr:nvGrpSpPr>
      <xdr:grpSpPr bwMode="auto">
        <a:xfrm>
          <a:off x="327025" y="1903413"/>
          <a:ext cx="2143125" cy="2124075"/>
          <a:chOff x="32" y="188"/>
          <a:chExt cx="225" cy="225"/>
        </a:xfrm>
      </xdr:grpSpPr>
      <xdr:sp macro="" textlink="">
        <xdr:nvSpPr>
          <xdr:cNvPr id="3930553" name="AutoShape 31">
            <a:extLst>
              <a:ext uri="{FF2B5EF4-FFF2-40B4-BE49-F238E27FC236}">
                <a16:creationId xmlns:a16="http://schemas.microsoft.com/office/drawing/2014/main" id="{00000000-0008-0000-0000-0000B9F93B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a:extLst>
            <a:ext uri="{FF2B5EF4-FFF2-40B4-BE49-F238E27FC236}">
              <a16:creationId xmlns:a16="http://schemas.microsoft.com/office/drawing/2014/main" id="{00000000-0008-0000-0000-00009FF93B00}"/>
            </a:ext>
          </a:extLst>
        </xdr:cNvPr>
        <xdr:cNvGrpSpPr>
          <a:grpSpLocks/>
        </xdr:cNvGrpSpPr>
      </xdr:nvGrpSpPr>
      <xdr:grpSpPr bwMode="auto">
        <a:xfrm>
          <a:off x="5699125" y="3208338"/>
          <a:ext cx="1501775" cy="409575"/>
          <a:chOff x="578" y="328"/>
          <a:chExt cx="158" cy="43"/>
        </a:xfrm>
      </xdr:grpSpPr>
      <xdr:sp macro="" textlink="">
        <xdr:nvSpPr>
          <xdr:cNvPr id="3930549" name="AutoShape 30">
            <a:extLst>
              <a:ext uri="{FF2B5EF4-FFF2-40B4-BE49-F238E27FC236}">
                <a16:creationId xmlns:a16="http://schemas.microsoft.com/office/drawing/2014/main" id="{00000000-0008-0000-0000-0000B5F93B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a:extLst>
              <a:ext uri="{FF2B5EF4-FFF2-40B4-BE49-F238E27FC236}">
                <a16:creationId xmlns:a16="http://schemas.microsoft.com/office/drawing/2014/main" id="{00000000-0008-0000-0000-0000B6F93B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a:extLst>
                <a:ext uri="{FF2B5EF4-FFF2-40B4-BE49-F238E27FC236}">
                  <a16:creationId xmlns:a16="http://schemas.microsoft.com/office/drawing/2014/main" id="{00000000-0008-0000-0000-0000B8F93B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a:extLst>
            <a:ext uri="{FF2B5EF4-FFF2-40B4-BE49-F238E27FC236}">
              <a16:creationId xmlns:a16="http://schemas.microsoft.com/office/drawing/2014/main" id="{00000000-0008-0000-0000-0000A0F93B00}"/>
            </a:ext>
          </a:extLst>
        </xdr:cNvPr>
        <xdr:cNvGrpSpPr>
          <a:grpSpLocks/>
        </xdr:cNvGrpSpPr>
      </xdr:nvGrpSpPr>
      <xdr:grpSpPr bwMode="auto">
        <a:xfrm>
          <a:off x="593725" y="3475038"/>
          <a:ext cx="1504950" cy="342900"/>
          <a:chOff x="56" y="259"/>
          <a:chExt cx="158" cy="40"/>
        </a:xfrm>
      </xdr:grpSpPr>
      <xdr:sp macro="" textlink="">
        <xdr:nvSpPr>
          <xdr:cNvPr id="3930545" name="AutoShape 30">
            <a:extLst>
              <a:ext uri="{FF2B5EF4-FFF2-40B4-BE49-F238E27FC236}">
                <a16:creationId xmlns:a16="http://schemas.microsoft.com/office/drawing/2014/main" id="{00000000-0008-0000-0000-0000B1F93B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a:extLst>
              <a:ext uri="{FF2B5EF4-FFF2-40B4-BE49-F238E27FC236}">
                <a16:creationId xmlns:a16="http://schemas.microsoft.com/office/drawing/2014/main" id="{00000000-0008-0000-0000-0000B2F93B00}"/>
              </a:ext>
            </a:extLst>
          </xdr:cNvPr>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a:extLst>
            <a:ext uri="{FF2B5EF4-FFF2-40B4-BE49-F238E27FC236}">
              <a16:creationId xmlns:a16="http://schemas.microsoft.com/office/drawing/2014/main" id="{00000000-0008-0000-0000-0000A1F93B00}"/>
            </a:ext>
          </a:extLst>
        </xdr:cNvPr>
        <xdr:cNvGrpSpPr>
          <a:grpSpLocks/>
        </xdr:cNvGrpSpPr>
      </xdr:nvGrpSpPr>
      <xdr:grpSpPr bwMode="auto">
        <a:xfrm>
          <a:off x="593725" y="2417763"/>
          <a:ext cx="1504950" cy="371475"/>
          <a:chOff x="1343025" y="2428876"/>
          <a:chExt cx="3240982" cy="617274"/>
        </a:xfrm>
      </xdr:grpSpPr>
      <xdr:sp macro="" textlink="">
        <xdr:nvSpPr>
          <xdr:cNvPr id="3930541" name="AutoShape 30">
            <a:extLst>
              <a:ext uri="{FF2B5EF4-FFF2-40B4-BE49-F238E27FC236}">
                <a16:creationId xmlns:a16="http://schemas.microsoft.com/office/drawing/2014/main" id="{00000000-0008-0000-0000-0000AD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a:extLst>
              <a:ext uri="{FF2B5EF4-FFF2-40B4-BE49-F238E27FC236}">
                <a16:creationId xmlns:a16="http://schemas.microsoft.com/office/drawing/2014/main" id="{00000000-0008-0000-0000-0000AEF93B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a:extLst>
            <a:ext uri="{FF2B5EF4-FFF2-40B4-BE49-F238E27FC236}">
              <a16:creationId xmlns:a16="http://schemas.microsoft.com/office/drawing/2014/main" id="{00000000-0008-0000-0000-0000A2F93B00}"/>
            </a:ext>
          </a:extLst>
        </xdr:cNvPr>
        <xdr:cNvGrpSpPr>
          <a:grpSpLocks/>
        </xdr:cNvGrpSpPr>
      </xdr:nvGrpSpPr>
      <xdr:grpSpPr bwMode="auto">
        <a:xfrm>
          <a:off x="593725" y="2951163"/>
          <a:ext cx="1504950" cy="371475"/>
          <a:chOff x="1343025" y="2428876"/>
          <a:chExt cx="3240982" cy="617274"/>
        </a:xfrm>
      </xdr:grpSpPr>
      <xdr:sp macro="" textlink="">
        <xdr:nvSpPr>
          <xdr:cNvPr id="3930537" name="AutoShape 30">
            <a:extLst>
              <a:ext uri="{FF2B5EF4-FFF2-40B4-BE49-F238E27FC236}">
                <a16:creationId xmlns:a16="http://schemas.microsoft.com/office/drawing/2014/main" id="{00000000-0008-0000-0000-0000A9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a:extLst>
              <a:ext uri="{FF2B5EF4-FFF2-40B4-BE49-F238E27FC236}">
                <a16:creationId xmlns:a16="http://schemas.microsoft.com/office/drawing/2014/main" id="{00000000-0008-0000-0000-0000AAF93B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a:extLst>
            <a:ext uri="{FF2B5EF4-FFF2-40B4-BE49-F238E27FC236}">
              <a16:creationId xmlns:a16="http://schemas.microsoft.com/office/drawing/2014/main" id="{00000000-0008-0000-0000-0000A3F93B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a:extLst>
            <a:ext uri="{FF2B5EF4-FFF2-40B4-BE49-F238E27FC236}">
              <a16:creationId xmlns:a16="http://schemas.microsoft.com/office/drawing/2014/main" id="{00000000-0008-0000-0000-0000A5F93B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a:extLst>
            <a:ext uri="{FF2B5EF4-FFF2-40B4-BE49-F238E27FC236}">
              <a16:creationId xmlns:a16="http://schemas.microsoft.com/office/drawing/2014/main" id="{00000000-0008-0000-0000-0000A7F93B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a:extLst>
            <a:ext uri="{FF2B5EF4-FFF2-40B4-BE49-F238E27FC236}">
              <a16:creationId xmlns:a16="http://schemas.microsoft.com/office/drawing/2014/main" id="{00000000-0008-0000-0900-00002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55</xdr:row>
      <xdr:rowOff>144991</xdr:rowOff>
    </xdr:from>
    <xdr:to>
      <xdr:col>3</xdr:col>
      <xdr:colOff>885825</xdr:colOff>
      <xdr:row>55</xdr:row>
      <xdr:rowOff>144991</xdr:rowOff>
    </xdr:to>
    <xdr:cxnSp macro="">
      <xdr:nvCxnSpPr>
        <xdr:cNvPr id="7137" name="AutoShape 101">
          <a:extLst>
            <a:ext uri="{FF2B5EF4-FFF2-40B4-BE49-F238E27FC236}">
              <a16:creationId xmlns:a16="http://schemas.microsoft.com/office/drawing/2014/main" id="{00000000-0008-0000-0200-0000E11B0000}"/>
            </a:ext>
          </a:extLst>
        </xdr:cNvPr>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55</xdr:row>
      <xdr:rowOff>10583</xdr:rowOff>
    </xdr:to>
    <xdr:cxnSp macro="">
      <xdr:nvCxnSpPr>
        <xdr:cNvPr id="7138" name="Straight Arrow Connector 9">
          <a:extLst>
            <a:ext uri="{FF2B5EF4-FFF2-40B4-BE49-F238E27FC236}">
              <a16:creationId xmlns:a16="http://schemas.microsoft.com/office/drawing/2014/main" id="{00000000-0008-0000-0200-0000E21B0000}"/>
            </a:ext>
          </a:extLst>
        </xdr:cNvPr>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a:extLst>
            <a:ext uri="{FF2B5EF4-FFF2-40B4-BE49-F238E27FC236}">
              <a16:creationId xmlns:a16="http://schemas.microsoft.com/office/drawing/2014/main" id="{00000000-0008-0000-0400-0000BC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0</xdr:colOff>
      <xdr:row>23</xdr:row>
      <xdr:rowOff>0</xdr:rowOff>
    </xdr:from>
    <xdr:to>
      <xdr:col>6</xdr:col>
      <xdr:colOff>139211</xdr:colOff>
      <xdr:row>33</xdr:row>
      <xdr:rowOff>21981</xdr:rowOff>
    </xdr:to>
    <xdr:graphicFrame macro="">
      <xdr:nvGraphicFramePr>
        <xdr:cNvPr id="2854334" name="Chart 34">
          <a:extLst>
            <a:ext uri="{FF2B5EF4-FFF2-40B4-BE49-F238E27FC236}">
              <a16:creationId xmlns:a16="http://schemas.microsoft.com/office/drawing/2014/main" id="{00000000-0008-0000-0400-0000BE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a:extLst>
            <a:ext uri="{FF2B5EF4-FFF2-40B4-BE49-F238E27FC236}">
              <a16:creationId xmlns:a16="http://schemas.microsoft.com/office/drawing/2014/main" id="{00000000-0008-0000-0400-0000BF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a:extLst>
            <a:ext uri="{FF2B5EF4-FFF2-40B4-BE49-F238E27FC236}">
              <a16:creationId xmlns:a16="http://schemas.microsoft.com/office/drawing/2014/main" id="{00000000-0008-0000-0400-0000C08D2B00}"/>
            </a:ext>
          </a:extLst>
        </xdr:cNvPr>
        <xdr:cNvGrpSpPr>
          <a:grpSpLocks/>
        </xdr:cNvGrpSpPr>
      </xdr:nvGrpSpPr>
      <xdr:grpSpPr bwMode="auto">
        <a:xfrm>
          <a:off x="4776177" y="4362451"/>
          <a:ext cx="3396273" cy="162658"/>
          <a:chOff x="0" y="0"/>
          <a:chExt cx="37352" cy="2842"/>
        </a:xfrm>
      </xdr:grpSpPr>
      <xdr:sp macro="" textlink="">
        <xdr:nvSpPr>
          <xdr:cNvPr id="2854337" name="Rectangle 1">
            <a:extLst>
              <a:ext uri="{FF2B5EF4-FFF2-40B4-BE49-F238E27FC236}">
                <a16:creationId xmlns:a16="http://schemas.microsoft.com/office/drawing/2014/main" id="{00000000-0008-0000-0400-0000C18D2B00}"/>
              </a:ext>
            </a:extLst>
          </xdr:cNvPr>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a:extLst>
              <a:ext uri="{FF2B5EF4-FFF2-40B4-BE49-F238E27FC236}">
                <a16:creationId xmlns:a16="http://schemas.microsoft.com/office/drawing/2014/main" id="{00000000-0008-0000-0400-0000578D2B00}"/>
              </a:ext>
            </a:extLst>
          </xdr:cNvPr>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a:extLst>
              <a:ext uri="{FF2B5EF4-FFF2-40B4-BE49-F238E27FC236}">
                <a16:creationId xmlns:a16="http://schemas.microsoft.com/office/drawing/2014/main" id="{00000000-0008-0000-0400-0000C38D2B00}"/>
              </a:ext>
            </a:extLst>
          </xdr:cNvPr>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a:extLst>
              <a:ext uri="{FF2B5EF4-FFF2-40B4-BE49-F238E27FC236}">
                <a16:creationId xmlns:a16="http://schemas.microsoft.com/office/drawing/2014/main" id="{00000000-0008-0000-0400-0000558D2B00}"/>
              </a:ext>
            </a:extLst>
          </xdr:cNvPr>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18</xdr:row>
      <xdr:rowOff>2447924</xdr:rowOff>
    </xdr:from>
    <xdr:to>
      <xdr:col>12</xdr:col>
      <xdr:colOff>914400</xdr:colOff>
      <xdr:row>26</xdr:row>
      <xdr:rowOff>47625</xdr:rowOff>
    </xdr:to>
    <xdr:graphicFrame macro="">
      <xdr:nvGraphicFramePr>
        <xdr:cNvPr id="2870841" name="Chart 1054">
          <a:extLst>
            <a:ext uri="{FF2B5EF4-FFF2-40B4-BE49-F238E27FC236}">
              <a16:creationId xmlns:a16="http://schemas.microsoft.com/office/drawing/2014/main" id="{00000000-0008-0000-0500-000039CE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2"/>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7</xdr:col>
      <xdr:colOff>247650</xdr:colOff>
      <xdr:row>8</xdr:row>
      <xdr:rowOff>9524</xdr:rowOff>
    </xdr:from>
    <xdr:to>
      <xdr:col>12</xdr:col>
      <xdr:colOff>933450</xdr:colOff>
      <xdr:row>16</xdr:row>
      <xdr:rowOff>476249</xdr:rowOff>
    </xdr:to>
    <xdr:graphicFrame macro="">
      <xdr:nvGraphicFramePr>
        <xdr:cNvPr id="9" name="Диаграмма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10" name="Chart 1046">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11" name="Диаграмма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30</xdr:row>
      <xdr:rowOff>9525</xdr:rowOff>
    </xdr:from>
    <xdr:to>
      <xdr:col>5</xdr:col>
      <xdr:colOff>1085850</xdr:colOff>
      <xdr:row>38</xdr:row>
      <xdr:rowOff>114300</xdr:rowOff>
    </xdr:to>
    <xdr:graphicFrame macro="">
      <xdr:nvGraphicFramePr>
        <xdr:cNvPr id="8"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212911</xdr:colOff>
      <xdr:row>9</xdr:row>
      <xdr:rowOff>0</xdr:rowOff>
    </xdr:from>
    <xdr:to>
      <xdr:col>4</xdr:col>
      <xdr:colOff>628649</xdr:colOff>
      <xdr:row>19</xdr:row>
      <xdr:rowOff>69971</xdr:rowOff>
    </xdr:to>
    <xdr:graphicFrame macro="">
      <xdr:nvGraphicFramePr>
        <xdr:cNvPr id="10" name="Диаграмма 9">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600-00007D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5044</xdr:colOff>
      <xdr:row>8</xdr:row>
      <xdr:rowOff>1083650</xdr:rowOff>
    </xdr:from>
    <xdr:to>
      <xdr:col>11</xdr:col>
      <xdr:colOff>0</xdr:colOff>
      <xdr:row>19</xdr:row>
      <xdr:rowOff>67771</xdr:rowOff>
    </xdr:to>
    <xdr:graphicFrame macro="">
      <xdr:nvGraphicFramePr>
        <xdr:cNvPr id="12" name="Диаграмма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9</xdr:row>
      <xdr:rowOff>1682</xdr:rowOff>
    </xdr:from>
    <xdr:to>
      <xdr:col>17</xdr:col>
      <xdr:colOff>0</xdr:colOff>
      <xdr:row>19</xdr:row>
      <xdr:rowOff>50362</xdr:rowOff>
    </xdr:to>
    <xdr:graphicFrame macro="">
      <xdr:nvGraphicFramePr>
        <xdr:cNvPr id="13" name="Диаграмма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37</xdr:row>
      <xdr:rowOff>9525</xdr:rowOff>
    </xdr:from>
    <xdr:to>
      <xdr:col>5</xdr:col>
      <xdr:colOff>28575</xdr:colOff>
      <xdr:row>47</xdr:row>
      <xdr:rowOff>66675</xdr:rowOff>
    </xdr:to>
    <xdr:graphicFrame macro="">
      <xdr:nvGraphicFramePr>
        <xdr:cNvPr id="14" name="Диаграмма 13">
          <a:extLst>
            <a:ext uri="{FF2B5EF4-FFF2-40B4-BE49-F238E27FC236}">
              <a16:creationId xmlns:a16="http://schemas.microsoft.com/office/drawing/2014/main" id="{00000000-0008-0000-0600-00000E000000}"/>
            </a:ext>
            <a:ext uri="{147F2762-F138-4A5C-976F-8EAC2B608ADB}">
              <a16:predDERef xmlns:a16="http://schemas.microsoft.com/office/drawing/2014/main" pre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36</xdr:row>
      <xdr:rowOff>628650</xdr:rowOff>
    </xdr:from>
    <xdr:to>
      <xdr:col>10</xdr:col>
      <xdr:colOff>1428750</xdr:colOff>
      <xdr:row>47</xdr:row>
      <xdr:rowOff>66675</xdr:rowOff>
    </xdr:to>
    <xdr:graphicFrame macro="">
      <xdr:nvGraphicFramePr>
        <xdr:cNvPr id="15" name="Диаграмма 14">
          <a:extLst>
            <a:ext uri="{FF2B5EF4-FFF2-40B4-BE49-F238E27FC236}">
              <a16:creationId xmlns:a16="http://schemas.microsoft.com/office/drawing/2014/main" id="{00000000-0008-0000-0600-00000F000000}"/>
            </a:ext>
            <a:ext uri="{147F2762-F138-4A5C-976F-8EAC2B608ADB}">
              <a16:predDERef xmlns:a16="http://schemas.microsoft.com/office/drawing/2014/main" pre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1437554</xdr:colOff>
      <xdr:row>36</xdr:row>
      <xdr:rowOff>632114</xdr:rowOff>
    </xdr:from>
    <xdr:to>
      <xdr:col>16</xdr:col>
      <xdr:colOff>2628900</xdr:colOff>
      <xdr:row>47</xdr:row>
      <xdr:rowOff>68356</xdr:rowOff>
    </xdr:to>
    <xdr:graphicFrame macro="">
      <xdr:nvGraphicFramePr>
        <xdr:cNvPr id="16" name="Диаграмма 15">
          <a:extLst>
            <a:ext uri="{FF2B5EF4-FFF2-40B4-BE49-F238E27FC236}">
              <a16:creationId xmlns:a16="http://schemas.microsoft.com/office/drawing/2014/main" id="{00000000-0008-0000-0600-000010000000}"/>
            </a:ext>
            <a:ext uri="{147F2762-F138-4A5C-976F-8EAC2B608ADB}">
              <a16:predDERef xmlns:a16="http://schemas.microsoft.com/office/drawing/2014/main" pre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5135" name="Group 41">
          <a:extLst>
            <a:ext uri="{FF2B5EF4-FFF2-40B4-BE49-F238E27FC236}">
              <a16:creationId xmlns:a16="http://schemas.microsoft.com/office/drawing/2014/main" id="{00000000-0008-0000-0700-00007F6A3400}"/>
            </a:ext>
          </a:extLst>
        </xdr:cNvPr>
        <xdr:cNvGrpSpPr>
          <a:grpSpLocks/>
        </xdr:cNvGrpSpPr>
      </xdr:nvGrpSpPr>
      <xdr:grpSpPr bwMode="auto">
        <a:xfrm>
          <a:off x="5556250" y="5577417"/>
          <a:ext cx="85725" cy="0"/>
          <a:chOff x="595" y="540"/>
          <a:chExt cx="9" cy="9"/>
        </a:xfrm>
      </xdr:grpSpPr>
      <xdr:sp macro="" textlink="">
        <xdr:nvSpPr>
          <xdr:cNvPr id="3435146" name="Rectangle 11">
            <a:extLst>
              <a:ext uri="{FF2B5EF4-FFF2-40B4-BE49-F238E27FC236}">
                <a16:creationId xmlns:a16="http://schemas.microsoft.com/office/drawing/2014/main" id="{00000000-0008-0000-0700-00008A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7" name="Arc 12">
            <a:extLst>
              <a:ext uri="{FF2B5EF4-FFF2-40B4-BE49-F238E27FC236}">
                <a16:creationId xmlns:a16="http://schemas.microsoft.com/office/drawing/2014/main" id="{00000000-0008-0000-0700-00008B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5136" name="Group 44">
          <a:extLst>
            <a:ext uri="{FF2B5EF4-FFF2-40B4-BE49-F238E27FC236}">
              <a16:creationId xmlns:a16="http://schemas.microsoft.com/office/drawing/2014/main" id="{00000000-0008-0000-0700-0000806A3400}"/>
            </a:ext>
          </a:extLst>
        </xdr:cNvPr>
        <xdr:cNvGrpSpPr>
          <a:grpSpLocks/>
        </xdr:cNvGrpSpPr>
      </xdr:nvGrpSpPr>
      <xdr:grpSpPr bwMode="auto">
        <a:xfrm>
          <a:off x="6537325" y="5577417"/>
          <a:ext cx="86783" cy="0"/>
          <a:chOff x="698" y="540"/>
          <a:chExt cx="9" cy="9"/>
        </a:xfrm>
      </xdr:grpSpPr>
      <xdr:sp macro="" textlink="">
        <xdr:nvSpPr>
          <xdr:cNvPr id="3435144" name="Rectangle 47">
            <a:extLst>
              <a:ext uri="{FF2B5EF4-FFF2-40B4-BE49-F238E27FC236}">
                <a16:creationId xmlns:a16="http://schemas.microsoft.com/office/drawing/2014/main" id="{00000000-0008-0000-0700-000088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5" name="Arc 48">
            <a:extLst>
              <a:ext uri="{FF2B5EF4-FFF2-40B4-BE49-F238E27FC236}">
                <a16:creationId xmlns:a16="http://schemas.microsoft.com/office/drawing/2014/main" id="{00000000-0008-0000-0700-000089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3435137" name="Group 47">
          <a:extLst>
            <a:ext uri="{FF2B5EF4-FFF2-40B4-BE49-F238E27FC236}">
              <a16:creationId xmlns:a16="http://schemas.microsoft.com/office/drawing/2014/main" id="{00000000-0008-0000-0700-0000816A3400}"/>
            </a:ext>
          </a:extLst>
        </xdr:cNvPr>
        <xdr:cNvGrpSpPr>
          <a:grpSpLocks/>
        </xdr:cNvGrpSpPr>
      </xdr:nvGrpSpPr>
      <xdr:grpSpPr bwMode="auto">
        <a:xfrm>
          <a:off x="5183717" y="5577417"/>
          <a:ext cx="86783" cy="0"/>
          <a:chOff x="698" y="540"/>
          <a:chExt cx="9" cy="9"/>
        </a:xfrm>
      </xdr:grpSpPr>
      <xdr:sp macro="" textlink="">
        <xdr:nvSpPr>
          <xdr:cNvPr id="3435142" name="Rectangle 47">
            <a:extLst>
              <a:ext uri="{FF2B5EF4-FFF2-40B4-BE49-F238E27FC236}">
                <a16:creationId xmlns:a16="http://schemas.microsoft.com/office/drawing/2014/main" id="{00000000-0008-0000-0700-000086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3" name="Arc 48">
            <a:extLst>
              <a:ext uri="{FF2B5EF4-FFF2-40B4-BE49-F238E27FC236}">
                <a16:creationId xmlns:a16="http://schemas.microsoft.com/office/drawing/2014/main" id="{00000000-0008-0000-0700-000087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3435138" name="Group 50">
          <a:extLst>
            <a:ext uri="{FF2B5EF4-FFF2-40B4-BE49-F238E27FC236}">
              <a16:creationId xmlns:a16="http://schemas.microsoft.com/office/drawing/2014/main" id="{00000000-0008-0000-0700-0000826A3400}"/>
            </a:ext>
          </a:extLst>
        </xdr:cNvPr>
        <xdr:cNvGrpSpPr>
          <a:grpSpLocks/>
        </xdr:cNvGrpSpPr>
      </xdr:nvGrpSpPr>
      <xdr:grpSpPr bwMode="auto">
        <a:xfrm>
          <a:off x="1439333" y="5577417"/>
          <a:ext cx="85725" cy="0"/>
          <a:chOff x="595" y="540"/>
          <a:chExt cx="9" cy="9"/>
        </a:xfrm>
      </xdr:grpSpPr>
      <xdr:sp macro="" textlink="">
        <xdr:nvSpPr>
          <xdr:cNvPr id="3435140" name="Rectangle 11">
            <a:extLst>
              <a:ext uri="{FF2B5EF4-FFF2-40B4-BE49-F238E27FC236}">
                <a16:creationId xmlns:a16="http://schemas.microsoft.com/office/drawing/2014/main" id="{00000000-0008-0000-0700-000084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1" name="Arc 12">
            <a:extLst>
              <a:ext uri="{FF2B5EF4-FFF2-40B4-BE49-F238E27FC236}">
                <a16:creationId xmlns:a16="http://schemas.microsoft.com/office/drawing/2014/main" id="{00000000-0008-0000-0700-000085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518" name="Chart 1">
          <a:extLst>
            <a:ext uri="{FF2B5EF4-FFF2-40B4-BE49-F238E27FC236}">
              <a16:creationId xmlns:a16="http://schemas.microsoft.com/office/drawing/2014/main" id="{00000000-0008-0000-0800-0000E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M24" sqref="M2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637" t="str">
        <f>+"Панель показателей:  "&amp;"  "&amp;IF(+'Ввод данных'!B4="Выберите","",'Ввод данных'!B4&amp;" - ")&amp;IF('Ввод данных'!F6="Выберите","",'Ввод данных'!F6)</f>
        <v>Панель показателей:    Кыргызстан - ВИЧ/СПИД/ТБ</v>
      </c>
      <c r="C2" s="637"/>
      <c r="D2" s="637"/>
      <c r="E2" s="637"/>
      <c r="F2" s="637"/>
      <c r="G2" s="637"/>
      <c r="H2" s="637"/>
      <c r="I2" s="637"/>
      <c r="J2" s="637"/>
      <c r="K2" s="637"/>
      <c r="L2" s="637"/>
      <c r="M2" s="637"/>
      <c r="N2" s="1"/>
      <c r="O2" s="1"/>
    </row>
    <row r="4" spans="2:15" ht="21">
      <c r="B4" s="633" t="str">
        <f>+IF('Ввод данных'!F6="Выберите", "",'Ввод данных'!F6) &amp;"  "&amp;+IF('Ввод данных'!F8="Выберите", "", 'Ввод данных'!F8&amp;",  ")&amp;+IF('Ввод данных'!H8="Выберите","",'Ввод данных'!H8)</f>
        <v xml:space="preserve">ВИЧ/СПИД/ТБ  ,  </v>
      </c>
      <c r="C4" s="633"/>
      <c r="D4" s="633"/>
      <c r="E4" s="634"/>
      <c r="F4" s="193"/>
      <c r="G4" s="193"/>
      <c r="H4" s="256" t="str">
        <f>+'Ввод данных'!A6&amp;" "&amp;+'Ввод данных'!B6</f>
        <v>Грант № KGZ-C-UNDP</v>
      </c>
      <c r="I4" s="256"/>
      <c r="J4" s="192"/>
      <c r="K4" s="193"/>
      <c r="L4" s="193"/>
    </row>
    <row r="22" spans="2:12" ht="26.25">
      <c r="B22" s="635" t="s">
        <v>0</v>
      </c>
      <c r="C22" s="636"/>
      <c r="D22" s="636"/>
      <c r="E22" s="636"/>
      <c r="F22" s="636"/>
      <c r="G22" s="636"/>
      <c r="H22" s="636"/>
      <c r="I22" s="636"/>
      <c r="J22" s="636"/>
      <c r="K22" s="636"/>
      <c r="L22" s="636"/>
    </row>
  </sheetData>
  <sheetProtection password="CFC9" sheet="1"/>
  <mergeCells count="3">
    <mergeCell ref="B4:E4"/>
    <mergeCell ref="B22:L22"/>
    <mergeCell ref="B2:M2"/>
  </mergeCells>
  <phoneticPr fontId="30"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A16" zoomScale="80" zoomScaleNormal="80" workbookViewId="0">
      <selection activeCell="I28" sqref="I28: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222" t="str">
        <f>'Сведения о гранте'!B3:J3</f>
        <v>Панель показателей:  Кыргызстан - ВИЧ/СПИД/ТБ</v>
      </c>
      <c r="C3" s="1222"/>
      <c r="D3" s="1222"/>
      <c r="E3" s="1222"/>
      <c r="F3" s="1222"/>
      <c r="G3" s="1222"/>
      <c r="H3" s="1222"/>
      <c r="I3" s="1"/>
    </row>
    <row r="6" spans="2:15" ht="18.75">
      <c r="B6" s="1223" t="s">
        <v>453</v>
      </c>
      <c r="C6" s="1223"/>
      <c r="D6" s="1223"/>
      <c r="E6" s="1223"/>
      <c r="F6" s="1223"/>
      <c r="G6" s="1223"/>
      <c r="H6" s="1223"/>
    </row>
    <row r="8" spans="2:15" ht="18.75">
      <c r="B8" s="58" t="s">
        <v>454</v>
      </c>
      <c r="C8" s="58" t="s">
        <v>455</v>
      </c>
      <c r="D8" s="58" t="s">
        <v>456</v>
      </c>
      <c r="E8" s="58" t="s">
        <v>457</v>
      </c>
      <c r="F8" s="58" t="s">
        <v>458</v>
      </c>
      <c r="G8" s="58" t="s">
        <v>390</v>
      </c>
      <c r="H8" s="58" t="s">
        <v>459</v>
      </c>
      <c r="I8" s="59" t="s">
        <v>460</v>
      </c>
      <c r="J8" s="59" t="s">
        <v>461</v>
      </c>
      <c r="M8" s="19"/>
      <c r="N8" s="19"/>
      <c r="O8" s="19"/>
    </row>
    <row r="9" spans="2:15">
      <c r="B9" s="301" t="s">
        <v>462</v>
      </c>
      <c r="C9" s="301" t="s">
        <v>462</v>
      </c>
      <c r="D9" s="301" t="s">
        <v>462</v>
      </c>
      <c r="E9" s="301" t="s">
        <v>462</v>
      </c>
      <c r="F9" s="301" t="s">
        <v>462</v>
      </c>
      <c r="G9" s="301" t="s">
        <v>462</v>
      </c>
      <c r="H9" s="301" t="s">
        <v>462</v>
      </c>
      <c r="I9" s="302" t="s">
        <v>462</v>
      </c>
      <c r="J9" s="301" t="s">
        <v>462</v>
      </c>
      <c r="M9" s="19"/>
      <c r="N9" s="19"/>
      <c r="O9" s="19"/>
    </row>
    <row r="10" spans="2:15">
      <c r="B10" s="54" t="s">
        <v>263</v>
      </c>
      <c r="C10" s="54" t="s">
        <v>147</v>
      </c>
      <c r="D10" s="54" t="s">
        <v>463</v>
      </c>
      <c r="E10" s="54" t="s">
        <v>464</v>
      </c>
      <c r="F10" s="54" t="s">
        <v>135</v>
      </c>
      <c r="G10" s="289" t="s">
        <v>465</v>
      </c>
      <c r="H10" s="57" t="s">
        <v>466</v>
      </c>
      <c r="I10" s="25" t="s">
        <v>467</v>
      </c>
      <c r="J10" s="301" t="s">
        <v>468</v>
      </c>
      <c r="M10" s="19"/>
      <c r="N10" s="19"/>
      <c r="O10" s="19"/>
    </row>
    <row r="11" spans="2:15">
      <c r="B11" s="54" t="s">
        <v>469</v>
      </c>
      <c r="C11" s="54" t="s">
        <v>470</v>
      </c>
      <c r="D11" s="54" t="s">
        <v>471</v>
      </c>
      <c r="E11" s="54" t="s">
        <v>472</v>
      </c>
      <c r="F11" s="54" t="s">
        <v>150</v>
      </c>
      <c r="G11" s="289" t="s">
        <v>130</v>
      </c>
      <c r="H11" s="57" t="s">
        <v>473</v>
      </c>
      <c r="I11" s="25" t="s">
        <v>474</v>
      </c>
      <c r="J11" s="301" t="s">
        <v>475</v>
      </c>
      <c r="M11" s="19"/>
      <c r="N11" s="19"/>
      <c r="O11" s="19"/>
    </row>
    <row r="12" spans="2:15">
      <c r="B12" s="54" t="s">
        <v>227</v>
      </c>
      <c r="D12" s="54" t="s">
        <v>476</v>
      </c>
      <c r="E12" s="54" t="s">
        <v>477</v>
      </c>
      <c r="F12" s="54" t="s">
        <v>151</v>
      </c>
      <c r="G12" s="289" t="s">
        <v>478</v>
      </c>
      <c r="H12" s="57" t="s">
        <v>479</v>
      </c>
      <c r="I12" s="25" t="s">
        <v>480</v>
      </c>
      <c r="J12" s="301" t="s">
        <v>481</v>
      </c>
      <c r="M12" s="167"/>
      <c r="N12" s="19"/>
      <c r="O12" s="19"/>
    </row>
    <row r="13" spans="2:15">
      <c r="B13" s="54" t="s">
        <v>120</v>
      </c>
      <c r="D13" s="54" t="s">
        <v>482</v>
      </c>
      <c r="E13" s="55"/>
      <c r="F13" s="54" t="s">
        <v>152</v>
      </c>
      <c r="G13" s="289" t="s">
        <v>483</v>
      </c>
      <c r="H13" s="57" t="s">
        <v>484</v>
      </c>
      <c r="I13" s="25" t="s">
        <v>485</v>
      </c>
      <c r="J13" s="301" t="s">
        <v>486</v>
      </c>
      <c r="M13" s="167"/>
      <c r="N13" s="19"/>
      <c r="O13" s="19"/>
    </row>
    <row r="14" spans="2:15">
      <c r="B14" s="54" t="s">
        <v>487</v>
      </c>
      <c r="D14" s="54" t="s">
        <v>488</v>
      </c>
      <c r="F14" s="54" t="s">
        <v>153</v>
      </c>
      <c r="G14" s="289" t="s">
        <v>489</v>
      </c>
      <c r="H14" s="57" t="s">
        <v>490</v>
      </c>
      <c r="I14" s="25" t="s">
        <v>491</v>
      </c>
      <c r="J14" s="301" t="s">
        <v>492</v>
      </c>
      <c r="M14" s="167"/>
      <c r="N14" s="19"/>
      <c r="O14" s="19"/>
    </row>
    <row r="15" spans="2:15">
      <c r="D15" s="54" t="s">
        <v>493</v>
      </c>
      <c r="F15" s="54" t="s">
        <v>154</v>
      </c>
      <c r="H15" s="57" t="s">
        <v>494</v>
      </c>
      <c r="I15" s="25" t="s">
        <v>495</v>
      </c>
      <c r="J15" s="301" t="s">
        <v>496</v>
      </c>
      <c r="M15" s="167"/>
      <c r="N15" s="19"/>
      <c r="O15" s="19"/>
    </row>
    <row r="16" spans="2:15">
      <c r="D16" s="54" t="s">
        <v>497</v>
      </c>
      <c r="F16" s="54" t="s">
        <v>155</v>
      </c>
      <c r="H16" s="57" t="s">
        <v>498</v>
      </c>
      <c r="I16" s="25" t="s">
        <v>499</v>
      </c>
      <c r="J16" s="301" t="s">
        <v>500</v>
      </c>
      <c r="M16" s="167"/>
      <c r="N16" s="19"/>
      <c r="O16" s="19"/>
    </row>
    <row r="17" spans="4:15">
      <c r="D17" s="54" t="s">
        <v>501</v>
      </c>
      <c r="F17" s="54" t="s">
        <v>156</v>
      </c>
      <c r="H17" s="57" t="s">
        <v>502</v>
      </c>
      <c r="I17" s="25" t="s">
        <v>503</v>
      </c>
      <c r="J17" s="301" t="s">
        <v>504</v>
      </c>
      <c r="M17" s="167"/>
      <c r="N17" s="19"/>
      <c r="O17" s="19"/>
    </row>
    <row r="18" spans="4:15">
      <c r="D18" s="54" t="s">
        <v>505</v>
      </c>
      <c r="F18" s="54" t="s">
        <v>157</v>
      </c>
      <c r="H18" s="57" t="s">
        <v>506</v>
      </c>
      <c r="I18" s="25" t="s">
        <v>507</v>
      </c>
      <c r="J18" s="301" t="s">
        <v>508</v>
      </c>
      <c r="M18" s="167"/>
      <c r="N18" s="19"/>
      <c r="O18" s="19"/>
    </row>
    <row r="19" spans="4:15">
      <c r="D19" s="54" t="s">
        <v>509</v>
      </c>
      <c r="F19" s="54" t="s">
        <v>158</v>
      </c>
      <c r="H19" s="57" t="s">
        <v>510</v>
      </c>
      <c r="I19" s="25" t="s">
        <v>511</v>
      </c>
      <c r="J19" s="301" t="s">
        <v>512</v>
      </c>
      <c r="M19" s="167"/>
      <c r="N19" s="19"/>
      <c r="O19" s="19"/>
    </row>
    <row r="20" spans="4:15">
      <c r="D20" s="56"/>
      <c r="F20" s="54" t="s">
        <v>159</v>
      </c>
      <c r="H20" s="57" t="s">
        <v>128</v>
      </c>
      <c r="I20" s="25" t="s">
        <v>513</v>
      </c>
      <c r="J20" s="301" t="s">
        <v>514</v>
      </c>
      <c r="M20" s="19"/>
      <c r="N20" s="19"/>
      <c r="O20" s="19"/>
    </row>
    <row r="21" spans="4:15">
      <c r="D21" s="581"/>
      <c r="F21" s="54" t="s">
        <v>160</v>
      </c>
      <c r="H21" s="581"/>
      <c r="I21" s="25" t="s">
        <v>515</v>
      </c>
      <c r="J21" s="301" t="s">
        <v>516</v>
      </c>
      <c r="M21" s="19"/>
      <c r="N21" s="19"/>
      <c r="O21" s="19"/>
    </row>
    <row r="22" spans="4:15">
      <c r="H22" s="581"/>
      <c r="I22" s="25" t="s">
        <v>517</v>
      </c>
      <c r="J22" s="301" t="s">
        <v>518</v>
      </c>
      <c r="M22" s="19"/>
      <c r="N22" s="19"/>
      <c r="O22" s="19"/>
    </row>
    <row r="23" spans="4:15">
      <c r="I23" s="25" t="s">
        <v>519</v>
      </c>
      <c r="J23" s="301" t="s">
        <v>520</v>
      </c>
      <c r="M23" s="19"/>
      <c r="N23" s="19"/>
      <c r="O23" s="19"/>
    </row>
    <row r="24" spans="4:15">
      <c r="I24" s="25" t="s">
        <v>521</v>
      </c>
      <c r="J24" s="301" t="s">
        <v>522</v>
      </c>
      <c r="M24" s="19"/>
      <c r="N24" s="19"/>
      <c r="O24" s="19"/>
    </row>
    <row r="25" spans="4:15">
      <c r="I25" s="42"/>
      <c r="J25" s="301" t="s">
        <v>523</v>
      </c>
    </row>
    <row r="26" spans="4:15">
      <c r="I26" s="25" t="s">
        <v>524</v>
      </c>
      <c r="J26" s="301" t="s">
        <v>525</v>
      </c>
    </row>
    <row r="27" spans="4:15">
      <c r="I27" s="25" t="s">
        <v>526</v>
      </c>
      <c r="J27" s="301" t="s">
        <v>527</v>
      </c>
    </row>
    <row r="28" spans="4:15">
      <c r="I28" s="42" t="s">
        <v>528</v>
      </c>
      <c r="J28" s="301" t="s">
        <v>529</v>
      </c>
    </row>
    <row r="29" spans="4:15">
      <c r="I29" s="42" t="s">
        <v>530</v>
      </c>
      <c r="J29" s="301" t="s">
        <v>531</v>
      </c>
    </row>
    <row r="30" spans="4:15">
      <c r="I30" s="42" t="s">
        <v>513</v>
      </c>
      <c r="J30" s="301" t="s">
        <v>532</v>
      </c>
    </row>
    <row r="31" spans="4:15">
      <c r="J31" s="301" t="s">
        <v>533</v>
      </c>
    </row>
    <row r="32" spans="4:15">
      <c r="J32" s="301" t="s">
        <v>534</v>
      </c>
    </row>
    <row r="33" spans="10:10">
      <c r="J33" s="301" t="s">
        <v>535</v>
      </c>
    </row>
    <row r="34" spans="10:10">
      <c r="J34" s="301" t="s">
        <v>536</v>
      </c>
    </row>
    <row r="35" spans="10:10">
      <c r="J35" s="301" t="s">
        <v>537</v>
      </c>
    </row>
    <row r="36" spans="10:10">
      <c r="J36" s="301" t="s">
        <v>537</v>
      </c>
    </row>
    <row r="37" spans="10:10">
      <c r="J37" s="301" t="s">
        <v>538</v>
      </c>
    </row>
    <row r="38" spans="10:10">
      <c r="J38" s="301" t="s">
        <v>539</v>
      </c>
    </row>
    <row r="39" spans="10:10">
      <c r="J39" s="301" t="s">
        <v>540</v>
      </c>
    </row>
    <row r="40" spans="10:10">
      <c r="J40" s="301" t="s">
        <v>541</v>
      </c>
    </row>
    <row r="41" spans="10:10">
      <c r="J41" s="301" t="s">
        <v>542</v>
      </c>
    </row>
    <row r="42" spans="10:10">
      <c r="J42" s="301" t="s">
        <v>543</v>
      </c>
    </row>
    <row r="43" spans="10:10">
      <c r="J43" s="301" t="s">
        <v>544</v>
      </c>
    </row>
    <row r="44" spans="10:10">
      <c r="J44" s="301" t="s">
        <v>545</v>
      </c>
    </row>
    <row r="45" spans="10:10">
      <c r="J45" s="301" t="s">
        <v>546</v>
      </c>
    </row>
    <row r="46" spans="10:10">
      <c r="J46" s="301" t="s">
        <v>547</v>
      </c>
    </row>
    <row r="47" spans="10:10">
      <c r="J47" s="301" t="s">
        <v>548</v>
      </c>
    </row>
    <row r="48" spans="10:10">
      <c r="J48" s="301" t="s">
        <v>549</v>
      </c>
    </row>
    <row r="49" spans="10:10">
      <c r="J49" s="301" t="s">
        <v>550</v>
      </c>
    </row>
    <row r="50" spans="10:10">
      <c r="J50" s="301" t="s">
        <v>551</v>
      </c>
    </row>
    <row r="51" spans="10:10">
      <c r="J51" s="301" t="s">
        <v>552</v>
      </c>
    </row>
    <row r="52" spans="10:10">
      <c r="J52" s="301" t="s">
        <v>553</v>
      </c>
    </row>
    <row r="53" spans="10:10">
      <c r="J53" s="301" t="s">
        <v>554</v>
      </c>
    </row>
    <row r="54" spans="10:10">
      <c r="J54" s="301" t="s">
        <v>555</v>
      </c>
    </row>
    <row r="55" spans="10:10">
      <c r="J55" s="301" t="s">
        <v>556</v>
      </c>
    </row>
    <row r="56" spans="10:10">
      <c r="J56" s="301" t="s">
        <v>557</v>
      </c>
    </row>
    <row r="57" spans="10:10">
      <c r="J57" s="301" t="s">
        <v>558</v>
      </c>
    </row>
    <row r="58" spans="10:10">
      <c r="J58" s="301" t="s">
        <v>559</v>
      </c>
    </row>
    <row r="59" spans="10:10">
      <c r="J59" s="301" t="s">
        <v>560</v>
      </c>
    </row>
    <row r="60" spans="10:10">
      <c r="J60" s="301" t="s">
        <v>561</v>
      </c>
    </row>
    <row r="61" spans="10:10">
      <c r="J61" s="301" t="s">
        <v>562</v>
      </c>
    </row>
    <row r="62" spans="10:10">
      <c r="J62" s="301" t="s">
        <v>563</v>
      </c>
    </row>
    <row r="63" spans="10:10">
      <c r="J63" s="301" t="s">
        <v>564</v>
      </c>
    </row>
    <row r="64" spans="10:10">
      <c r="J64" s="301" t="s">
        <v>565</v>
      </c>
    </row>
    <row r="65" spans="10:10">
      <c r="J65" s="301" t="s">
        <v>566</v>
      </c>
    </row>
    <row r="66" spans="10:10">
      <c r="J66" s="301" t="s">
        <v>567</v>
      </c>
    </row>
    <row r="67" spans="10:10">
      <c r="J67" s="301" t="s">
        <v>568</v>
      </c>
    </row>
    <row r="68" spans="10:10">
      <c r="J68" s="301" t="s">
        <v>569</v>
      </c>
    </row>
    <row r="69" spans="10:10">
      <c r="J69" s="301" t="s">
        <v>570</v>
      </c>
    </row>
    <row r="70" spans="10:10">
      <c r="J70" s="301" t="s">
        <v>571</v>
      </c>
    </row>
    <row r="71" spans="10:10">
      <c r="J71" s="301" t="s">
        <v>572</v>
      </c>
    </row>
    <row r="72" spans="10:10">
      <c r="J72" s="301" t="s">
        <v>573</v>
      </c>
    </row>
    <row r="73" spans="10:10">
      <c r="J73" s="301" t="s">
        <v>574</v>
      </c>
    </row>
    <row r="74" spans="10:10">
      <c r="J74" s="301" t="s">
        <v>575</v>
      </c>
    </row>
    <row r="75" spans="10:10">
      <c r="J75" s="301" t="s">
        <v>576</v>
      </c>
    </row>
    <row r="76" spans="10:10">
      <c r="J76" s="301" t="s">
        <v>114</v>
      </c>
    </row>
    <row r="77" spans="10:10">
      <c r="J77" s="301" t="s">
        <v>577</v>
      </c>
    </row>
    <row r="78" spans="10:10">
      <c r="J78" s="301" t="s">
        <v>578</v>
      </c>
    </row>
    <row r="79" spans="10:10">
      <c r="J79" s="301" t="s">
        <v>579</v>
      </c>
    </row>
    <row r="80" spans="10:10">
      <c r="J80" s="301" t="s">
        <v>580</v>
      </c>
    </row>
    <row r="81" spans="10:10">
      <c r="J81" s="301" t="s">
        <v>581</v>
      </c>
    </row>
    <row r="82" spans="10:10">
      <c r="J82" s="301" t="s">
        <v>582</v>
      </c>
    </row>
    <row r="83" spans="10:10">
      <c r="J83" s="301" t="s">
        <v>583</v>
      </c>
    </row>
    <row r="84" spans="10:10">
      <c r="J84" s="301" t="s">
        <v>584</v>
      </c>
    </row>
    <row r="85" spans="10:10">
      <c r="J85" s="301" t="s">
        <v>585</v>
      </c>
    </row>
    <row r="86" spans="10:10">
      <c r="J86" s="301" t="s">
        <v>586</v>
      </c>
    </row>
    <row r="87" spans="10:10">
      <c r="J87" s="301" t="s">
        <v>587</v>
      </c>
    </row>
    <row r="88" spans="10:10">
      <c r="J88" s="301" t="s">
        <v>588</v>
      </c>
    </row>
    <row r="89" spans="10:10">
      <c r="J89" s="301" t="s">
        <v>589</v>
      </c>
    </row>
    <row r="90" spans="10:10">
      <c r="J90" s="301" t="s">
        <v>590</v>
      </c>
    </row>
    <row r="91" spans="10:10">
      <c r="J91" s="301" t="s">
        <v>591</v>
      </c>
    </row>
    <row r="92" spans="10:10">
      <c r="J92" s="301" t="s">
        <v>592</v>
      </c>
    </row>
    <row r="93" spans="10:10">
      <c r="J93" s="301" t="s">
        <v>593</v>
      </c>
    </row>
    <row r="94" spans="10:10">
      <c r="J94" s="301" t="s">
        <v>594</v>
      </c>
    </row>
    <row r="95" spans="10:10">
      <c r="J95" s="301" t="s">
        <v>595</v>
      </c>
    </row>
    <row r="96" spans="10:10">
      <c r="J96" s="301" t="s">
        <v>596</v>
      </c>
    </row>
    <row r="97" spans="10:10">
      <c r="J97" s="301" t="s">
        <v>597</v>
      </c>
    </row>
    <row r="98" spans="10:10">
      <c r="J98" s="301" t="s">
        <v>598</v>
      </c>
    </row>
    <row r="99" spans="10:10">
      <c r="J99" s="301" t="s">
        <v>599</v>
      </c>
    </row>
    <row r="100" spans="10:10">
      <c r="J100" s="301" t="s">
        <v>600</v>
      </c>
    </row>
    <row r="101" spans="10:10">
      <c r="J101" s="301" t="s">
        <v>601</v>
      </c>
    </row>
    <row r="102" spans="10:10">
      <c r="J102" s="301" t="s">
        <v>602</v>
      </c>
    </row>
    <row r="103" spans="10:10">
      <c r="J103" s="301" t="s">
        <v>603</v>
      </c>
    </row>
    <row r="104" spans="10:10">
      <c r="J104" s="301" t="s">
        <v>604</v>
      </c>
    </row>
    <row r="105" spans="10:10">
      <c r="J105" s="301" t="s">
        <v>605</v>
      </c>
    </row>
    <row r="106" spans="10:10">
      <c r="J106" s="301" t="s">
        <v>606</v>
      </c>
    </row>
    <row r="107" spans="10:10">
      <c r="J107" s="301" t="s">
        <v>607</v>
      </c>
    </row>
    <row r="108" spans="10:10">
      <c r="J108" s="301" t="s">
        <v>608</v>
      </c>
    </row>
    <row r="109" spans="10:10">
      <c r="J109" s="301" t="s">
        <v>609</v>
      </c>
    </row>
    <row r="110" spans="10:10">
      <c r="J110" s="301" t="s">
        <v>610</v>
      </c>
    </row>
    <row r="111" spans="10:10">
      <c r="J111" s="301" t="s">
        <v>611</v>
      </c>
    </row>
    <row r="112" spans="10:10">
      <c r="J112" s="301" t="s">
        <v>612</v>
      </c>
    </row>
    <row r="113" spans="10:10">
      <c r="J113" s="301" t="s">
        <v>613</v>
      </c>
    </row>
    <row r="114" spans="10:10">
      <c r="J114" s="301" t="s">
        <v>614</v>
      </c>
    </row>
    <row r="115" spans="10:10">
      <c r="J115" s="301" t="s">
        <v>615</v>
      </c>
    </row>
    <row r="116" spans="10:10">
      <c r="J116" s="301" t="s">
        <v>616</v>
      </c>
    </row>
    <row r="117" spans="10:10">
      <c r="J117" s="301" t="s">
        <v>617</v>
      </c>
    </row>
    <row r="118" spans="10:10">
      <c r="J118" s="301" t="s">
        <v>618</v>
      </c>
    </row>
    <row r="119" spans="10:10">
      <c r="J119" s="301" t="s">
        <v>619</v>
      </c>
    </row>
    <row r="120" spans="10:10">
      <c r="J120" s="301" t="s">
        <v>620</v>
      </c>
    </row>
    <row r="121" spans="10:10">
      <c r="J121" s="301" t="s">
        <v>621</v>
      </c>
    </row>
    <row r="122" spans="10:10">
      <c r="J122" s="301" t="s">
        <v>622</v>
      </c>
    </row>
    <row r="123" spans="10:10">
      <c r="J123" s="301" t="s">
        <v>623</v>
      </c>
    </row>
    <row r="124" spans="10:10">
      <c r="J124" s="301" t="s">
        <v>624</v>
      </c>
    </row>
    <row r="125" spans="10:10">
      <c r="J125" s="301" t="s">
        <v>625</v>
      </c>
    </row>
    <row r="126" spans="10:10">
      <c r="J126" s="301" t="s">
        <v>626</v>
      </c>
    </row>
    <row r="127" spans="10:10">
      <c r="J127" s="301" t="s">
        <v>627</v>
      </c>
    </row>
    <row r="128" spans="10:10">
      <c r="J128" s="301" t="s">
        <v>628</v>
      </c>
    </row>
    <row r="129" spans="10:10">
      <c r="J129" s="301" t="s">
        <v>629</v>
      </c>
    </row>
    <row r="130" spans="10:10">
      <c r="J130" s="301" t="s">
        <v>630</v>
      </c>
    </row>
    <row r="131" spans="10:10">
      <c r="J131" s="301" t="s">
        <v>631</v>
      </c>
    </row>
    <row r="132" spans="10:10">
      <c r="J132" s="301" t="s">
        <v>632</v>
      </c>
    </row>
    <row r="133" spans="10:10">
      <c r="J133" s="301" t="s">
        <v>633</v>
      </c>
    </row>
    <row r="134" spans="10:10">
      <c r="J134" s="301" t="s">
        <v>634</v>
      </c>
    </row>
    <row r="135" spans="10:10">
      <c r="J135" s="301" t="s">
        <v>635</v>
      </c>
    </row>
    <row r="136" spans="10:10">
      <c r="J136" s="301" t="s">
        <v>636</v>
      </c>
    </row>
    <row r="137" spans="10:10">
      <c r="J137" s="301" t="s">
        <v>637</v>
      </c>
    </row>
    <row r="138" spans="10:10">
      <c r="J138" s="301" t="s">
        <v>638</v>
      </c>
    </row>
    <row r="139" spans="10:10">
      <c r="J139" s="301" t="s">
        <v>639</v>
      </c>
    </row>
    <row r="140" spans="10:10">
      <c r="J140" s="301" t="s">
        <v>640</v>
      </c>
    </row>
    <row r="141" spans="10:10">
      <c r="J141" s="301" t="s">
        <v>641</v>
      </c>
    </row>
    <row r="142" spans="10:10">
      <c r="J142" s="301" t="s">
        <v>642</v>
      </c>
    </row>
    <row r="143" spans="10:10">
      <c r="J143" s="301" t="s">
        <v>643</v>
      </c>
    </row>
    <row r="144" spans="10:10">
      <c r="J144" s="287"/>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Normal="100" workbookViewId="0">
      <selection activeCell="N19" sqref="N19"/>
    </sheetView>
  </sheetViews>
  <sheetFormatPr defaultRowHeight="15"/>
  <sheetData>
    <row r="1" spans="1:2">
      <c r="A1" s="68" t="s">
        <v>644</v>
      </c>
      <c r="B1" t="s">
        <v>645</v>
      </c>
    </row>
    <row r="2" spans="1:2">
      <c r="A2" s="68" t="s">
        <v>646</v>
      </c>
      <c r="B2" t="s">
        <v>647</v>
      </c>
    </row>
    <row r="3" spans="1:2">
      <c r="A3" s="68" t="s">
        <v>648</v>
      </c>
      <c r="B3" t="s">
        <v>649</v>
      </c>
    </row>
    <row r="4" spans="1:2">
      <c r="A4" s="68" t="s">
        <v>650</v>
      </c>
      <c r="B4" t="s">
        <v>651</v>
      </c>
    </row>
    <row r="5" spans="1:2">
      <c r="A5" s="68" t="s">
        <v>652</v>
      </c>
      <c r="B5" t="s">
        <v>653</v>
      </c>
    </row>
    <row r="6" spans="1:2">
      <c r="A6" s="68" t="s">
        <v>654</v>
      </c>
      <c r="B6" t="s">
        <v>655</v>
      </c>
    </row>
    <row r="7" spans="1:2">
      <c r="A7" s="68" t="s">
        <v>656</v>
      </c>
      <c r="B7" t="s">
        <v>657</v>
      </c>
    </row>
    <row r="8" spans="1:2">
      <c r="A8" s="68" t="s">
        <v>658</v>
      </c>
      <c r="B8" t="s">
        <v>659</v>
      </c>
    </row>
    <row r="9" spans="1:2">
      <c r="A9" s="68" t="s">
        <v>660</v>
      </c>
      <c r="B9" t="s">
        <v>661</v>
      </c>
    </row>
    <row r="10" spans="1:2">
      <c r="A10" s="68" t="s">
        <v>662</v>
      </c>
      <c r="B10" t="s">
        <v>663</v>
      </c>
    </row>
    <row r="11" spans="1:2">
      <c r="A11" s="68" t="s">
        <v>664</v>
      </c>
      <c r="B11" t="s">
        <v>665</v>
      </c>
    </row>
    <row r="12" spans="1:2">
      <c r="A12" s="68" t="s">
        <v>666</v>
      </c>
      <c r="B12" t="s">
        <v>667</v>
      </c>
    </row>
    <row r="13" spans="1:2">
      <c r="A13" s="68" t="s">
        <v>668</v>
      </c>
      <c r="B13" t="s">
        <v>669</v>
      </c>
    </row>
    <row r="14" spans="1:2">
      <c r="A14" s="68" t="s">
        <v>670</v>
      </c>
      <c r="B14" t="s">
        <v>671</v>
      </c>
    </row>
    <row r="15" spans="1:2">
      <c r="A15" s="68" t="s">
        <v>672</v>
      </c>
      <c r="B15" t="s">
        <v>673</v>
      </c>
    </row>
  </sheetData>
  <phoneticPr fontId="3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31"/>
  <sheetViews>
    <sheetView workbookViewId="0">
      <selection activeCell="D14" sqref="D14"/>
    </sheetView>
  </sheetViews>
  <sheetFormatPr defaultRowHeight="15"/>
  <cols>
    <col min="2" max="2" width="32.28515625" style="346" customWidth="1"/>
    <col min="3" max="3" width="11.28515625" customWidth="1"/>
    <col min="4" max="4" width="14.7109375" customWidth="1"/>
    <col min="6" max="6" width="14" customWidth="1"/>
    <col min="7" max="7" width="11.5703125" customWidth="1"/>
    <col min="9" max="9" width="27.28515625" customWidth="1"/>
    <col min="11" max="11" width="12" customWidth="1"/>
  </cols>
  <sheetData>
    <row r="3" spans="2:12" ht="23.25">
      <c r="B3" s="343" t="s">
        <v>674</v>
      </c>
      <c r="C3" s="279">
        <v>196425</v>
      </c>
      <c r="D3" s="282">
        <v>10086.190000000002</v>
      </c>
      <c r="I3" s="348"/>
      <c r="J3" s="349"/>
      <c r="K3" s="349"/>
      <c r="L3" s="349"/>
    </row>
    <row r="4" spans="2:12" ht="34.5">
      <c r="B4" s="343" t="s">
        <v>675</v>
      </c>
      <c r="C4" s="279">
        <v>2920215</v>
      </c>
      <c r="D4" s="282">
        <v>1283202.9400000002</v>
      </c>
      <c r="I4" s="350"/>
      <c r="J4" s="351"/>
      <c r="K4" s="351"/>
      <c r="L4" s="351"/>
    </row>
    <row r="5" spans="2:12">
      <c r="B5" s="344" t="s">
        <v>676</v>
      </c>
      <c r="C5" s="280">
        <v>343499</v>
      </c>
      <c r="D5" s="282">
        <v>304251.71999999997</v>
      </c>
    </row>
    <row r="6" spans="2:12" ht="15.75" thickBot="1">
      <c r="B6" s="345" t="s">
        <v>194</v>
      </c>
      <c r="C6" s="285">
        <f>SUM(C3:C5)</f>
        <v>3460139</v>
      </c>
      <c r="D6" s="286">
        <f>SUM(D3:D5)</f>
        <v>1597540.85</v>
      </c>
      <c r="I6" s="354"/>
      <c r="L6" s="355"/>
    </row>
    <row r="7" spans="2:12" ht="57">
      <c r="I7" s="352" t="s">
        <v>677</v>
      </c>
      <c r="L7" s="353"/>
    </row>
    <row r="8" spans="2:12" ht="34.5">
      <c r="I8" s="354" t="s">
        <v>678</v>
      </c>
      <c r="L8" s="359"/>
    </row>
    <row r="9" spans="2:12">
      <c r="I9" s="354" t="s">
        <v>679</v>
      </c>
      <c r="L9" s="355"/>
    </row>
    <row r="10" spans="2:12" ht="15.75" thickBot="1">
      <c r="B10" s="349"/>
      <c r="C10" s="42" t="s">
        <v>680</v>
      </c>
      <c r="D10" s="42" t="s">
        <v>681</v>
      </c>
      <c r="E10" s="42" t="s">
        <v>682</v>
      </c>
      <c r="F10" s="42" t="s">
        <v>683</v>
      </c>
      <c r="G10" s="42"/>
      <c r="I10" s="356"/>
      <c r="J10" s="357">
        <f>SUM(J6:J9)</f>
        <v>0</v>
      </c>
      <c r="K10" s="357">
        <f>SUM(K6:K9)</f>
        <v>0</v>
      </c>
      <c r="L10" s="358"/>
    </row>
    <row r="11" spans="2:12" ht="26.25">
      <c r="B11" s="365" t="s">
        <v>674</v>
      </c>
      <c r="C11" s="361">
        <v>78211</v>
      </c>
      <c r="D11" s="362">
        <f>445269.08+4207.73</f>
        <v>449476.81</v>
      </c>
      <c r="E11" s="363">
        <v>554706</v>
      </c>
      <c r="F11" s="363">
        <v>459562.80000000005</v>
      </c>
      <c r="G11" s="364"/>
    </row>
    <row r="12" spans="2:12" ht="39">
      <c r="B12" s="365" t="s">
        <v>675</v>
      </c>
      <c r="C12" s="361">
        <v>797425.72399999993</v>
      </c>
      <c r="D12" s="362">
        <f>1328985.16+10597.9</f>
        <v>1339583.0599999998</v>
      </c>
      <c r="E12" s="363">
        <v>4906100</v>
      </c>
      <c r="F12" s="363">
        <v>2622785.89</v>
      </c>
      <c r="G12" s="364"/>
    </row>
    <row r="13" spans="2:12">
      <c r="B13" s="366" t="s">
        <v>676</v>
      </c>
      <c r="C13" s="362">
        <v>282670.70082999999</v>
      </c>
      <c r="D13" s="362">
        <f>116992.65-1717</f>
        <v>115275.65</v>
      </c>
      <c r="E13" s="363">
        <v>659696</v>
      </c>
      <c r="F13" s="363">
        <v>419527.37</v>
      </c>
      <c r="G13" s="364"/>
    </row>
    <row r="14" spans="2:12">
      <c r="B14" s="367" t="s">
        <v>194</v>
      </c>
      <c r="C14" s="368">
        <f>SUM(C11:C13)</f>
        <v>1158307.4248299999</v>
      </c>
      <c r="D14" s="368">
        <f>SUM(D11:D13)</f>
        <v>1904335.5199999998</v>
      </c>
      <c r="E14" s="369">
        <f>SUM(E11:E13)</f>
        <v>6120502</v>
      </c>
      <c r="F14" s="369">
        <f>SUM(F11:F13)</f>
        <v>3501876.0600000005</v>
      </c>
      <c r="G14" s="369"/>
    </row>
    <row r="17" spans="2:9">
      <c r="D17" s="360"/>
    </row>
    <row r="18" spans="2:9">
      <c r="B18" s="346" t="s">
        <v>684</v>
      </c>
      <c r="C18">
        <v>1854771.0908137045</v>
      </c>
      <c r="D18">
        <v>1486069.9447738212</v>
      </c>
      <c r="E18">
        <f>SUM(C18:D18)</f>
        <v>3340841.0355875259</v>
      </c>
      <c r="F18">
        <v>1515782.6800000002</v>
      </c>
      <c r="G18">
        <f>F18-D18</f>
        <v>29712.735226179007</v>
      </c>
    </row>
    <row r="19" spans="2:9">
      <c r="B19" s="346" t="s">
        <v>685</v>
      </c>
      <c r="C19">
        <v>64356.800000000003</v>
      </c>
      <c r="D19">
        <v>96678.23</v>
      </c>
      <c r="E19">
        <f t="shared" ref="E19:E20" si="0">SUM(C19:D19)</f>
        <v>161035.03</v>
      </c>
      <c r="F19">
        <v>87839.17</v>
      </c>
      <c r="G19">
        <f>F19-D19</f>
        <v>-8839.0599999999977</v>
      </c>
    </row>
    <row r="20" spans="2:9">
      <c r="B20" s="346" t="s">
        <v>686</v>
      </c>
      <c r="C20">
        <v>1919127.8908137046</v>
      </c>
      <c r="D20">
        <v>1582748.1747738211</v>
      </c>
      <c r="E20">
        <f t="shared" si="0"/>
        <v>3501876.0655875257</v>
      </c>
      <c r="F20">
        <f>SUM(F18:F19)</f>
        <v>1603621.85</v>
      </c>
    </row>
    <row r="21" spans="2:9">
      <c r="D21">
        <v>1603622</v>
      </c>
    </row>
    <row r="22" spans="2:9">
      <c r="D22" s="370">
        <f>D21-D20</f>
        <v>20873.825226178858</v>
      </c>
      <c r="F22" s="360">
        <f>D14+F20</f>
        <v>3507957.37</v>
      </c>
    </row>
    <row r="25" spans="2:9" ht="45">
      <c r="E25" s="347" t="s">
        <v>687</v>
      </c>
      <c r="F25" t="s">
        <v>688</v>
      </c>
      <c r="H25" t="s">
        <v>689</v>
      </c>
    </row>
    <row r="26" spans="2:9">
      <c r="B26" s="346" t="s">
        <v>198</v>
      </c>
      <c r="C26">
        <v>5365504</v>
      </c>
      <c r="D26">
        <v>4274978</v>
      </c>
      <c r="E26">
        <v>9640482</v>
      </c>
      <c r="F26">
        <v>5365504</v>
      </c>
      <c r="G26">
        <f>E26-F26</f>
        <v>4274978</v>
      </c>
      <c r="H26">
        <v>4274978</v>
      </c>
    </row>
    <row r="27" spans="2:9">
      <c r="B27" s="346" t="s">
        <v>199</v>
      </c>
      <c r="C27">
        <v>2778659</v>
      </c>
      <c r="D27">
        <v>1515782.6</v>
      </c>
      <c r="E27">
        <v>4302570</v>
      </c>
      <c r="F27">
        <v>2778659</v>
      </c>
      <c r="G27">
        <f t="shared" ref="G27:G28" si="1">E27-F27</f>
        <v>1523911</v>
      </c>
      <c r="H27">
        <v>1515783</v>
      </c>
      <c r="I27">
        <f>E27-H27</f>
        <v>2786787</v>
      </c>
    </row>
    <row r="28" spans="2:9">
      <c r="B28" s="346" t="s">
        <v>200</v>
      </c>
      <c r="C28">
        <v>146899</v>
      </c>
      <c r="D28">
        <v>87839</v>
      </c>
      <c r="E28">
        <v>228574</v>
      </c>
      <c r="F28">
        <v>146899</v>
      </c>
      <c r="G28">
        <f t="shared" si="1"/>
        <v>81675</v>
      </c>
      <c r="H28">
        <v>87839</v>
      </c>
      <c r="I28">
        <f>E28-H28</f>
        <v>140735</v>
      </c>
    </row>
    <row r="29" spans="2:9">
      <c r="B29" s="346" t="s">
        <v>201</v>
      </c>
      <c r="C29">
        <v>127777.84</v>
      </c>
      <c r="D29">
        <v>93968.860000000015</v>
      </c>
      <c r="E29">
        <v>221747</v>
      </c>
      <c r="F29">
        <v>127777.84</v>
      </c>
      <c r="G29">
        <f>E29-H29</f>
        <v>140735</v>
      </c>
      <c r="H29">
        <v>81012</v>
      </c>
    </row>
    <row r="31" spans="2:9">
      <c r="G31">
        <f>G29-F29</f>
        <v>12957.160000000003</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77"/>
  <sheetViews>
    <sheetView showGridLines="0" zoomScale="75" zoomScaleNormal="100" workbookViewId="0">
      <pane ySplit="2" topLeftCell="A48" activePane="bottomLeft" state="frozen"/>
      <selection activeCell="E22" sqref="E22"/>
      <selection pane="bottomLeft" activeCell="E22" sqref="E22:I22"/>
    </sheetView>
  </sheetViews>
  <sheetFormatPr defaultColWidth="11" defaultRowHeight="15"/>
  <cols>
    <col min="1" max="1" width="2.7109375" customWidth="1"/>
    <col min="2" max="2" width="21.42578125" customWidth="1"/>
    <col min="3" max="3" width="11.42578125" customWidth="1"/>
    <col min="4" max="4" width="22.57031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33.7109375" customWidth="1"/>
    <col min="13" max="13" width="49.42578125" customWidth="1"/>
    <col min="14" max="14" width="2.5703125" style="33" customWidth="1"/>
    <col min="15" max="15" width="3" style="33"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732" t="str">
        <f>+"Панель показателей: "&amp;" "&amp;+IF('Ввод данных'!B4="Выберите","",'Ввод данных'!B4&amp;" - ")&amp;+IF('Ввод данных'!F6="Выберите","",'Ввод данных'!F6)</f>
        <v>Панель показателей:  Кыргызстан - ВИЧ/СПИД/ТБ</v>
      </c>
      <c r="C2" s="732"/>
      <c r="D2" s="732"/>
      <c r="E2" s="732"/>
      <c r="F2" s="732"/>
      <c r="G2" s="732"/>
      <c r="H2" s="732"/>
      <c r="I2" s="732"/>
      <c r="J2" s="732"/>
      <c r="K2" s="732"/>
      <c r="L2" s="732"/>
      <c r="M2" s="732"/>
    </row>
    <row r="3" spans="1:15" ht="15.75" customHeight="1">
      <c r="A3" s="3"/>
      <c r="B3" s="185"/>
      <c r="C3" s="185"/>
      <c r="D3" s="185"/>
      <c r="E3" s="185"/>
      <c r="F3" s="185"/>
      <c r="G3" s="185"/>
      <c r="H3" s="185"/>
      <c r="I3" s="185"/>
      <c r="J3" s="185"/>
      <c r="K3" s="186"/>
      <c r="L3" s="186"/>
      <c r="M3" s="3"/>
    </row>
    <row r="5" spans="1:15" ht="23.25">
      <c r="B5" s="717" t="s">
        <v>1</v>
      </c>
      <c r="C5" s="717"/>
      <c r="D5" s="717"/>
      <c r="E5" s="717"/>
      <c r="F5" s="717"/>
      <c r="G5" s="717"/>
      <c r="H5" s="717"/>
      <c r="I5" s="717"/>
      <c r="J5" s="717"/>
      <c r="K5" s="717"/>
      <c r="L5" s="717"/>
      <c r="M5" s="717"/>
      <c r="N5" s="717"/>
      <c r="O5" s="717"/>
    </row>
    <row r="7" spans="1:15" s="325" customFormat="1" ht="21">
      <c r="A7" s="611"/>
      <c r="B7" s="733" t="s">
        <v>2</v>
      </c>
      <c r="C7" s="734"/>
      <c r="D7" s="735"/>
      <c r="E7" s="733" t="s">
        <v>3</v>
      </c>
      <c r="F7" s="734"/>
      <c r="G7" s="734"/>
      <c r="H7" s="734"/>
      <c r="I7" s="735"/>
      <c r="J7" s="733" t="s">
        <v>4</v>
      </c>
      <c r="K7" s="734"/>
      <c r="L7" s="735"/>
      <c r="M7" s="733" t="s">
        <v>5</v>
      </c>
      <c r="N7" s="734"/>
      <c r="O7" s="735"/>
    </row>
    <row r="8" spans="1:15" ht="117.75" customHeight="1">
      <c r="B8" s="702" t="str">
        <f>+'Ввод данных'!A27</f>
        <v>F1: Бюджет и выплаты Глобальным фондом</v>
      </c>
      <c r="C8" s="739"/>
      <c r="D8" s="740"/>
      <c r="E8" s="736" t="s">
        <v>6</v>
      </c>
      <c r="F8" s="737"/>
      <c r="G8" s="737"/>
      <c r="H8" s="737"/>
      <c r="I8" s="738"/>
      <c r="J8" s="727" t="s">
        <v>7</v>
      </c>
      <c r="K8" s="728"/>
      <c r="L8" s="729"/>
      <c r="M8" s="727" t="s">
        <v>8</v>
      </c>
      <c r="N8" s="728"/>
      <c r="O8" s="729"/>
    </row>
    <row r="9" spans="1:15" ht="117.75" customHeight="1">
      <c r="B9" s="690" t="str">
        <f>+'Ввод данных'!A36</f>
        <v>F2: Бюджет и фактические расходы согласно задачам гранта</v>
      </c>
      <c r="C9" s="741"/>
      <c r="D9" s="742"/>
      <c r="E9" s="693" t="s">
        <v>9</v>
      </c>
      <c r="F9" s="694"/>
      <c r="G9" s="694"/>
      <c r="H9" s="694"/>
      <c r="I9" s="695"/>
      <c r="J9" s="727" t="s">
        <v>10</v>
      </c>
      <c r="K9" s="728"/>
      <c r="L9" s="729"/>
      <c r="M9" s="727" t="s">
        <v>8</v>
      </c>
      <c r="N9" s="728"/>
      <c r="O9" s="729"/>
    </row>
    <row r="10" spans="1:15" ht="247.5" customHeight="1">
      <c r="B10" s="690" t="str">
        <f>+'Ввод данных'!A58</f>
        <v>F3: Выплаты и расходы</v>
      </c>
      <c r="C10" s="741"/>
      <c r="D10" s="742"/>
      <c r="E10" s="693" t="s">
        <v>11</v>
      </c>
      <c r="F10" s="694"/>
      <c r="G10" s="694"/>
      <c r="H10" s="694"/>
      <c r="I10" s="695"/>
      <c r="J10" s="727" t="s">
        <v>12</v>
      </c>
      <c r="K10" s="728"/>
      <c r="L10" s="729"/>
      <c r="M10" s="727" t="s">
        <v>13</v>
      </c>
      <c r="N10" s="728"/>
      <c r="O10" s="729"/>
    </row>
    <row r="11" spans="1:15" ht="252.75" customHeight="1">
      <c r="B11" s="690" t="str">
        <f>+'Ввод данных'!A67</f>
        <v>F4: Последний отчетный и платежный цикл ОР</v>
      </c>
      <c r="C11" s="691"/>
      <c r="D11" s="692"/>
      <c r="E11" s="693" t="s">
        <v>14</v>
      </c>
      <c r="F11" s="694"/>
      <c r="G11" s="694"/>
      <c r="H11" s="694"/>
      <c r="I11" s="695"/>
      <c r="J11" s="727" t="s">
        <v>15</v>
      </c>
      <c r="K11" s="728"/>
      <c r="L11" s="729"/>
      <c r="M11" s="727" t="s">
        <v>16</v>
      </c>
      <c r="N11" s="728"/>
      <c r="O11" s="729"/>
    </row>
    <row r="12" spans="1:15" s="19" customFormat="1">
      <c r="B12" s="744"/>
      <c r="C12" s="744"/>
      <c r="D12" s="744"/>
      <c r="E12" s="730"/>
      <c r="F12" s="730"/>
      <c r="G12" s="730"/>
      <c r="H12" s="730"/>
      <c r="I12" s="730"/>
      <c r="J12" s="730"/>
      <c r="K12" s="730"/>
      <c r="L12" s="730"/>
      <c r="M12" s="730"/>
      <c r="N12" s="730"/>
      <c r="O12" s="730"/>
    </row>
    <row r="13" spans="1:15" s="19" customFormat="1">
      <c r="B13" s="743"/>
      <c r="C13" s="743"/>
      <c r="D13" s="743"/>
      <c r="E13" s="731"/>
      <c r="F13" s="731"/>
      <c r="G13" s="731"/>
      <c r="H13" s="731"/>
      <c r="I13" s="731"/>
      <c r="J13" s="731"/>
      <c r="K13" s="731"/>
      <c r="L13" s="731"/>
      <c r="M13" s="731"/>
      <c r="N13" s="731"/>
      <c r="O13" s="731"/>
    </row>
    <row r="14" spans="1:15" s="19" customFormat="1">
      <c r="B14" s="743"/>
      <c r="C14" s="743"/>
      <c r="D14" s="743"/>
      <c r="E14" s="731"/>
      <c r="F14" s="731"/>
      <c r="G14" s="731"/>
      <c r="H14" s="731"/>
      <c r="I14" s="731"/>
      <c r="J14" s="731"/>
      <c r="K14" s="731"/>
      <c r="L14" s="731"/>
      <c r="M14" s="731"/>
      <c r="N14" s="731"/>
      <c r="O14" s="731"/>
    </row>
    <row r="15" spans="1:15" s="19" customFormat="1">
      <c r="B15" s="743"/>
      <c r="C15" s="743"/>
      <c r="D15" s="743"/>
      <c r="E15" s="731"/>
      <c r="F15" s="731"/>
      <c r="G15" s="731"/>
      <c r="H15" s="731"/>
      <c r="I15" s="731"/>
      <c r="J15" s="731"/>
      <c r="K15" s="731"/>
      <c r="L15" s="731"/>
      <c r="M15" s="731"/>
      <c r="N15" s="731"/>
      <c r="O15" s="731"/>
    </row>
    <row r="16" spans="1:15" ht="23.25">
      <c r="B16" s="717" t="s">
        <v>17</v>
      </c>
      <c r="C16" s="717"/>
      <c r="D16" s="717"/>
      <c r="E16" s="717"/>
      <c r="F16" s="717"/>
      <c r="G16" s="717"/>
      <c r="H16" s="717"/>
      <c r="I16" s="717"/>
      <c r="J16" s="717"/>
      <c r="K16" s="717"/>
      <c r="L16" s="717"/>
      <c r="M16" s="717"/>
      <c r="N16" s="717"/>
      <c r="O16" s="717"/>
    </row>
    <row r="18" spans="1:15" ht="21">
      <c r="B18" s="724" t="s">
        <v>2</v>
      </c>
      <c r="C18" s="725"/>
      <c r="D18" s="726"/>
      <c r="E18" s="724" t="s">
        <v>3</v>
      </c>
      <c r="F18" s="725"/>
      <c r="G18" s="725"/>
      <c r="H18" s="725"/>
      <c r="I18" s="726"/>
      <c r="J18" s="724" t="s">
        <v>4</v>
      </c>
      <c r="K18" s="725"/>
      <c r="L18" s="726"/>
      <c r="M18" s="724" t="s">
        <v>18</v>
      </c>
      <c r="N18" s="725"/>
      <c r="O18" s="726"/>
    </row>
    <row r="19" spans="1:15" ht="114" customHeight="1">
      <c r="B19" s="702" t="str">
        <f>+'Ввод данных'!A78</f>
        <v>M1: Статус Предварительных условий (ПУ) и Действий с установленным сроком исполнения (ДУС)</v>
      </c>
      <c r="C19" s="703"/>
      <c r="D19" s="704"/>
      <c r="E19" s="693" t="s">
        <v>19</v>
      </c>
      <c r="F19" s="759"/>
      <c r="G19" s="759"/>
      <c r="H19" s="759"/>
      <c r="I19" s="760"/>
      <c r="J19" s="687" t="s">
        <v>20</v>
      </c>
      <c r="K19" s="688"/>
      <c r="L19" s="689"/>
      <c r="M19" s="687" t="s">
        <v>21</v>
      </c>
      <c r="N19" s="688"/>
      <c r="O19" s="689"/>
    </row>
    <row r="20" spans="1:15" ht="102.75" customHeight="1">
      <c r="B20" s="690" t="str">
        <f>+'Ввод данных'!A87</f>
        <v>M2: Статус ключевых руководящих должностей в структуре ОР</v>
      </c>
      <c r="C20" s="691"/>
      <c r="D20" s="692"/>
      <c r="E20" s="693" t="s">
        <v>22</v>
      </c>
      <c r="F20" s="694"/>
      <c r="G20" s="694"/>
      <c r="H20" s="694"/>
      <c r="I20" s="695"/>
      <c r="J20" s="687" t="s">
        <v>23</v>
      </c>
      <c r="K20" s="688"/>
      <c r="L20" s="689"/>
      <c r="M20" s="687" t="s">
        <v>24</v>
      </c>
      <c r="N20" s="688"/>
      <c r="O20" s="689"/>
    </row>
    <row r="21" spans="1:15" ht="141.75" customHeight="1">
      <c r="B21" s="702" t="str">
        <f>+'Ввод данных'!A94</f>
        <v xml:space="preserve">M3: Контрактные соглашения (СР) </v>
      </c>
      <c r="C21" s="703"/>
      <c r="D21" s="704"/>
      <c r="E21" s="687" t="s">
        <v>25</v>
      </c>
      <c r="F21" s="694"/>
      <c r="G21" s="694"/>
      <c r="H21" s="694"/>
      <c r="I21" s="695"/>
      <c r="J21" s="756" t="s">
        <v>26</v>
      </c>
      <c r="K21" s="757"/>
      <c r="L21" s="758"/>
      <c r="M21" s="687" t="s">
        <v>27</v>
      </c>
      <c r="N21" s="688"/>
      <c r="O21" s="689"/>
    </row>
    <row r="22" spans="1:15" ht="96" customHeight="1">
      <c r="B22" s="702" t="str">
        <f>+'Ввод данных'!A100</f>
        <v>M4: Количество полных отчетов, полученных к установленному сроку</v>
      </c>
      <c r="C22" s="703"/>
      <c r="D22" s="704"/>
      <c r="E22" s="687" t="s">
        <v>28</v>
      </c>
      <c r="F22" s="688"/>
      <c r="G22" s="688"/>
      <c r="H22" s="688"/>
      <c r="I22" s="689"/>
      <c r="J22" s="687" t="s">
        <v>29</v>
      </c>
      <c r="K22" s="688"/>
      <c r="L22" s="689"/>
      <c r="M22" s="687" t="s">
        <v>30</v>
      </c>
      <c r="N22" s="688"/>
      <c r="O22" s="689"/>
    </row>
    <row r="23" spans="1:15" ht="187.5" customHeight="1">
      <c r="B23" s="705" t="str">
        <f>'Ввод данных'!A108</f>
        <v>M5: Бюджет и закупки товаров медицинского назначения, медицинского оборудования,  лекарственных средств и фармацевтических препаратов</v>
      </c>
      <c r="C23" s="706"/>
      <c r="D23" s="707"/>
      <c r="E23" s="714" t="s">
        <v>31</v>
      </c>
      <c r="F23" s="715"/>
      <c r="G23" s="715"/>
      <c r="H23" s="715"/>
      <c r="I23" s="716"/>
      <c r="J23" s="745" t="s">
        <v>32</v>
      </c>
      <c r="K23" s="746"/>
      <c r="L23" s="747"/>
      <c r="M23" s="745" t="s">
        <v>33</v>
      </c>
      <c r="N23" s="746"/>
      <c r="O23" s="747"/>
    </row>
    <row r="24" spans="1:15" ht="72.75" customHeight="1">
      <c r="B24" s="708"/>
      <c r="C24" s="709"/>
      <c r="D24" s="710"/>
      <c r="E24" s="699" t="s">
        <v>34</v>
      </c>
      <c r="F24" s="700"/>
      <c r="G24" s="700"/>
      <c r="H24" s="700"/>
      <c r="I24" s="701"/>
      <c r="J24" s="748"/>
      <c r="K24" s="749"/>
      <c r="L24" s="750"/>
      <c r="M24" s="748"/>
      <c r="N24" s="749"/>
      <c r="O24" s="750"/>
    </row>
    <row r="25" spans="1:15" ht="282.75" customHeight="1">
      <c r="B25" s="702" t="str">
        <f>+'Ввод данных'!A121</f>
        <v>M6: Разница между текущим и резервным запасами</v>
      </c>
      <c r="C25" s="703"/>
      <c r="D25" s="704"/>
      <c r="E25" s="696" t="s">
        <v>35</v>
      </c>
      <c r="F25" s="697"/>
      <c r="G25" s="697"/>
      <c r="H25" s="697"/>
      <c r="I25" s="698"/>
      <c r="J25" s="696" t="s">
        <v>36</v>
      </c>
      <c r="K25" s="754"/>
      <c r="L25" s="755"/>
      <c r="M25" s="751" t="s">
        <v>37</v>
      </c>
      <c r="N25" s="752"/>
      <c r="O25" s="753"/>
    </row>
    <row r="29" spans="1:15" ht="18.75">
      <c r="B29" s="209"/>
    </row>
    <row r="30" spans="1:15" ht="23.25">
      <c r="B30" s="717" t="s">
        <v>38</v>
      </c>
      <c r="C30" s="717"/>
      <c r="D30" s="717"/>
      <c r="E30" s="717"/>
      <c r="F30" s="717"/>
      <c r="G30" s="717"/>
      <c r="H30" s="717"/>
      <c r="I30" s="717"/>
      <c r="J30" s="717"/>
      <c r="K30" s="717"/>
      <c r="L30" s="717"/>
      <c r="M30" s="717"/>
      <c r="N30" s="717"/>
      <c r="O30" s="717"/>
    </row>
    <row r="32" spans="1:15" ht="28.5" customHeight="1">
      <c r="A32" s="207"/>
      <c r="B32" s="718" t="s">
        <v>39</v>
      </c>
      <c r="C32" s="719"/>
      <c r="D32" s="720"/>
      <c r="E32" s="721" t="s">
        <v>40</v>
      </c>
      <c r="F32" s="722"/>
      <c r="G32" s="722"/>
      <c r="H32" s="722"/>
      <c r="I32" s="723"/>
      <c r="J32" s="721" t="s">
        <v>4</v>
      </c>
      <c r="K32" s="722"/>
      <c r="L32" s="723"/>
      <c r="M32" s="721" t="s">
        <v>5</v>
      </c>
      <c r="N32" s="722"/>
      <c r="O32" s="723"/>
    </row>
    <row r="33" spans="1:15" ht="61.5" customHeight="1">
      <c r="A33" s="207"/>
      <c r="B33" s="647" t="s">
        <v>41</v>
      </c>
      <c r="C33" s="648"/>
      <c r="D33" s="649"/>
      <c r="E33" s="638" t="s">
        <v>42</v>
      </c>
      <c r="F33" s="650"/>
      <c r="G33" s="650"/>
      <c r="H33" s="650"/>
      <c r="I33" s="651"/>
      <c r="J33" s="641" t="s">
        <v>43</v>
      </c>
      <c r="K33" s="652"/>
      <c r="L33" s="653"/>
      <c r="M33" s="641" t="s">
        <v>44</v>
      </c>
      <c r="N33" s="652"/>
      <c r="O33" s="653"/>
    </row>
    <row r="34" spans="1:15" ht="61.5" customHeight="1">
      <c r="A34" s="207"/>
      <c r="B34" s="647" t="s">
        <v>45</v>
      </c>
      <c r="C34" s="648"/>
      <c r="D34" s="649"/>
      <c r="E34" s="638" t="s">
        <v>46</v>
      </c>
      <c r="F34" s="650"/>
      <c r="G34" s="650"/>
      <c r="H34" s="650"/>
      <c r="I34" s="651"/>
      <c r="J34" s="641" t="s">
        <v>47</v>
      </c>
      <c r="K34" s="652"/>
      <c r="L34" s="653"/>
      <c r="M34" s="641" t="s">
        <v>48</v>
      </c>
      <c r="N34" s="652"/>
      <c r="O34" s="653"/>
    </row>
    <row r="35" spans="1:15" ht="102.75" customHeight="1">
      <c r="A35" s="207"/>
      <c r="B35" s="647" t="s">
        <v>49</v>
      </c>
      <c r="C35" s="648"/>
      <c r="D35" s="649"/>
      <c r="E35" s="638" t="s">
        <v>50</v>
      </c>
      <c r="F35" s="650"/>
      <c r="G35" s="650"/>
      <c r="H35" s="650"/>
      <c r="I35" s="651"/>
      <c r="J35" s="641" t="s">
        <v>51</v>
      </c>
      <c r="K35" s="652"/>
      <c r="L35" s="653"/>
      <c r="M35" s="641" t="s">
        <v>48</v>
      </c>
      <c r="N35" s="652"/>
      <c r="O35" s="653"/>
    </row>
    <row r="36" spans="1:15" ht="74.25" customHeight="1">
      <c r="A36" s="207"/>
      <c r="B36" s="647" t="s">
        <v>52</v>
      </c>
      <c r="C36" s="648"/>
      <c r="D36" s="649"/>
      <c r="E36" s="641" t="s">
        <v>53</v>
      </c>
      <c r="F36" s="652"/>
      <c r="G36" s="652"/>
      <c r="H36" s="652"/>
      <c r="I36" s="653"/>
      <c r="J36" s="641" t="s">
        <v>54</v>
      </c>
      <c r="K36" s="652"/>
      <c r="L36" s="653"/>
      <c r="M36" s="641" t="s">
        <v>55</v>
      </c>
      <c r="N36" s="652"/>
      <c r="O36" s="653"/>
    </row>
    <row r="37" spans="1:15" ht="99.75" customHeight="1">
      <c r="A37" s="207"/>
      <c r="B37" s="647" t="s">
        <v>56</v>
      </c>
      <c r="C37" s="648"/>
      <c r="D37" s="649"/>
      <c r="E37" s="638" t="s">
        <v>57</v>
      </c>
      <c r="F37" s="676"/>
      <c r="G37" s="676"/>
      <c r="H37" s="676"/>
      <c r="I37" s="677"/>
      <c r="J37" s="641" t="s">
        <v>58</v>
      </c>
      <c r="K37" s="652"/>
      <c r="L37" s="653"/>
      <c r="M37" s="641" t="s">
        <v>44</v>
      </c>
      <c r="N37" s="652"/>
      <c r="O37" s="653"/>
    </row>
    <row r="38" spans="1:15" ht="85.5" customHeight="1">
      <c r="A38" s="207"/>
      <c r="B38" s="647" t="s">
        <v>59</v>
      </c>
      <c r="C38" s="648"/>
      <c r="D38" s="649"/>
      <c r="E38" s="638" t="s">
        <v>60</v>
      </c>
      <c r="F38" s="676"/>
      <c r="G38" s="676"/>
      <c r="H38" s="676"/>
      <c r="I38" s="677"/>
      <c r="J38" s="641" t="s">
        <v>61</v>
      </c>
      <c r="K38" s="652"/>
      <c r="L38" s="653"/>
      <c r="M38" s="641" t="s">
        <v>62</v>
      </c>
      <c r="N38" s="652"/>
      <c r="O38" s="653"/>
    </row>
    <row r="39" spans="1:15" ht="94.5" customHeight="1">
      <c r="A39" s="207"/>
      <c r="B39" s="647" t="s">
        <v>63</v>
      </c>
      <c r="C39" s="648"/>
      <c r="D39" s="649"/>
      <c r="E39" s="763" t="s">
        <v>64</v>
      </c>
      <c r="F39" s="764"/>
      <c r="G39" s="764"/>
      <c r="H39" s="764"/>
      <c r="I39" s="765"/>
      <c r="J39" s="641" t="s">
        <v>65</v>
      </c>
      <c r="K39" s="652"/>
      <c r="L39" s="653"/>
      <c r="M39" s="641" t="s">
        <v>66</v>
      </c>
      <c r="N39" s="652"/>
      <c r="O39" s="653"/>
    </row>
    <row r="40" spans="1:15" ht="103.5" customHeight="1">
      <c r="A40" s="207"/>
      <c r="B40" s="647" t="s">
        <v>67</v>
      </c>
      <c r="C40" s="648"/>
      <c r="D40" s="649"/>
      <c r="E40" s="638" t="s">
        <v>68</v>
      </c>
      <c r="F40" s="676"/>
      <c r="G40" s="676"/>
      <c r="H40" s="676"/>
      <c r="I40" s="677"/>
      <c r="J40" s="641" t="s">
        <v>69</v>
      </c>
      <c r="K40" s="652"/>
      <c r="L40" s="653"/>
      <c r="M40" s="641" t="s">
        <v>44</v>
      </c>
      <c r="N40" s="652"/>
      <c r="O40" s="653"/>
    </row>
    <row r="41" spans="1:15" ht="101.25" customHeight="1">
      <c r="A41" s="207"/>
      <c r="B41" s="647" t="s">
        <v>70</v>
      </c>
      <c r="C41" s="648"/>
      <c r="D41" s="649"/>
      <c r="E41" s="641" t="s">
        <v>71</v>
      </c>
      <c r="F41" s="652"/>
      <c r="G41" s="652"/>
      <c r="H41" s="652"/>
      <c r="I41" s="653"/>
      <c r="J41" s="641" t="s">
        <v>72</v>
      </c>
      <c r="K41" s="652"/>
      <c r="L41" s="653"/>
      <c r="M41" s="641" t="s">
        <v>44</v>
      </c>
      <c r="N41" s="652"/>
      <c r="O41" s="653"/>
    </row>
    <row r="42" spans="1:15" ht="94.5" customHeight="1">
      <c r="A42" s="207"/>
      <c r="B42" s="647" t="s">
        <v>73</v>
      </c>
      <c r="C42" s="648"/>
      <c r="D42" s="649"/>
      <c r="E42" s="638" t="s">
        <v>74</v>
      </c>
      <c r="F42" s="676"/>
      <c r="G42" s="676"/>
      <c r="H42" s="676"/>
      <c r="I42" s="677"/>
      <c r="J42" s="641" t="s">
        <v>75</v>
      </c>
      <c r="K42" s="652"/>
      <c r="L42" s="653"/>
      <c r="M42" s="641" t="s">
        <v>44</v>
      </c>
      <c r="N42" s="652"/>
      <c r="O42" s="653"/>
    </row>
    <row r="43" spans="1:15" ht="61.5" customHeight="1">
      <c r="A43" s="207"/>
      <c r="B43" s="647" t="s">
        <v>76</v>
      </c>
      <c r="C43" s="648"/>
      <c r="D43" s="649"/>
      <c r="E43" s="638" t="s">
        <v>77</v>
      </c>
      <c r="F43" s="650"/>
      <c r="G43" s="650"/>
      <c r="H43" s="650"/>
      <c r="I43" s="651"/>
      <c r="J43" s="641" t="s">
        <v>78</v>
      </c>
      <c r="K43" s="652"/>
      <c r="L43" s="653"/>
      <c r="M43" s="641" t="s">
        <v>48</v>
      </c>
      <c r="N43" s="652"/>
      <c r="O43" s="653"/>
    </row>
    <row r="44" spans="1:15" ht="84.75" customHeight="1">
      <c r="A44" s="207"/>
      <c r="B44" s="647" t="s">
        <v>79</v>
      </c>
      <c r="C44" s="648"/>
      <c r="D44" s="649"/>
      <c r="E44" s="638" t="s">
        <v>80</v>
      </c>
      <c r="F44" s="650"/>
      <c r="G44" s="650"/>
      <c r="H44" s="650"/>
      <c r="I44" s="651"/>
      <c r="J44" s="641" t="s">
        <v>81</v>
      </c>
      <c r="K44" s="652"/>
      <c r="L44" s="653"/>
      <c r="M44" s="641" t="s">
        <v>82</v>
      </c>
      <c r="N44" s="652"/>
      <c r="O44" s="653"/>
    </row>
    <row r="45" spans="1:15" ht="94.5" customHeight="1">
      <c r="A45" s="207"/>
      <c r="B45" s="647" t="s">
        <v>83</v>
      </c>
      <c r="C45" s="648"/>
      <c r="D45" s="649"/>
      <c r="E45" s="641" t="s">
        <v>84</v>
      </c>
      <c r="F45" s="652"/>
      <c r="G45" s="652"/>
      <c r="H45" s="652"/>
      <c r="I45" s="653"/>
      <c r="J45" s="641" t="s">
        <v>85</v>
      </c>
      <c r="K45" s="652"/>
      <c r="L45" s="653"/>
      <c r="M45" s="585" t="s">
        <v>86</v>
      </c>
      <c r="N45" s="586"/>
      <c r="O45" s="587"/>
    </row>
    <row r="46" spans="1:15" ht="61.5" customHeight="1">
      <c r="A46" s="207"/>
      <c r="B46" s="718" t="s">
        <v>87</v>
      </c>
      <c r="C46" s="719"/>
      <c r="D46" s="720"/>
      <c r="E46" s="721" t="s">
        <v>40</v>
      </c>
      <c r="F46" s="722"/>
      <c r="G46" s="722"/>
      <c r="H46" s="722"/>
      <c r="I46" s="723"/>
      <c r="J46" s="721" t="s">
        <v>4</v>
      </c>
      <c r="K46" s="722"/>
      <c r="L46" s="723"/>
      <c r="M46" s="721" t="s">
        <v>5</v>
      </c>
      <c r="N46" s="722"/>
      <c r="O46" s="723"/>
    </row>
    <row r="47" spans="1:15" ht="61.5" customHeight="1">
      <c r="A47" s="207"/>
      <c r="B47" s="711" t="s">
        <v>88</v>
      </c>
      <c r="C47" s="712"/>
      <c r="D47" s="713"/>
      <c r="E47" s="641" t="s">
        <v>89</v>
      </c>
      <c r="F47" s="761"/>
      <c r="G47" s="761"/>
      <c r="H47" s="761"/>
      <c r="I47" s="762"/>
      <c r="J47" s="641" t="s">
        <v>90</v>
      </c>
      <c r="K47" s="652"/>
      <c r="L47" s="653"/>
      <c r="M47" s="641" t="s">
        <v>91</v>
      </c>
      <c r="N47" s="652"/>
      <c r="O47" s="653"/>
    </row>
    <row r="48" spans="1:15" ht="78" customHeight="1">
      <c r="A48" s="207"/>
      <c r="B48" s="711" t="s">
        <v>92</v>
      </c>
      <c r="C48" s="712"/>
      <c r="D48" s="713"/>
      <c r="E48" s="641" t="s">
        <v>93</v>
      </c>
      <c r="F48" s="761"/>
      <c r="G48" s="761"/>
      <c r="H48" s="761"/>
      <c r="I48" s="762"/>
      <c r="J48" s="641" t="s">
        <v>90</v>
      </c>
      <c r="K48" s="652"/>
      <c r="L48" s="653"/>
      <c r="M48" s="641" t="s">
        <v>94</v>
      </c>
      <c r="N48" s="652"/>
      <c r="O48" s="653"/>
    </row>
    <row r="49" spans="1:15" ht="78" customHeight="1">
      <c r="A49" s="207"/>
      <c r="B49" s="684" t="s">
        <v>95</v>
      </c>
      <c r="C49" s="685"/>
      <c r="D49" s="686"/>
      <c r="E49" s="641" t="s">
        <v>96</v>
      </c>
      <c r="F49" s="652"/>
      <c r="G49" s="652"/>
      <c r="H49" s="652"/>
      <c r="I49" s="653"/>
      <c r="J49" s="641" t="s">
        <v>90</v>
      </c>
      <c r="K49" s="652"/>
      <c r="L49" s="653"/>
      <c r="M49" s="641" t="s">
        <v>97</v>
      </c>
      <c r="N49" s="652"/>
      <c r="O49" s="653"/>
    </row>
    <row r="50" spans="1:15" ht="78" customHeight="1">
      <c r="A50" s="207"/>
      <c r="B50" s="684" t="s">
        <v>98</v>
      </c>
      <c r="C50" s="685"/>
      <c r="D50" s="686"/>
      <c r="E50" s="641" t="s">
        <v>99</v>
      </c>
      <c r="F50" s="652"/>
      <c r="G50" s="652"/>
      <c r="H50" s="652"/>
      <c r="I50" s="653"/>
      <c r="J50" s="641" t="s">
        <v>100</v>
      </c>
      <c r="K50" s="652"/>
      <c r="L50" s="653"/>
      <c r="M50" s="641" t="s">
        <v>101</v>
      </c>
      <c r="N50" s="652"/>
      <c r="O50" s="653"/>
    </row>
    <row r="51" spans="1:15" ht="78" customHeight="1">
      <c r="A51" s="207"/>
      <c r="B51" s="684" t="s">
        <v>102</v>
      </c>
      <c r="C51" s="685"/>
      <c r="D51" s="686"/>
      <c r="E51" s="641" t="s">
        <v>103</v>
      </c>
      <c r="F51" s="652"/>
      <c r="G51" s="652"/>
      <c r="H51" s="652"/>
      <c r="I51" s="653"/>
      <c r="J51" s="678" t="s">
        <v>104</v>
      </c>
      <c r="K51" s="679"/>
      <c r="L51" s="680"/>
      <c r="M51" s="641" t="s">
        <v>94</v>
      </c>
      <c r="N51" s="652"/>
      <c r="O51" s="653"/>
    </row>
    <row r="52" spans="1:15" ht="78" customHeight="1">
      <c r="A52" s="207"/>
      <c r="B52" s="684" t="s">
        <v>105</v>
      </c>
      <c r="C52" s="685"/>
      <c r="D52" s="686"/>
      <c r="E52" s="641" t="s">
        <v>106</v>
      </c>
      <c r="F52" s="652"/>
      <c r="G52" s="652"/>
      <c r="H52" s="652"/>
      <c r="I52" s="653"/>
      <c r="J52" s="681" t="s">
        <v>107</v>
      </c>
      <c r="K52" s="682"/>
      <c r="L52" s="683"/>
      <c r="M52" s="641" t="s">
        <v>108</v>
      </c>
      <c r="N52" s="652"/>
      <c r="O52" s="653"/>
    </row>
    <row r="53" spans="1:15" ht="2.25" hidden="1" customHeight="1">
      <c r="A53" s="207"/>
      <c r="B53" s="663"/>
      <c r="C53" s="671"/>
      <c r="D53" s="672"/>
      <c r="E53" s="673"/>
      <c r="F53" s="674"/>
      <c r="G53" s="674"/>
      <c r="H53" s="674"/>
      <c r="I53" s="675"/>
      <c r="J53" s="641"/>
      <c r="K53" s="652"/>
      <c r="L53" s="653"/>
      <c r="M53" s="641"/>
      <c r="N53" s="652"/>
      <c r="O53" s="653"/>
    </row>
    <row r="54" spans="1:15" ht="3.75" customHeight="1">
      <c r="A54" s="207"/>
      <c r="B54" s="663"/>
      <c r="C54" s="671"/>
      <c r="D54" s="672"/>
      <c r="E54" s="638"/>
      <c r="F54" s="650"/>
      <c r="G54" s="650"/>
      <c r="H54" s="650"/>
      <c r="I54" s="651"/>
      <c r="J54" s="641"/>
      <c r="K54" s="652"/>
      <c r="L54" s="653"/>
      <c r="M54" s="641"/>
      <c r="N54" s="652"/>
      <c r="O54" s="653"/>
    </row>
    <row r="55" spans="1:15" ht="14.25" customHeight="1">
      <c r="A55" s="207"/>
      <c r="B55" s="663"/>
      <c r="C55" s="664"/>
      <c r="D55" s="665"/>
      <c r="E55" s="638"/>
      <c r="F55" s="666"/>
      <c r="G55" s="666"/>
      <c r="H55" s="666"/>
      <c r="I55" s="667"/>
      <c r="J55" s="641"/>
      <c r="K55" s="642"/>
      <c r="L55" s="643"/>
      <c r="M55" s="585"/>
      <c r="N55" s="586"/>
      <c r="O55" s="587"/>
    </row>
    <row r="56" spans="1:15" ht="119.25" hidden="1" customHeight="1">
      <c r="A56" s="207"/>
      <c r="B56" s="663"/>
      <c r="C56" s="664"/>
      <c r="D56" s="665"/>
      <c r="E56" s="644"/>
      <c r="F56" s="645"/>
      <c r="G56" s="645"/>
      <c r="H56" s="645"/>
      <c r="I56" s="646"/>
      <c r="J56" s="641"/>
      <c r="K56" s="642"/>
      <c r="L56" s="643"/>
      <c r="M56" s="641"/>
      <c r="N56" s="642"/>
      <c r="O56" s="643"/>
    </row>
    <row r="57" spans="1:15" ht="88.5" hidden="1" customHeight="1">
      <c r="A57" s="207"/>
      <c r="B57" s="663"/>
      <c r="C57" s="664"/>
      <c r="D57" s="665"/>
      <c r="E57" s="638"/>
      <c r="F57" s="639"/>
      <c r="G57" s="639"/>
      <c r="H57" s="639"/>
      <c r="I57" s="640"/>
      <c r="J57" s="641"/>
      <c r="K57" s="642"/>
      <c r="L57" s="643"/>
      <c r="M57" s="585"/>
      <c r="N57" s="586"/>
      <c r="O57" s="587"/>
    </row>
    <row r="58" spans="1:15" ht="30" customHeight="1">
      <c r="B58" s="660" t="s">
        <v>109</v>
      </c>
      <c r="C58" s="661"/>
      <c r="D58" s="662"/>
      <c r="E58" s="657" t="s">
        <v>3</v>
      </c>
      <c r="F58" s="658"/>
      <c r="G58" s="658"/>
      <c r="H58" s="658"/>
      <c r="I58" s="659"/>
      <c r="J58" s="657" t="s">
        <v>4</v>
      </c>
      <c r="K58" s="658"/>
      <c r="L58" s="659"/>
      <c r="M58" s="657" t="s">
        <v>5</v>
      </c>
      <c r="N58" s="658"/>
      <c r="O58" s="659"/>
    </row>
    <row r="59" spans="1:15" ht="33.75" customHeight="1">
      <c r="B59" s="205"/>
      <c r="C59" s="588"/>
      <c r="D59" s="588"/>
      <c r="E59" s="200"/>
      <c r="F59" s="202"/>
      <c r="G59" s="202"/>
      <c r="H59" s="202"/>
      <c r="I59" s="202"/>
      <c r="J59" s="200"/>
      <c r="K59" s="200"/>
      <c r="L59" s="201"/>
      <c r="M59" s="199"/>
      <c r="N59" s="200"/>
      <c r="O59" s="201"/>
    </row>
    <row r="60" spans="1:15" ht="15.75" customHeight="1">
      <c r="B60" s="668" t="s">
        <v>110</v>
      </c>
      <c r="C60" s="669"/>
      <c r="D60" s="669"/>
      <c r="E60" s="669"/>
      <c r="F60" s="669"/>
      <c r="G60" s="669"/>
      <c r="H60" s="669"/>
      <c r="I60" s="669"/>
      <c r="J60" s="669"/>
      <c r="K60" s="669"/>
      <c r="L60" s="670"/>
      <c r="M60" s="654" t="s">
        <v>111</v>
      </c>
      <c r="N60" s="655"/>
      <c r="O60" s="656"/>
    </row>
    <row r="61" spans="1:15">
      <c r="D61" s="187"/>
    </row>
    <row r="63" spans="1:15">
      <c r="D63" s="187"/>
    </row>
    <row r="64" spans="1:15">
      <c r="D64" s="187"/>
    </row>
    <row r="77" spans="1:1">
      <c r="A77" s="189"/>
    </row>
  </sheetData>
  <mergeCells count="176">
    <mergeCell ref="M44:O44"/>
    <mergeCell ref="M38:O38"/>
    <mergeCell ref="B39:D39"/>
    <mergeCell ref="E39:I39"/>
    <mergeCell ref="J39:L39"/>
    <mergeCell ref="M39:O39"/>
    <mergeCell ref="M40:O40"/>
    <mergeCell ref="B41:D41"/>
    <mergeCell ref="E41:I41"/>
    <mergeCell ref="J41:L41"/>
    <mergeCell ref="M41:O41"/>
    <mergeCell ref="M52:O52"/>
    <mergeCell ref="B46:D46"/>
    <mergeCell ref="E46:I46"/>
    <mergeCell ref="J46:L46"/>
    <mergeCell ref="M46:O46"/>
    <mergeCell ref="B45:D45"/>
    <mergeCell ref="E45:I45"/>
    <mergeCell ref="J45:L45"/>
    <mergeCell ref="M47:O47"/>
    <mergeCell ref="B48:D48"/>
    <mergeCell ref="J49:L49"/>
    <mergeCell ref="M49:O49"/>
    <mergeCell ref="M51:O51"/>
    <mergeCell ref="B51:D51"/>
    <mergeCell ref="E51:I51"/>
    <mergeCell ref="B52:D52"/>
    <mergeCell ref="E52:I52"/>
    <mergeCell ref="E47:I47"/>
    <mergeCell ref="J47:L47"/>
    <mergeCell ref="M48:O48"/>
    <mergeCell ref="B49:D49"/>
    <mergeCell ref="E48:I48"/>
    <mergeCell ref="J48:L48"/>
    <mergeCell ref="E49:I49"/>
    <mergeCell ref="B15:D15"/>
    <mergeCell ref="B13:D13"/>
    <mergeCell ref="B12:D12"/>
    <mergeCell ref="J11:L11"/>
    <mergeCell ref="E14:I14"/>
    <mergeCell ref="M23:O24"/>
    <mergeCell ref="B25:D25"/>
    <mergeCell ref="M21:O21"/>
    <mergeCell ref="M22:O22"/>
    <mergeCell ref="B21:D21"/>
    <mergeCell ref="E21:I21"/>
    <mergeCell ref="M19:O19"/>
    <mergeCell ref="J23:L24"/>
    <mergeCell ref="J20:L20"/>
    <mergeCell ref="M20:O20"/>
    <mergeCell ref="M25:O25"/>
    <mergeCell ref="J25:L25"/>
    <mergeCell ref="J21:L21"/>
    <mergeCell ref="E18:I18"/>
    <mergeCell ref="J15:L15"/>
    <mergeCell ref="E19:I19"/>
    <mergeCell ref="B18:D18"/>
    <mergeCell ref="B19:D19"/>
    <mergeCell ref="B14:D14"/>
    <mergeCell ref="J14:L14"/>
    <mergeCell ref="M14:O14"/>
    <mergeCell ref="J13:L13"/>
    <mergeCell ref="E13:I13"/>
    <mergeCell ref="M34:O34"/>
    <mergeCell ref="B2:M2"/>
    <mergeCell ref="B5:O5"/>
    <mergeCell ref="M8:O8"/>
    <mergeCell ref="J8:L8"/>
    <mergeCell ref="E7:I7"/>
    <mergeCell ref="B7:D7"/>
    <mergeCell ref="E8:I8"/>
    <mergeCell ref="J7:L7"/>
    <mergeCell ref="M7:O7"/>
    <mergeCell ref="B8:D8"/>
    <mergeCell ref="M9:O9"/>
    <mergeCell ref="B9:D9"/>
    <mergeCell ref="E9:I9"/>
    <mergeCell ref="J9:L9"/>
    <mergeCell ref="J10:L10"/>
    <mergeCell ref="E10:I10"/>
    <mergeCell ref="M10:O10"/>
    <mergeCell ref="B10:D10"/>
    <mergeCell ref="E15:I15"/>
    <mergeCell ref="B11:D11"/>
    <mergeCell ref="E11:I11"/>
    <mergeCell ref="B47:D47"/>
    <mergeCell ref="E23:I23"/>
    <mergeCell ref="E22:I22"/>
    <mergeCell ref="M33:O33"/>
    <mergeCell ref="B30:O30"/>
    <mergeCell ref="B32:D32"/>
    <mergeCell ref="E32:I32"/>
    <mergeCell ref="J32:L32"/>
    <mergeCell ref="M32:O32"/>
    <mergeCell ref="E33:I33"/>
    <mergeCell ref="M18:O18"/>
    <mergeCell ref="J18:L18"/>
    <mergeCell ref="B16:O16"/>
    <mergeCell ref="J33:L33"/>
    <mergeCell ref="B35:D35"/>
    <mergeCell ref="J19:L19"/>
    <mergeCell ref="M11:O11"/>
    <mergeCell ref="J12:L12"/>
    <mergeCell ref="M12:O12"/>
    <mergeCell ref="E12:I12"/>
    <mergeCell ref="M15:O15"/>
    <mergeCell ref="M13:O13"/>
    <mergeCell ref="M50:O50"/>
    <mergeCell ref="J22:L22"/>
    <mergeCell ref="B20:D20"/>
    <mergeCell ref="E20:I20"/>
    <mergeCell ref="E25:I25"/>
    <mergeCell ref="E24:I24"/>
    <mergeCell ref="B22:D22"/>
    <mergeCell ref="B23:D24"/>
    <mergeCell ref="B33:D33"/>
    <mergeCell ref="M36:O36"/>
    <mergeCell ref="B37:D37"/>
    <mergeCell ref="E37:I37"/>
    <mergeCell ref="J37:L37"/>
    <mergeCell ref="B40:D40"/>
    <mergeCell ref="E40:I40"/>
    <mergeCell ref="J40:L40"/>
    <mergeCell ref="E35:I35"/>
    <mergeCell ref="J35:L35"/>
    <mergeCell ref="M35:O35"/>
    <mergeCell ref="M37:O37"/>
    <mergeCell ref="M42:O42"/>
    <mergeCell ref="M43:O43"/>
    <mergeCell ref="B44:D44"/>
    <mergeCell ref="E44:I44"/>
    <mergeCell ref="B53:D53"/>
    <mergeCell ref="E53:I53"/>
    <mergeCell ref="E54:I54"/>
    <mergeCell ref="B43:D43"/>
    <mergeCell ref="E43:I43"/>
    <mergeCell ref="J43:L43"/>
    <mergeCell ref="B36:D36"/>
    <mergeCell ref="E36:I36"/>
    <mergeCell ref="J36:L36"/>
    <mergeCell ref="B38:D38"/>
    <mergeCell ref="E38:I38"/>
    <mergeCell ref="J38:L38"/>
    <mergeCell ref="B42:D42"/>
    <mergeCell ref="E42:I42"/>
    <mergeCell ref="J42:L42"/>
    <mergeCell ref="J51:L51"/>
    <mergeCell ref="J52:L52"/>
    <mergeCell ref="B50:D50"/>
    <mergeCell ref="E50:I50"/>
    <mergeCell ref="J50:L50"/>
    <mergeCell ref="J44:L44"/>
    <mergeCell ref="E57:I57"/>
    <mergeCell ref="M56:O56"/>
    <mergeCell ref="E56:I56"/>
    <mergeCell ref="B34:D34"/>
    <mergeCell ref="E34:I34"/>
    <mergeCell ref="J34:L34"/>
    <mergeCell ref="M60:O60"/>
    <mergeCell ref="M58:O58"/>
    <mergeCell ref="J54:L54"/>
    <mergeCell ref="M53:O53"/>
    <mergeCell ref="J53:L53"/>
    <mergeCell ref="B58:D58"/>
    <mergeCell ref="M54:O54"/>
    <mergeCell ref="E58:I58"/>
    <mergeCell ref="J58:L58"/>
    <mergeCell ref="B55:D55"/>
    <mergeCell ref="B56:D56"/>
    <mergeCell ref="B57:D57"/>
    <mergeCell ref="J57:L57"/>
    <mergeCell ref="E55:I55"/>
    <mergeCell ref="J55:L55"/>
    <mergeCell ref="J56:L56"/>
    <mergeCell ref="B60:L60"/>
    <mergeCell ref="B54:D54"/>
  </mergeCells>
  <phoneticPr fontId="30"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I234"/>
  <sheetViews>
    <sheetView showGridLines="0" topLeftCell="A221" zoomScale="90" zoomScaleNormal="90" workbookViewId="0">
      <selection activeCell="H208" sqref="H208"/>
    </sheetView>
  </sheetViews>
  <sheetFormatPr defaultColWidth="11" defaultRowHeight="15"/>
  <cols>
    <col min="1" max="1" width="58.7109375" customWidth="1"/>
    <col min="2" max="2" width="27.140625" customWidth="1"/>
    <col min="3" max="3" width="20" customWidth="1"/>
    <col min="4" max="4" width="17.42578125" customWidth="1"/>
    <col min="5" max="5" width="16.42578125" customWidth="1"/>
    <col min="6" max="6" width="23.85546875" customWidth="1"/>
    <col min="7" max="7" width="12.42578125" customWidth="1"/>
    <col min="8" max="8" width="16.85546875" customWidth="1"/>
    <col min="9" max="9" width="13.5703125" customWidth="1"/>
    <col min="10" max="10" width="14.42578125" customWidth="1"/>
    <col min="11" max="11" width="11.28515625" customWidth="1"/>
    <col min="12" max="12" width="13.42578125" customWidth="1"/>
    <col min="13" max="13" width="11.42578125" style="33" customWidth="1"/>
    <col min="14" max="14" width="15.7109375" style="33" customWidth="1"/>
    <col min="15" max="15" width="15.5703125" customWidth="1"/>
    <col min="16" max="16" width="16.140625" customWidth="1"/>
    <col min="17" max="17" width="13.7109375" customWidth="1"/>
    <col min="18" max="18" width="14.85546875" customWidth="1"/>
    <col min="19" max="19" width="16" customWidth="1"/>
    <col min="20" max="20" width="11.42578125" hidden="1" customWidth="1"/>
    <col min="21" max="21" width="15.5703125" customWidth="1"/>
    <col min="22" max="22" width="11.42578125" customWidth="1"/>
    <col min="23" max="23" width="2.28515625" customWidth="1"/>
    <col min="24" max="24" width="1.140625" customWidth="1"/>
    <col min="25" max="25" width="3.28515625" customWidth="1"/>
    <col min="26" max="26" width="17" customWidth="1"/>
    <col min="27" max="27" width="15" customWidth="1"/>
    <col min="28" max="28" width="11.42578125" customWidth="1"/>
    <col min="29" max="29" width="13.5703125" customWidth="1"/>
    <col min="30" max="30" width="16.85546875" customWidth="1"/>
    <col min="31" max="31" width="11.42578125" customWidth="1"/>
    <col min="32" max="32" width="2" style="33" customWidth="1"/>
    <col min="33" max="33" width="3.28515625" style="33" customWidth="1"/>
    <col min="34" max="34" width="2.28515625" style="33" customWidth="1"/>
    <col min="35" max="35" width="40.7109375" customWidth="1"/>
    <col min="36" max="36" width="15.42578125" customWidth="1"/>
  </cols>
  <sheetData>
    <row r="1" spans="1:12" ht="29.25" customHeight="1">
      <c r="A1" s="3"/>
      <c r="B1" s="766"/>
      <c r="C1" s="766"/>
      <c r="D1" s="3"/>
      <c r="E1" s="3"/>
      <c r="F1" s="3"/>
      <c r="G1" s="3"/>
      <c r="H1" s="3"/>
      <c r="I1" s="3"/>
      <c r="J1" s="3"/>
      <c r="K1" s="3"/>
      <c r="L1" s="3"/>
    </row>
    <row r="2" spans="1:12" ht="15.75" customHeight="1">
      <c r="A2" s="769" t="s">
        <v>112</v>
      </c>
      <c r="B2" s="769"/>
      <c r="C2" s="769"/>
      <c r="D2" s="769"/>
      <c r="E2" s="769"/>
      <c r="F2" s="769"/>
      <c r="G2" s="769"/>
      <c r="H2" s="769"/>
      <c r="I2" s="769"/>
      <c r="J2" s="226"/>
      <c r="K2" s="226"/>
      <c r="L2" s="226"/>
    </row>
    <row r="3" spans="1:12" ht="4.5" customHeight="1">
      <c r="A3" s="3"/>
      <c r="B3" s="3"/>
      <c r="C3" s="3"/>
      <c r="D3" s="3"/>
      <c r="E3" s="3"/>
      <c r="F3" s="3"/>
      <c r="G3" s="3"/>
      <c r="H3" s="3"/>
      <c r="I3" s="3"/>
      <c r="J3" s="3"/>
      <c r="K3" s="3"/>
      <c r="L3" s="3"/>
    </row>
    <row r="4" spans="1:12">
      <c r="A4" s="593" t="s">
        <v>113</v>
      </c>
      <c r="B4" s="767" t="s">
        <v>114</v>
      </c>
      <c r="C4" s="768"/>
      <c r="D4" s="770" t="s">
        <v>115</v>
      </c>
      <c r="E4" s="770"/>
      <c r="F4" s="591" t="s">
        <v>116</v>
      </c>
      <c r="G4" s="596"/>
      <c r="H4" s="596"/>
      <c r="I4" s="592"/>
      <c r="J4" s="3"/>
      <c r="K4" s="3"/>
      <c r="L4" s="3"/>
    </row>
    <row r="5" spans="1:12" ht="3" customHeight="1">
      <c r="A5" s="593"/>
      <c r="B5" s="3"/>
      <c r="C5" s="3"/>
      <c r="D5" s="545"/>
      <c r="E5" s="545"/>
      <c r="F5" s="3"/>
      <c r="G5" s="3"/>
      <c r="H5" s="3"/>
      <c r="I5" s="3"/>
      <c r="J5" s="3"/>
      <c r="K5" s="3"/>
      <c r="L5" s="3"/>
    </row>
    <row r="6" spans="1:12">
      <c r="A6" s="593" t="s">
        <v>117</v>
      </c>
      <c r="B6" s="767" t="s">
        <v>118</v>
      </c>
      <c r="C6" s="768"/>
      <c r="D6" s="770" t="s">
        <v>119</v>
      </c>
      <c r="E6" s="770"/>
      <c r="F6" s="242" t="s">
        <v>120</v>
      </c>
      <c r="G6" s="593" t="s">
        <v>121</v>
      </c>
      <c r="H6" s="771">
        <v>20959824.059999999</v>
      </c>
      <c r="I6" s="772"/>
      <c r="J6" s="3"/>
      <c r="K6" s="3"/>
      <c r="L6" s="3"/>
    </row>
    <row r="7" spans="1:12" ht="3" customHeight="1">
      <c r="A7" s="593"/>
      <c r="B7" s="3"/>
      <c r="C7" s="3"/>
      <c r="D7" s="545"/>
      <c r="E7" s="545"/>
      <c r="F7" s="3"/>
      <c r="G7" s="593"/>
      <c r="H7" s="3"/>
      <c r="I7" s="3"/>
      <c r="J7" s="3"/>
      <c r="K7" s="3"/>
      <c r="L7" s="3"/>
    </row>
    <row r="8" spans="1:12">
      <c r="A8" s="593" t="s">
        <v>122</v>
      </c>
      <c r="B8" s="767" t="s">
        <v>123</v>
      </c>
      <c r="C8" s="768"/>
      <c r="D8" s="218"/>
      <c r="E8" s="597" t="s">
        <v>124</v>
      </c>
      <c r="F8" s="598"/>
      <c r="G8" s="597" t="s">
        <v>125</v>
      </c>
      <c r="H8" s="767"/>
      <c r="I8" s="768"/>
      <c r="J8" s="3"/>
      <c r="K8" s="3"/>
      <c r="L8" s="3"/>
    </row>
    <row r="9" spans="1:12" ht="3" customHeight="1">
      <c r="A9" s="545"/>
      <c r="B9" s="3"/>
      <c r="C9" s="3"/>
      <c r="D9" s="545"/>
      <c r="E9" s="545"/>
      <c r="F9" s="3"/>
      <c r="G9" s="3"/>
      <c r="H9" s="3"/>
      <c r="I9" s="3"/>
      <c r="J9" s="3"/>
      <c r="K9" s="3"/>
      <c r="L9" s="3"/>
    </row>
    <row r="10" spans="1:12">
      <c r="A10" s="593" t="s">
        <v>126</v>
      </c>
      <c r="B10" s="773">
        <v>43282</v>
      </c>
      <c r="C10" s="774"/>
      <c r="D10" s="775" t="s">
        <v>127</v>
      </c>
      <c r="E10" s="779"/>
      <c r="F10" s="767" t="s">
        <v>128</v>
      </c>
      <c r="G10" s="777"/>
      <c r="H10" s="777"/>
      <c r="I10" s="768"/>
      <c r="J10" s="3"/>
      <c r="K10" s="3"/>
      <c r="L10" s="3"/>
    </row>
    <row r="11" spans="1:12" ht="5.25" customHeight="1">
      <c r="A11" s="3"/>
      <c r="B11" s="3"/>
      <c r="C11" s="3"/>
      <c r="D11" s="3"/>
      <c r="E11" s="3"/>
      <c r="F11" s="3"/>
      <c r="G11" s="3"/>
      <c r="H11" s="3"/>
      <c r="I11" s="3"/>
      <c r="J11" s="3"/>
      <c r="K11" s="3"/>
      <c r="L11" s="3"/>
    </row>
    <row r="12" spans="1:12" ht="15" customHeight="1">
      <c r="A12" s="593" t="s">
        <v>129</v>
      </c>
      <c r="B12" s="780" t="s">
        <v>130</v>
      </c>
      <c r="C12" s="780"/>
      <c r="D12" s="775" t="s">
        <v>131</v>
      </c>
      <c r="E12" s="770"/>
      <c r="F12" s="776" t="s">
        <v>132</v>
      </c>
      <c r="G12" s="776"/>
      <c r="H12" s="776"/>
      <c r="I12" s="776"/>
      <c r="J12" s="3"/>
      <c r="K12" s="3"/>
      <c r="L12" s="3"/>
    </row>
    <row r="13" spans="1:12" ht="5.25" customHeight="1">
      <c r="A13" s="3"/>
      <c r="B13" s="3"/>
      <c r="C13" s="3"/>
      <c r="D13" s="3"/>
      <c r="E13" s="3"/>
      <c r="F13" s="3"/>
      <c r="G13" s="3"/>
      <c r="H13" s="3"/>
      <c r="I13" s="3"/>
      <c r="J13" s="3"/>
      <c r="K13" s="3"/>
      <c r="L13" s="3"/>
    </row>
    <row r="14" spans="1:12" ht="15.75" customHeight="1">
      <c r="A14" s="769" t="s">
        <v>133</v>
      </c>
      <c r="B14" s="769"/>
      <c r="C14" s="769"/>
      <c r="D14" s="769"/>
      <c r="E14" s="769"/>
      <c r="F14" s="769"/>
      <c r="G14" s="769"/>
      <c r="H14" s="769"/>
      <c r="I14" s="769"/>
      <c r="J14" s="3"/>
      <c r="K14" s="3"/>
      <c r="L14" s="3"/>
    </row>
    <row r="15" spans="1:12" ht="3" customHeight="1">
      <c r="A15" s="3"/>
      <c r="B15" s="3"/>
      <c r="C15" s="3"/>
      <c r="D15" s="3"/>
      <c r="E15" s="3"/>
      <c r="F15" s="3"/>
      <c r="G15" s="3"/>
      <c r="H15" s="3"/>
      <c r="I15" s="3"/>
      <c r="J15" s="3"/>
      <c r="K15" s="3"/>
      <c r="L15" s="3"/>
    </row>
    <row r="16" spans="1:12">
      <c r="A16" s="593" t="s">
        <v>134</v>
      </c>
      <c r="B16" s="598" t="s">
        <v>135</v>
      </c>
      <c r="C16" s="597" t="s">
        <v>136</v>
      </c>
      <c r="D16" s="340">
        <v>43282</v>
      </c>
      <c r="E16" s="595" t="s">
        <v>137</v>
      </c>
      <c r="F16" s="340">
        <v>43465</v>
      </c>
      <c r="G16" s="775" t="s">
        <v>138</v>
      </c>
      <c r="H16" s="779"/>
      <c r="I16" s="594">
        <v>43559</v>
      </c>
      <c r="J16" s="3"/>
      <c r="K16" s="3"/>
      <c r="L16" s="3"/>
    </row>
    <row r="17" spans="1:33" ht="3" customHeight="1">
      <c r="A17" s="3"/>
      <c r="B17" s="3"/>
      <c r="C17" s="3"/>
      <c r="D17" s="3"/>
      <c r="E17" s="3"/>
      <c r="F17" s="3"/>
      <c r="G17" s="3"/>
      <c r="H17" s="3"/>
      <c r="I17" s="3"/>
      <c r="J17" s="3"/>
      <c r="K17" s="3"/>
      <c r="L17" s="3"/>
    </row>
    <row r="18" spans="1:33">
      <c r="A18" s="778" t="s">
        <v>139</v>
      </c>
      <c r="B18" s="779"/>
      <c r="C18" s="811" t="s">
        <v>123</v>
      </c>
      <c r="D18" s="811"/>
      <c r="E18" s="811"/>
      <c r="F18" s="227"/>
      <c r="G18" s="227"/>
      <c r="H18" s="227"/>
      <c r="I18" s="227"/>
      <c r="J18" s="3"/>
      <c r="K18" s="3"/>
      <c r="L18" s="3"/>
    </row>
    <row r="19" spans="1:33" ht="3" customHeight="1">
      <c r="A19" s="3"/>
      <c r="B19" s="3"/>
      <c r="C19" s="3"/>
      <c r="D19" s="3"/>
      <c r="E19" s="3"/>
      <c r="F19" s="3"/>
      <c r="G19" s="3"/>
      <c r="H19" s="3"/>
      <c r="I19" s="3"/>
      <c r="J19" s="3"/>
      <c r="K19" s="3"/>
      <c r="L19" s="3"/>
    </row>
    <row r="20" spans="1:33" ht="5.25" customHeight="1">
      <c r="A20" s="3"/>
      <c r="B20" s="3"/>
      <c r="C20" s="3"/>
      <c r="D20" s="3"/>
      <c r="E20" s="3"/>
      <c r="F20" s="3"/>
      <c r="G20" s="3"/>
      <c r="H20" s="3"/>
      <c r="I20" s="3"/>
      <c r="J20" s="3"/>
      <c r="K20" s="3"/>
      <c r="L20" s="3"/>
    </row>
    <row r="21" spans="1:33" ht="15.75" customHeight="1">
      <c r="A21" s="769" t="s">
        <v>140</v>
      </c>
      <c r="B21" s="769"/>
      <c r="C21" s="769"/>
      <c r="D21" s="769"/>
      <c r="E21" s="769"/>
      <c r="F21" s="769"/>
      <c r="G21" s="769"/>
      <c r="H21" s="769"/>
      <c r="I21" s="769"/>
      <c r="J21" s="3"/>
      <c r="K21" s="3"/>
      <c r="L21" s="3"/>
    </row>
    <row r="22" spans="1:33">
      <c r="A22" s="545" t="s">
        <v>141</v>
      </c>
      <c r="B22" s="3"/>
      <c r="C22" s="3"/>
      <c r="D22" s="590"/>
      <c r="E22" s="590"/>
      <c r="F22" s="3"/>
      <c r="G22" s="3"/>
      <c r="H22" s="590"/>
      <c r="I22" s="590"/>
      <c r="J22" s="3"/>
      <c r="K22" s="3"/>
      <c r="L22" s="3"/>
    </row>
    <row r="23" spans="1:33" ht="3" customHeight="1">
      <c r="A23" s="3"/>
      <c r="B23" s="3"/>
      <c r="C23" s="3"/>
      <c r="D23" s="3"/>
      <c r="E23" s="3"/>
      <c r="F23" s="3"/>
      <c r="G23" s="3"/>
      <c r="H23" s="3"/>
      <c r="I23" s="3"/>
      <c r="J23" s="3"/>
      <c r="K23" s="3"/>
      <c r="L23" s="3"/>
    </row>
    <row r="24" spans="1:33" ht="15.75" thickBot="1">
      <c r="A24" s="593" t="s">
        <v>142</v>
      </c>
      <c r="B24" s="277"/>
      <c r="C24" s="770" t="s">
        <v>143</v>
      </c>
      <c r="D24" s="770"/>
      <c r="E24" s="278"/>
      <c r="F24" s="770" t="s">
        <v>144</v>
      </c>
      <c r="G24" s="770"/>
      <c r="H24" s="809"/>
      <c r="I24" s="810"/>
      <c r="J24" s="3"/>
      <c r="K24" s="3"/>
      <c r="L24" s="3"/>
      <c r="M24" s="20"/>
    </row>
    <row r="25" spans="1:33" ht="19.5" thickBot="1">
      <c r="A25" s="79" t="s">
        <v>142</v>
      </c>
      <c r="B25" s="80"/>
      <c r="C25" s="80"/>
      <c r="D25" s="80"/>
      <c r="E25" s="80"/>
      <c r="F25" s="80"/>
      <c r="G25" s="217"/>
      <c r="H25" s="546"/>
      <c r="I25" s="546"/>
      <c r="J25" s="547" t="s">
        <v>145</v>
      </c>
      <c r="K25" s="548"/>
      <c r="L25" s="548"/>
      <c r="M25" s="548"/>
      <c r="N25" s="549"/>
      <c r="AG25" s="41"/>
    </row>
    <row r="26" spans="1:33">
      <c r="A26" s="789" t="s">
        <v>146</v>
      </c>
      <c r="B26" s="790"/>
      <c r="C26" s="288" t="s">
        <v>147</v>
      </c>
      <c r="D26" s="82"/>
      <c r="E26" s="82"/>
      <c r="F26" s="82"/>
      <c r="G26" s="82"/>
      <c r="H26" s="82"/>
      <c r="I26" s="550"/>
      <c r="J26" s="82"/>
      <c r="K26" s="82"/>
      <c r="L26" s="82"/>
      <c r="M26" s="37"/>
      <c r="N26" s="37"/>
      <c r="AG26" s="41"/>
    </row>
    <row r="27" spans="1:33" ht="18.75">
      <c r="A27" s="81" t="s">
        <v>148</v>
      </c>
      <c r="B27" s="82"/>
      <c r="C27" s="82"/>
      <c r="D27" s="82"/>
      <c r="E27" s="82"/>
      <c r="F27" s="82"/>
      <c r="G27" s="82"/>
      <c r="H27" s="82"/>
      <c r="I27" s="550"/>
      <c r="J27" s="82"/>
      <c r="K27" s="82"/>
      <c r="L27" s="82"/>
      <c r="M27" s="37"/>
      <c r="N27" s="37"/>
      <c r="AG27" s="41"/>
    </row>
    <row r="28" spans="1:33" ht="15.75" thickBot="1">
      <c r="A28" s="3"/>
      <c r="B28" s="3"/>
      <c r="C28" s="3"/>
      <c r="D28" s="3"/>
      <c r="E28" s="3"/>
      <c r="F28" s="3"/>
      <c r="G28" s="3"/>
      <c r="H28" s="3"/>
      <c r="I28" s="3"/>
      <c r="J28" s="3"/>
      <c r="K28" s="3"/>
      <c r="L28" s="3"/>
    </row>
    <row r="29" spans="1:33" ht="15.75" thickBot="1">
      <c r="A29" s="798" t="s">
        <v>149</v>
      </c>
      <c r="B29" s="799"/>
      <c r="C29" s="799"/>
      <c r="D29" s="799"/>
      <c r="E29" s="799"/>
      <c r="F29" s="799"/>
      <c r="G29" s="799"/>
      <c r="H29" s="799"/>
      <c r="I29" s="799"/>
      <c r="J29" s="799"/>
      <c r="K29" s="799"/>
      <c r="L29" s="799"/>
      <c r="M29" s="800"/>
      <c r="O29" s="178"/>
      <c r="P29" s="179"/>
      <c r="Q29" s="180">
        <f>+B33</f>
        <v>7763873.9000000004</v>
      </c>
    </row>
    <row r="30" spans="1:33">
      <c r="A30" s="83" t="s">
        <v>134</v>
      </c>
      <c r="B30" s="265" t="s">
        <v>135</v>
      </c>
      <c r="C30" s="265" t="s">
        <v>150</v>
      </c>
      <c r="D30" s="265" t="s">
        <v>151</v>
      </c>
      <c r="E30" s="265" t="s">
        <v>152</v>
      </c>
      <c r="F30" s="265" t="s">
        <v>153</v>
      </c>
      <c r="G30" s="265" t="s">
        <v>154</v>
      </c>
      <c r="H30" s="265" t="s">
        <v>155</v>
      </c>
      <c r="I30" s="265" t="s">
        <v>156</v>
      </c>
      <c r="J30" s="265" t="s">
        <v>157</v>
      </c>
      <c r="K30" s="265" t="s">
        <v>158</v>
      </c>
      <c r="L30" s="265" t="s">
        <v>159</v>
      </c>
      <c r="M30" s="266" t="s">
        <v>160</v>
      </c>
      <c r="N30" s="267" t="s">
        <v>161</v>
      </c>
      <c r="O30" s="178"/>
      <c r="P30" s="179"/>
      <c r="Q30" s="180">
        <f>+C33</f>
        <v>0</v>
      </c>
    </row>
    <row r="31" spans="1:33">
      <c r="A31" s="224" t="s">
        <v>162</v>
      </c>
      <c r="B31" s="273">
        <v>7763873.9000000004</v>
      </c>
      <c r="C31" s="272"/>
      <c r="D31" s="272"/>
      <c r="E31" s="399"/>
      <c r="F31" s="399"/>
      <c r="G31" s="399"/>
      <c r="H31" s="400"/>
      <c r="I31" s="399"/>
      <c r="J31" s="399"/>
      <c r="K31" s="272"/>
      <c r="L31" s="401"/>
      <c r="M31" s="272"/>
      <c r="N31" s="855"/>
      <c r="O31" s="178"/>
      <c r="P31" s="179"/>
      <c r="Q31" s="180">
        <f>+D33</f>
        <v>0</v>
      </c>
    </row>
    <row r="32" spans="1:33">
      <c r="A32" s="83" t="str">
        <f>CONCATENATE("Выплаты ГФ (в ", $C$26,")")</f>
        <v>Выплаты ГФ (в $)</v>
      </c>
      <c r="B32" s="273">
        <v>9283289</v>
      </c>
      <c r="C32" s="273"/>
      <c r="D32" s="273"/>
      <c r="E32" s="273"/>
      <c r="F32" s="273"/>
      <c r="G32" s="273"/>
      <c r="H32" s="386"/>
      <c r="I32" s="272"/>
      <c r="J32" s="272"/>
      <c r="K32" s="272"/>
      <c r="L32" s="272"/>
      <c r="M32" s="272"/>
      <c r="N32" s="856"/>
      <c r="O32" s="178"/>
      <c r="P32" s="179"/>
      <c r="Q32" s="180">
        <f>+E33</f>
        <v>0</v>
      </c>
    </row>
    <row r="33" spans="1:33">
      <c r="A33" s="84" t="s">
        <v>163</v>
      </c>
      <c r="B33" s="274">
        <f>+B31</f>
        <v>7763873.9000000004</v>
      </c>
      <c r="C33" s="274">
        <f>IF(AND(C31=0,C32=0),0,+B33+C31)</f>
        <v>0</v>
      </c>
      <c r="D33" s="274">
        <f>IF(AND(D31=0,D32=0),0,+C33+D31)</f>
        <v>0</v>
      </c>
      <c r="E33" s="274">
        <f>IF(AND(E31=0,E32=0),0,+D33+E31)</f>
        <v>0</v>
      </c>
      <c r="F33" s="397"/>
      <c r="G33" s="397"/>
      <c r="H33" s="397"/>
      <c r="I33" s="397"/>
      <c r="J33" s="397"/>
      <c r="K33" s="397"/>
      <c r="L33" s="402"/>
      <c r="M33" s="274"/>
      <c r="N33" s="856"/>
      <c r="O33" s="262"/>
      <c r="P33" s="179"/>
      <c r="Q33" s="180">
        <f>+F33</f>
        <v>0</v>
      </c>
    </row>
    <row r="34" spans="1:33" ht="15.75" thickBot="1">
      <c r="A34" s="85" t="s">
        <v>164</v>
      </c>
      <c r="B34" s="275">
        <f>+B32</f>
        <v>9283289</v>
      </c>
      <c r="C34" s="275">
        <f>IF(AND(C31=0,C32=0),0,+B34+C32)</f>
        <v>0</v>
      </c>
      <c r="D34" s="275">
        <f>IF(AND(D31=0,D32=0),0,+C34+D32)</f>
        <v>0</v>
      </c>
      <c r="E34" s="275">
        <f>IF(AND(E31=0,E32=0),0,+D34+E32)</f>
        <v>0</v>
      </c>
      <c r="F34" s="398"/>
      <c r="G34" s="398"/>
      <c r="H34" s="398"/>
      <c r="I34" s="398"/>
      <c r="J34" s="398"/>
      <c r="K34" s="398"/>
      <c r="L34" s="403"/>
      <c r="M34" s="275"/>
      <c r="N34" s="857"/>
      <c r="O34" s="262"/>
      <c r="P34" s="179"/>
      <c r="Q34" s="180">
        <f>+G33</f>
        <v>0</v>
      </c>
    </row>
    <row r="35" spans="1:33">
      <c r="A35" s="3"/>
      <c r="B35" s="253">
        <f>+IF(AND(B30=$B$16,B33&lt;&gt;0),B34/B33,0)</f>
        <v>1.1957032171787334</v>
      </c>
      <c r="C35" s="253">
        <f t="shared" ref="C35:M35" si="0">+IF(AND(C30=$B$16,C33&lt;&gt;0),C34/C33,0)</f>
        <v>0</v>
      </c>
      <c r="D35" s="253">
        <f t="shared" si="0"/>
        <v>0</v>
      </c>
      <c r="E35" s="253">
        <f>+IF(AND(E30=$B$16,E33&lt;&gt;0),E34/E33,0)</f>
        <v>0</v>
      </c>
      <c r="F35" s="253">
        <f t="shared" si="0"/>
        <v>0</v>
      </c>
      <c r="G35" s="253">
        <f t="shared" si="0"/>
        <v>0</v>
      </c>
      <c r="H35" s="253">
        <f t="shared" si="0"/>
        <v>0</v>
      </c>
      <c r="I35" s="253">
        <f t="shared" si="0"/>
        <v>0</v>
      </c>
      <c r="J35" s="253">
        <f t="shared" si="0"/>
        <v>0</v>
      </c>
      <c r="K35" s="253">
        <f t="shared" si="0"/>
        <v>0</v>
      </c>
      <c r="L35" s="253">
        <f t="shared" si="0"/>
        <v>0</v>
      </c>
      <c r="M35" s="253">
        <f t="shared" si="0"/>
        <v>0</v>
      </c>
      <c r="N35" s="228"/>
      <c r="O35" s="181"/>
      <c r="P35" s="182"/>
      <c r="Q35" s="180">
        <f>+H33</f>
        <v>0</v>
      </c>
    </row>
    <row r="36" spans="1:33" ht="18.75">
      <c r="A36" s="81" t="s">
        <v>165</v>
      </c>
      <c r="B36" s="3"/>
      <c r="C36" s="3"/>
      <c r="D36" s="259"/>
      <c r="E36" s="3"/>
      <c r="F36" s="215"/>
      <c r="G36" s="3"/>
      <c r="H36" s="3"/>
      <c r="I36" s="3"/>
      <c r="J36" s="3"/>
      <c r="K36" s="3"/>
      <c r="L36" s="3"/>
      <c r="M36" s="38"/>
      <c r="N36" s="38"/>
      <c r="AG36" s="20"/>
    </row>
    <row r="37" spans="1:33" ht="15.75" thickBot="1">
      <c r="A37" s="3"/>
      <c r="B37" s="3"/>
      <c r="C37" s="3"/>
      <c r="D37" s="3"/>
      <c r="E37" s="3"/>
      <c r="F37" s="3"/>
      <c r="G37" s="3"/>
      <c r="H37" s="3"/>
      <c r="I37" s="3"/>
      <c r="J37" s="3"/>
      <c r="K37" s="3"/>
      <c r="L37" s="3"/>
      <c r="M37" s="36"/>
      <c r="N37" s="36"/>
    </row>
    <row r="38" spans="1:33" ht="30" customHeight="1">
      <c r="A38" s="312"/>
      <c r="B38" s="551" t="str">
        <f>CONCATENATE("Общий бюджет (в ",'Ввод данных'!$C$26,")")</f>
        <v>Общий бюджет (в $)</v>
      </c>
      <c r="C38" s="552" t="str">
        <f>CONCATENATE("Общие расходы (в ",'Ввод данных'!$C$26,")")</f>
        <v>Общие расходы (в $)</v>
      </c>
      <c r="D38" s="221"/>
      <c r="E38" s="221" t="s">
        <v>166</v>
      </c>
      <c r="F38" s="3"/>
      <c r="G38" s="3"/>
      <c r="H38" s="3"/>
      <c r="I38" s="91"/>
      <c r="J38" s="39"/>
      <c r="M38"/>
      <c r="N38"/>
      <c r="AC38" s="20"/>
      <c r="AD38" s="33"/>
    </row>
    <row r="39" spans="1:33">
      <c r="A39" s="405" t="s">
        <v>167</v>
      </c>
      <c r="B39" s="279">
        <v>356854.99</v>
      </c>
      <c r="C39" s="282">
        <v>73535.91</v>
      </c>
      <c r="D39" s="15"/>
      <c r="E39" s="15" t="s">
        <v>168</v>
      </c>
      <c r="F39" s="264"/>
      <c r="G39" s="3"/>
      <c r="H39" s="3"/>
      <c r="I39" s="92"/>
      <c r="J39" s="40"/>
      <c r="M39"/>
      <c r="N39"/>
      <c r="AC39" s="20"/>
      <c r="AD39" s="33"/>
    </row>
    <row r="40" spans="1:33">
      <c r="A40" s="405" t="s">
        <v>169</v>
      </c>
      <c r="B40" s="279">
        <v>730796.26</v>
      </c>
      <c r="C40" s="282">
        <v>506221.75</v>
      </c>
      <c r="D40" s="15"/>
      <c r="E40" s="15" t="s">
        <v>170</v>
      </c>
      <c r="F40" s="264"/>
      <c r="G40" s="3"/>
      <c r="H40" s="3"/>
      <c r="I40" s="92"/>
      <c r="J40" s="40"/>
      <c r="M40"/>
      <c r="N40"/>
      <c r="AC40" s="20"/>
      <c r="AD40" s="33"/>
    </row>
    <row r="41" spans="1:33">
      <c r="A41" s="405" t="s">
        <v>171</v>
      </c>
      <c r="B41" s="279">
        <v>2951.1</v>
      </c>
      <c r="C41" s="282" t="s">
        <v>172</v>
      </c>
      <c r="D41" s="15"/>
      <c r="E41" s="15" t="s">
        <v>173</v>
      </c>
      <c r="F41" s="264"/>
      <c r="G41" s="3"/>
      <c r="H41" s="3"/>
      <c r="I41" s="92"/>
      <c r="J41" s="40"/>
      <c r="M41"/>
      <c r="N41"/>
      <c r="AC41" s="20"/>
      <c r="AD41" s="33"/>
    </row>
    <row r="42" spans="1:33">
      <c r="A42" s="281" t="s">
        <v>174</v>
      </c>
      <c r="B42" s="279">
        <v>33593.21</v>
      </c>
      <c r="C42" s="282">
        <v>121.8</v>
      </c>
      <c r="D42" s="15"/>
      <c r="E42" s="15" t="s">
        <v>175</v>
      </c>
      <c r="F42" s="264"/>
      <c r="G42" s="3"/>
      <c r="H42" s="3"/>
      <c r="I42" s="92"/>
      <c r="J42" s="40"/>
      <c r="M42"/>
      <c r="N42"/>
      <c r="AC42" s="20"/>
      <c r="AD42" s="33"/>
    </row>
    <row r="43" spans="1:33">
      <c r="A43" s="405" t="s">
        <v>176</v>
      </c>
      <c r="B43" s="279">
        <v>1030139.54</v>
      </c>
      <c r="C43" s="282">
        <v>383985.39</v>
      </c>
      <c r="D43" s="15"/>
      <c r="E43" s="15" t="s">
        <v>177</v>
      </c>
      <c r="F43" s="264"/>
      <c r="G43" s="3"/>
      <c r="H43" s="3"/>
      <c r="I43" s="92"/>
      <c r="J43" s="40"/>
      <c r="M43"/>
      <c r="N43"/>
      <c r="AC43" s="20"/>
      <c r="AD43" s="33"/>
    </row>
    <row r="44" spans="1:33">
      <c r="A44" s="406" t="s">
        <v>178</v>
      </c>
      <c r="B44" s="279">
        <v>8211.52</v>
      </c>
      <c r="C44" s="282" t="s">
        <v>172</v>
      </c>
      <c r="D44" s="15"/>
      <c r="E44" s="15" t="s">
        <v>179</v>
      </c>
      <c r="F44" s="264"/>
      <c r="G44" s="3"/>
      <c r="H44" s="3"/>
      <c r="I44" s="92"/>
      <c r="J44" s="40"/>
      <c r="M44"/>
      <c r="N44"/>
      <c r="AC44" s="20"/>
      <c r="AD44" s="33"/>
    </row>
    <row r="45" spans="1:33">
      <c r="A45" s="281" t="s">
        <v>180</v>
      </c>
      <c r="B45" s="279">
        <v>3757429.23</v>
      </c>
      <c r="C45" s="282">
        <v>1048716</v>
      </c>
      <c r="D45" s="15"/>
      <c r="E45" s="15" t="s">
        <v>181</v>
      </c>
      <c r="F45" s="264"/>
      <c r="G45" s="3"/>
      <c r="H45" s="3"/>
      <c r="I45" s="92"/>
      <c r="J45" s="40"/>
      <c r="M45"/>
      <c r="N45"/>
      <c r="AC45" s="20"/>
      <c r="AD45" s="33"/>
    </row>
    <row r="46" spans="1:33">
      <c r="A46" s="281" t="s">
        <v>182</v>
      </c>
      <c r="B46" s="279">
        <v>17866.830000000002</v>
      </c>
      <c r="C46" s="282">
        <v>14550.33</v>
      </c>
      <c r="D46" s="15"/>
      <c r="E46" s="15" t="s">
        <v>183</v>
      </c>
      <c r="F46" s="264"/>
      <c r="G46" s="3"/>
      <c r="H46" s="3"/>
      <c r="I46" s="92"/>
      <c r="J46" s="40"/>
      <c r="M46"/>
      <c r="N46"/>
      <c r="AC46" s="20"/>
      <c r="AD46" s="33"/>
    </row>
    <row r="47" spans="1:33">
      <c r="A47" s="281" t="s">
        <v>184</v>
      </c>
      <c r="B47" s="280">
        <v>29700.05</v>
      </c>
      <c r="C47" s="282">
        <v>27741.15</v>
      </c>
      <c r="D47" s="15"/>
      <c r="E47" s="15" t="s">
        <v>185</v>
      </c>
      <c r="F47" s="264"/>
      <c r="G47" s="3"/>
      <c r="H47" s="3"/>
      <c r="I47" s="92"/>
      <c r="J47" s="40"/>
      <c r="M47"/>
      <c r="N47"/>
      <c r="AC47" s="20"/>
      <c r="AD47" s="33"/>
    </row>
    <row r="48" spans="1:33">
      <c r="A48" s="281" t="s">
        <v>186</v>
      </c>
      <c r="B48" s="279">
        <v>1373211.27</v>
      </c>
      <c r="C48" s="282">
        <v>904267.58</v>
      </c>
      <c r="D48" s="15"/>
      <c r="E48" s="15" t="s">
        <v>187</v>
      </c>
      <c r="F48" s="264"/>
      <c r="G48" s="3"/>
      <c r="H48" s="3"/>
      <c r="I48" s="92"/>
      <c r="J48" s="40"/>
      <c r="M48"/>
      <c r="N48"/>
      <c r="AC48" s="20"/>
      <c r="AD48" s="33"/>
    </row>
    <row r="49" spans="1:32">
      <c r="A49" s="281" t="s">
        <v>188</v>
      </c>
      <c r="B49" s="279">
        <v>47912.26</v>
      </c>
      <c r="C49" s="282">
        <v>31146.42</v>
      </c>
      <c r="D49" s="15"/>
      <c r="E49" s="15" t="s">
        <v>189</v>
      </c>
      <c r="F49" s="264"/>
      <c r="G49" s="3"/>
      <c r="H49" s="3"/>
      <c r="I49" s="92"/>
      <c r="J49" s="40"/>
      <c r="M49"/>
      <c r="N49"/>
      <c r="AC49" s="20"/>
      <c r="AD49" s="33"/>
    </row>
    <row r="50" spans="1:32">
      <c r="A50" s="281" t="s">
        <v>190</v>
      </c>
      <c r="B50" s="279">
        <v>172596.16</v>
      </c>
      <c r="C50" s="282">
        <v>86004.76</v>
      </c>
      <c r="D50" s="15"/>
      <c r="E50" s="15" t="s">
        <v>191</v>
      </c>
      <c r="F50" s="264"/>
      <c r="G50" s="3"/>
      <c r="H50" s="3"/>
      <c r="I50" s="92"/>
      <c r="J50" s="40"/>
      <c r="M50"/>
      <c r="N50"/>
      <c r="AC50" s="20"/>
      <c r="AD50" s="33"/>
    </row>
    <row r="51" spans="1:32">
      <c r="A51" s="283" t="s">
        <v>192</v>
      </c>
      <c r="B51" s="280">
        <v>202611.48</v>
      </c>
      <c r="C51" s="282">
        <v>153038.49</v>
      </c>
      <c r="D51" s="15"/>
      <c r="E51" s="264" t="s">
        <v>193</v>
      </c>
      <c r="F51" s="264"/>
      <c r="G51" s="3"/>
      <c r="H51" s="3"/>
      <c r="I51" s="92"/>
      <c r="J51" s="40"/>
      <c r="M51"/>
      <c r="N51"/>
      <c r="AC51" s="20"/>
      <c r="AD51" s="33"/>
    </row>
    <row r="52" spans="1:32">
      <c r="A52" s="406"/>
      <c r="B52" s="280"/>
      <c r="C52" s="282"/>
      <c r="D52" s="15"/>
      <c r="E52" s="263"/>
      <c r="F52" s="264"/>
      <c r="G52" s="3"/>
      <c r="H52" s="3"/>
      <c r="I52" s="92"/>
      <c r="J52" s="40"/>
      <c r="M52"/>
      <c r="N52"/>
      <c r="AC52" s="20"/>
      <c r="AD52" s="33"/>
    </row>
    <row r="53" spans="1:32">
      <c r="A53" s="281"/>
      <c r="B53" s="387"/>
      <c r="C53" s="282"/>
      <c r="D53" s="15"/>
      <c r="E53" s="263"/>
      <c r="F53" s="264"/>
      <c r="G53" s="3"/>
      <c r="H53" s="3"/>
      <c r="I53" s="92"/>
      <c r="J53" s="40"/>
      <c r="M53"/>
      <c r="N53"/>
      <c r="AC53" s="20"/>
      <c r="AD53" s="33"/>
    </row>
    <row r="54" spans="1:32">
      <c r="A54" s="281"/>
      <c r="B54" s="387"/>
      <c r="C54" s="282"/>
      <c r="D54" s="228"/>
      <c r="E54" s="263"/>
      <c r="F54" s="264"/>
      <c r="G54" s="3"/>
      <c r="H54" s="3"/>
      <c r="I54" s="3"/>
      <c r="J54" s="40"/>
      <c r="M54"/>
      <c r="N54"/>
      <c r="AC54" s="20"/>
      <c r="AD54" s="33"/>
    </row>
    <row r="55" spans="1:32" ht="15.75" thickBot="1">
      <c r="A55" s="283"/>
      <c r="B55" s="388"/>
      <c r="C55" s="395"/>
      <c r="D55" s="219"/>
      <c r="E55" s="263"/>
      <c r="F55" s="3"/>
      <c r="G55" s="3"/>
      <c r="H55" s="3"/>
      <c r="I55" s="3"/>
      <c r="J55" s="40"/>
      <c r="M55"/>
      <c r="N55"/>
      <c r="AC55" s="20"/>
      <c r="AD55" s="33"/>
    </row>
    <row r="56" spans="1:32" ht="15.75" thickBot="1">
      <c r="A56" s="284" t="s">
        <v>194</v>
      </c>
      <c r="B56" s="453">
        <f>SUM(B39:B55)</f>
        <v>7763873.9000000004</v>
      </c>
      <c r="C56" s="454">
        <f>SUM(C39:C55)</f>
        <v>3229329.58</v>
      </c>
      <c r="D56" s="3"/>
      <c r="E56" s="858" t="str">
        <f ca="1">+IF((ROUND(B56,0)=ROUND(OFFSET(A33,0,RIGHT('Ввод данных'!$B$16,LEN('Ввод данных'!$B$16)-1),1,1),0)),"Все правильно: данные верны","Предупреждение: данные не совпадают")</f>
        <v>Все правильно: данные верны</v>
      </c>
      <c r="F56" s="859"/>
      <c r="G56" s="859"/>
      <c r="H56" s="860"/>
      <c r="I56" s="173"/>
      <c r="J56" s="173"/>
      <c r="K56" s="173"/>
      <c r="L56" s="181"/>
      <c r="M56" s="182"/>
      <c r="N56" s="180"/>
      <c r="O56" s="178"/>
      <c r="AC56" s="33"/>
      <c r="AD56" s="33"/>
    </row>
    <row r="57" spans="1:32">
      <c r="A57" s="3"/>
      <c r="B57" s="173"/>
      <c r="C57" s="173"/>
      <c r="E57" s="173"/>
      <c r="F57" s="173"/>
      <c r="G57" s="173"/>
      <c r="H57" s="173"/>
      <c r="I57" s="173"/>
      <c r="J57" s="173"/>
      <c r="K57" s="173"/>
      <c r="L57" s="173"/>
      <c r="M57" s="173"/>
      <c r="N57" s="173"/>
      <c r="O57" s="181"/>
      <c r="P57" s="182"/>
      <c r="Q57" s="180"/>
    </row>
    <row r="58" spans="1:32" ht="18.75">
      <c r="A58" s="81" t="s">
        <v>195</v>
      </c>
      <c r="B58" s="3"/>
      <c r="C58" s="173"/>
      <c r="D58" s="360"/>
      <c r="E58" s="3"/>
      <c r="F58" s="3"/>
      <c r="G58" s="3"/>
      <c r="H58" s="3"/>
      <c r="I58" s="3"/>
      <c r="J58" s="3"/>
      <c r="K58" s="3"/>
      <c r="L58" s="3"/>
      <c r="O58" s="178"/>
      <c r="P58" s="179"/>
      <c r="Q58" s="180">
        <f>+I33</f>
        <v>0</v>
      </c>
    </row>
    <row r="59" spans="1:32" ht="15.75" thickBot="1">
      <c r="A59" s="3"/>
      <c r="B59" s="3"/>
      <c r="C59" s="3"/>
      <c r="D59" s="3"/>
      <c r="E59" s="3"/>
      <c r="F59" s="3"/>
      <c r="G59" s="3"/>
      <c r="H59" s="3"/>
      <c r="I59" s="3"/>
      <c r="J59" s="3"/>
      <c r="K59" s="3"/>
      <c r="L59" s="3"/>
      <c r="O59" s="178"/>
      <c r="P59" s="179"/>
      <c r="Q59" s="180">
        <f>+J33</f>
        <v>0</v>
      </c>
    </row>
    <row r="60" spans="1:32" ht="51" customHeight="1">
      <c r="A60" s="372"/>
      <c r="B60" s="373" t="s">
        <v>196</v>
      </c>
      <c r="C60" s="373" t="s">
        <v>197</v>
      </c>
      <c r="D60" s="374" t="str">
        <f>CONCATENATE("Всего израсходовано и выплачено (в ",C26,")")</f>
        <v>Всего израсходовано и выплачено (в $)</v>
      </c>
      <c r="E60" s="3"/>
      <c r="F60" s="232"/>
      <c r="G60" s="553"/>
      <c r="H60" s="225"/>
      <c r="I60" s="225"/>
      <c r="J60" s="225"/>
      <c r="K60" s="225"/>
      <c r="L60" s="21"/>
      <c r="M60" s="21"/>
      <c r="N60" s="178"/>
      <c r="O60" s="179"/>
      <c r="P60" s="180">
        <f>+L33</f>
        <v>0</v>
      </c>
      <c r="Q60" s="178"/>
      <c r="AF60" s="20"/>
    </row>
    <row r="61" spans="1:32">
      <c r="A61" s="375" t="s">
        <v>198</v>
      </c>
      <c r="B61" s="407"/>
      <c r="C61" s="407">
        <v>9283289</v>
      </c>
      <c r="D61" s="377">
        <f>+C61+B61</f>
        <v>9283289</v>
      </c>
      <c r="E61" s="3"/>
      <c r="F61" s="87"/>
      <c r="G61" s="230"/>
      <c r="H61" s="86"/>
      <c r="I61" s="176"/>
      <c r="J61" s="177"/>
      <c r="K61" s="88"/>
      <c r="L61" s="34"/>
      <c r="M61" s="34"/>
      <c r="N61" s="178"/>
      <c r="O61" s="178"/>
      <c r="P61" s="178"/>
      <c r="Q61" s="178"/>
      <c r="AF61" s="20"/>
    </row>
    <row r="62" spans="1:32">
      <c r="A62" s="375" t="s">
        <v>199</v>
      </c>
      <c r="B62" s="407"/>
      <c r="C62" s="407">
        <v>5559757</v>
      </c>
      <c r="D62" s="377">
        <f>+C62+B62</f>
        <v>5559757</v>
      </c>
      <c r="E62" s="3"/>
      <c r="F62" s="210"/>
      <c r="G62" s="230"/>
      <c r="H62" s="86"/>
      <c r="I62" s="176"/>
      <c r="J62" s="176"/>
      <c r="K62" s="88"/>
      <c r="L62" s="35"/>
      <c r="M62" s="35"/>
      <c r="N62" s="178"/>
      <c r="O62" s="178"/>
      <c r="P62" s="178"/>
      <c r="Q62" s="178"/>
      <c r="AF62" s="20"/>
    </row>
    <row r="63" spans="1:32">
      <c r="A63" s="375" t="s">
        <v>200</v>
      </c>
      <c r="B63" s="407"/>
      <c r="C63" s="407">
        <v>1045893</v>
      </c>
      <c r="D63" s="377">
        <f>+C63+B63</f>
        <v>1045893</v>
      </c>
      <c r="E63" s="3"/>
      <c r="F63" s="87"/>
      <c r="G63" s="230"/>
      <c r="H63" s="86"/>
      <c r="I63" s="176"/>
      <c r="J63" s="177"/>
      <c r="K63" s="88"/>
      <c r="L63" s="34"/>
      <c r="M63" s="34"/>
      <c r="N63"/>
      <c r="AF63" s="20"/>
    </row>
    <row r="64" spans="1:32" ht="15.75" thickBot="1">
      <c r="A64" s="376" t="s">
        <v>201</v>
      </c>
      <c r="B64" s="408"/>
      <c r="C64" s="407">
        <v>997821</v>
      </c>
      <c r="D64" s="378">
        <f>+C64+B64</f>
        <v>997821</v>
      </c>
      <c r="E64" s="173"/>
      <c r="F64" s="211"/>
      <c r="G64" s="231"/>
      <c r="H64" s="89"/>
      <c r="I64" s="89"/>
      <c r="J64" s="89"/>
      <c r="K64" s="88"/>
      <c r="L64" s="35"/>
      <c r="M64" s="35"/>
      <c r="N64"/>
      <c r="AF64" s="20"/>
    </row>
    <row r="65" spans="1:33" ht="15.75" customHeight="1">
      <c r="A65" s="3"/>
      <c r="B65" s="3"/>
      <c r="C65" s="173"/>
      <c r="D65" s="3"/>
      <c r="E65" s="173"/>
      <c r="F65" s="3"/>
      <c r="G65" s="3"/>
      <c r="H65" s="3"/>
      <c r="I65" s="3"/>
      <c r="J65" s="3"/>
      <c r="K65" s="3"/>
      <c r="L65" s="3"/>
      <c r="AG65" s="20"/>
    </row>
    <row r="66" spans="1:33">
      <c r="A66" s="3"/>
      <c r="B66" s="3"/>
      <c r="C66" s="371"/>
      <c r="D66" s="3"/>
      <c r="E66" s="3"/>
      <c r="F66" s="3"/>
      <c r="G66" s="3"/>
      <c r="H66" s="3"/>
      <c r="I66" s="3"/>
      <c r="J66" s="3"/>
      <c r="K66" s="3"/>
      <c r="L66" s="3"/>
    </row>
    <row r="67" spans="1:33" ht="18.75">
      <c r="A67" s="81" t="s">
        <v>202</v>
      </c>
      <c r="B67" s="3"/>
      <c r="C67" s="173"/>
      <c r="D67" s="3"/>
      <c r="E67" s="3"/>
      <c r="F67" s="3"/>
      <c r="G67" s="3"/>
      <c r="H67" s="3"/>
      <c r="I67" s="3"/>
      <c r="J67" s="3"/>
      <c r="K67" s="3"/>
      <c r="L67" s="3"/>
    </row>
    <row r="68" spans="1:33" ht="15.75" thickBot="1">
      <c r="A68" s="3"/>
      <c r="B68" s="3"/>
      <c r="C68" s="3"/>
      <c r="D68" s="3"/>
      <c r="E68" s="3"/>
      <c r="F68" s="3"/>
      <c r="G68" s="3"/>
      <c r="H68" s="3"/>
      <c r="I68" s="3"/>
      <c r="J68" s="3"/>
      <c r="K68" s="3"/>
      <c r="L68" s="3"/>
    </row>
    <row r="69" spans="1:33" ht="15.75" customHeight="1" thickBot="1">
      <c r="A69" s="793" t="s">
        <v>203</v>
      </c>
      <c r="B69" s="794"/>
      <c r="C69" s="795"/>
      <c r="D69" s="394"/>
      <c r="E69" s="3"/>
      <c r="F69" s="3"/>
      <c r="G69" s="3"/>
      <c r="H69" s="3"/>
      <c r="I69" s="3"/>
      <c r="J69" s="3"/>
      <c r="K69" s="3"/>
      <c r="L69" s="33"/>
      <c r="N69"/>
    </row>
    <row r="70" spans="1:33">
      <c r="A70" s="389"/>
      <c r="B70" s="324"/>
      <c r="C70" s="341" t="s">
        <v>204</v>
      </c>
      <c r="D70" s="390" t="s">
        <v>205</v>
      </c>
      <c r="E70" s="3"/>
      <c r="F70" s="3"/>
      <c r="G70" s="3"/>
      <c r="H70" s="3"/>
      <c r="I70" s="3"/>
      <c r="J70" s="3"/>
      <c r="K70" s="3"/>
      <c r="L70" s="33"/>
      <c r="N70"/>
    </row>
    <row r="71" spans="1:33">
      <c r="A71" s="391" t="s">
        <v>206</v>
      </c>
      <c r="B71" s="42"/>
      <c r="C71" s="409">
        <v>60</v>
      </c>
      <c r="D71" s="410">
        <v>60</v>
      </c>
      <c r="E71" s="3"/>
      <c r="F71" s="3"/>
      <c r="G71" s="3"/>
      <c r="H71" s="3"/>
      <c r="I71" s="3"/>
      <c r="J71" s="3"/>
      <c r="K71" s="3"/>
      <c r="L71" s="33"/>
      <c r="N71"/>
    </row>
    <row r="72" spans="1:33">
      <c r="A72" s="233" t="s">
        <v>207</v>
      </c>
      <c r="B72" s="42"/>
      <c r="C72" s="409">
        <v>60</v>
      </c>
      <c r="D72" s="410" t="s">
        <v>208</v>
      </c>
      <c r="E72" s="3"/>
      <c r="F72" s="3"/>
      <c r="G72" s="230"/>
      <c r="H72" s="230"/>
      <c r="I72" s="3"/>
      <c r="J72" s="3"/>
      <c r="K72" s="3"/>
      <c r="L72" s="33"/>
      <c r="N72"/>
    </row>
    <row r="73" spans="1:33" ht="15.75" thickBot="1">
      <c r="A73" s="392" t="s">
        <v>209</v>
      </c>
      <c r="B73" s="393"/>
      <c r="C73" s="411">
        <v>10</v>
      </c>
      <c r="D73" s="410" t="s">
        <v>208</v>
      </c>
      <c r="E73" s="3"/>
      <c r="F73" s="3"/>
      <c r="G73" s="230"/>
      <c r="H73" s="230"/>
      <c r="I73" s="3"/>
      <c r="J73" s="3"/>
      <c r="K73" s="3"/>
      <c r="L73" s="33"/>
      <c r="N73"/>
    </row>
    <row r="74" spans="1:33">
      <c r="A74" s="3"/>
      <c r="B74" s="3"/>
      <c r="C74" s="342"/>
      <c r="D74" s="342"/>
      <c r="E74" s="3"/>
      <c r="F74" s="3"/>
      <c r="G74" s="3"/>
      <c r="H74" s="3"/>
      <c r="I74" s="3"/>
      <c r="J74" s="3"/>
      <c r="K74" s="3"/>
      <c r="L74" s="3"/>
    </row>
    <row r="75" spans="1:33" ht="15.75" thickBot="1">
      <c r="A75" s="3"/>
      <c r="B75" s="3"/>
      <c r="C75" s="3"/>
      <c r="D75" s="3"/>
      <c r="E75" s="3"/>
      <c r="F75" s="3"/>
      <c r="G75" s="3"/>
      <c r="H75" s="3"/>
      <c r="I75" s="3"/>
      <c r="J75" s="3"/>
      <c r="K75" s="2"/>
      <c r="L75" s="3"/>
      <c r="AA75" s="19"/>
      <c r="AB75" s="19"/>
    </row>
    <row r="76" spans="1:33" ht="31.5" customHeight="1" thickBot="1">
      <c r="A76" s="93" t="s">
        <v>210</v>
      </c>
      <c r="B76" s="94"/>
      <c r="C76" s="94"/>
      <c r="D76" s="94"/>
      <c r="E76" s="94"/>
      <c r="F76" s="94"/>
      <c r="G76" s="554" t="s">
        <v>211</v>
      </c>
      <c r="H76" s="555"/>
      <c r="I76" s="556"/>
      <c r="J76" s="556"/>
      <c r="K76" s="557"/>
      <c r="L76" s="95"/>
      <c r="M76" s="77"/>
      <c r="N76" s="77"/>
      <c r="O76" s="77"/>
      <c r="AA76" s="19"/>
      <c r="AB76" s="19"/>
    </row>
    <row r="77" spans="1:33" ht="18.75">
      <c r="A77" s="96"/>
      <c r="B77" s="95"/>
      <c r="C77" s="95"/>
      <c r="D77" s="95"/>
      <c r="E77" s="95"/>
      <c r="F77" s="95"/>
      <c r="G77" s="95"/>
      <c r="H77" s="95"/>
      <c r="I77" s="95"/>
      <c r="J77" s="97"/>
      <c r="K77" s="97"/>
      <c r="L77" s="95"/>
      <c r="M77" s="77"/>
      <c r="N77" s="77"/>
      <c r="O77" s="77"/>
      <c r="AA77" s="19"/>
      <c r="AB77" s="19"/>
    </row>
    <row r="78" spans="1:33" ht="18.75">
      <c r="A78" s="96" t="s">
        <v>212</v>
      </c>
      <c r="B78" s="95"/>
      <c r="C78" s="95"/>
      <c r="D78" s="95"/>
      <c r="E78" s="95"/>
      <c r="F78" s="95"/>
      <c r="G78" s="95"/>
      <c r="H78" s="95"/>
      <c r="I78" s="95"/>
      <c r="J78" s="97"/>
      <c r="K78" s="97"/>
      <c r="L78" s="95"/>
      <c r="M78" s="77"/>
      <c r="N78" s="77"/>
      <c r="O78" s="77"/>
      <c r="AA78" s="19"/>
      <c r="AB78" s="19"/>
    </row>
    <row r="79" spans="1:33" ht="15.75" thickBot="1">
      <c r="A79" s="2"/>
      <c r="B79" s="98"/>
      <c r="C79" s="98"/>
      <c r="D79" s="98"/>
      <c r="E79" s="98"/>
      <c r="F79" s="98"/>
      <c r="G79" s="2"/>
      <c r="H79" s="98"/>
      <c r="I79" s="2"/>
      <c r="J79" s="2"/>
      <c r="K79" s="2"/>
      <c r="L79" s="2"/>
      <c r="M79" s="20"/>
      <c r="N79" s="19"/>
      <c r="O79" s="19"/>
      <c r="P79" s="19"/>
      <c r="Q79" s="19"/>
      <c r="AB79" s="19"/>
    </row>
    <row r="80" spans="1:33" ht="45">
      <c r="A80" s="791"/>
      <c r="B80" s="792"/>
      <c r="C80" s="99" t="s">
        <v>213</v>
      </c>
      <c r="D80" s="100" t="s">
        <v>214</v>
      </c>
      <c r="E80" s="303" t="s">
        <v>215</v>
      </c>
      <c r="F80" s="304" t="s">
        <v>216</v>
      </c>
      <c r="G80" s="558"/>
      <c r="H80" s="559"/>
      <c r="I80" s="15"/>
      <c r="J80" s="2"/>
      <c r="K80" s="2"/>
      <c r="L80" s="2"/>
      <c r="M80" s="20"/>
      <c r="N80" s="19"/>
      <c r="O80" s="19"/>
      <c r="P80" s="19"/>
      <c r="Q80" s="19"/>
    </row>
    <row r="81" spans="1:17">
      <c r="A81" s="796" t="s">
        <v>217</v>
      </c>
      <c r="B81" s="797"/>
      <c r="C81" s="212"/>
      <c r="D81" s="212"/>
      <c r="E81" s="212"/>
      <c r="F81" s="101"/>
      <c r="G81" s="558"/>
      <c r="H81" s="559"/>
      <c r="I81" s="15"/>
      <c r="J81" s="2"/>
      <c r="K81" s="2"/>
      <c r="L81" s="2"/>
      <c r="M81" s="20"/>
      <c r="N81" s="19"/>
      <c r="O81" s="19"/>
      <c r="P81" s="19"/>
      <c r="Q81" s="19"/>
    </row>
    <row r="82" spans="1:17" ht="15.75" thickBot="1">
      <c r="A82" s="807" t="s">
        <v>218</v>
      </c>
      <c r="B82" s="808"/>
      <c r="C82" s="212">
        <v>0</v>
      </c>
      <c r="D82" s="212">
        <v>0</v>
      </c>
      <c r="E82" s="212">
        <v>0</v>
      </c>
      <c r="F82" s="212">
        <v>0</v>
      </c>
      <c r="G82" s="558"/>
      <c r="H82" s="559"/>
      <c r="I82" s="15"/>
      <c r="J82" s="2"/>
      <c r="K82" s="2"/>
      <c r="L82" s="2"/>
      <c r="M82" s="20"/>
      <c r="N82" s="19"/>
      <c r="O82" s="19"/>
      <c r="P82" s="19"/>
      <c r="Q82" s="19"/>
    </row>
    <row r="83" spans="1:17">
      <c r="A83" s="796" t="s">
        <v>219</v>
      </c>
      <c r="B83" s="797"/>
      <c r="C83" s="212">
        <v>0</v>
      </c>
      <c r="D83" s="212">
        <v>0</v>
      </c>
      <c r="E83" s="212"/>
      <c r="F83" s="101">
        <f>SUM(C83:E83)</f>
        <v>0</v>
      </c>
      <c r="G83" s="229"/>
      <c r="H83" s="240"/>
      <c r="I83" s="240"/>
      <c r="J83" s="2"/>
      <c r="K83" s="2"/>
      <c r="L83" s="2"/>
      <c r="M83" s="20"/>
      <c r="N83" s="19"/>
      <c r="O83" s="19"/>
      <c r="P83" s="19"/>
      <c r="Q83" s="19"/>
    </row>
    <row r="84" spans="1:17" ht="15.75" thickBot="1">
      <c r="A84" s="807" t="s">
        <v>220</v>
      </c>
      <c r="B84" s="808"/>
      <c r="C84" s="213">
        <v>0</v>
      </c>
      <c r="D84" s="213">
        <v>0</v>
      </c>
      <c r="E84" s="213">
        <v>0</v>
      </c>
      <c r="F84" s="102">
        <f>SUM(C84:E84)</f>
        <v>0</v>
      </c>
      <c r="G84" s="229"/>
      <c r="H84" s="15"/>
      <c r="I84" s="15"/>
      <c r="J84" s="2"/>
      <c r="K84" s="2"/>
      <c r="L84" s="2"/>
      <c r="M84" s="19"/>
      <c r="N84" s="19"/>
      <c r="O84" s="19"/>
      <c r="P84" s="19"/>
      <c r="Q84" s="19"/>
    </row>
    <row r="85" spans="1:17">
      <c r="A85" s="2"/>
      <c r="B85" s="2"/>
      <c r="C85" s="2"/>
      <c r="D85" s="2"/>
      <c r="E85" s="2"/>
      <c r="F85" s="2"/>
      <c r="G85" s="2"/>
      <c r="H85" s="2"/>
      <c r="I85" s="2"/>
      <c r="J85" s="2"/>
      <c r="K85" s="2"/>
      <c r="L85" s="2"/>
      <c r="M85" s="19"/>
      <c r="N85" s="19"/>
      <c r="O85" s="19"/>
      <c r="P85" s="19"/>
      <c r="Q85" s="19"/>
    </row>
    <row r="86" spans="1:17">
      <c r="A86" s="2"/>
      <c r="B86" s="2"/>
      <c r="C86" s="2"/>
      <c r="D86" s="2"/>
      <c r="E86" s="2"/>
      <c r="F86" s="2"/>
      <c r="G86" s="2"/>
      <c r="H86" s="2"/>
      <c r="I86" s="2"/>
      <c r="J86" s="2"/>
      <c r="K86" s="2"/>
      <c r="L86" s="2"/>
      <c r="M86" s="19"/>
      <c r="N86" s="19"/>
      <c r="O86" s="19"/>
    </row>
    <row r="87" spans="1:17" ht="18.75">
      <c r="A87" s="96" t="s">
        <v>221</v>
      </c>
      <c r="B87" s="2"/>
      <c r="C87" s="2"/>
      <c r="D87" s="2"/>
      <c r="E87" s="2"/>
      <c r="F87" s="2"/>
      <c r="G87" s="2"/>
      <c r="H87" s="2"/>
      <c r="I87" s="2"/>
      <c r="J87" s="2"/>
      <c r="K87" s="2"/>
      <c r="L87" s="2"/>
      <c r="M87" s="19"/>
      <c r="N87" s="19"/>
      <c r="O87" s="19"/>
    </row>
    <row r="88" spans="1:17" ht="15.75" thickBot="1">
      <c r="A88" s="2"/>
      <c r="B88" s="2"/>
      <c r="C88" s="2"/>
      <c r="D88" s="2"/>
      <c r="E88" s="2"/>
      <c r="F88" s="2"/>
      <c r="G88" s="2"/>
      <c r="H88" s="2"/>
      <c r="I88" s="2"/>
      <c r="J88" s="2"/>
      <c r="K88" s="2"/>
      <c r="L88" s="2"/>
      <c r="M88" s="19"/>
      <c r="N88" s="19"/>
      <c r="O88" s="19"/>
    </row>
    <row r="89" spans="1:17">
      <c r="A89" s="444" t="s">
        <v>222</v>
      </c>
      <c r="B89" s="300" t="s">
        <v>223</v>
      </c>
      <c r="C89" s="300" t="s">
        <v>224</v>
      </c>
      <c r="D89" s="103" t="s">
        <v>225</v>
      </c>
      <c r="E89" s="15"/>
      <c r="F89" s="15"/>
      <c r="G89" s="15"/>
      <c r="H89" s="559"/>
      <c r="I89" s="2"/>
      <c r="J89" s="2"/>
      <c r="K89" s="2"/>
      <c r="L89" s="2"/>
      <c r="M89" s="19"/>
      <c r="N89" s="19"/>
      <c r="O89" s="19"/>
    </row>
    <row r="90" spans="1:17" ht="15.75" thickBot="1">
      <c r="A90" s="326" t="s">
        <v>226</v>
      </c>
      <c r="B90" s="615">
        <v>4</v>
      </c>
      <c r="C90" s="615">
        <v>4</v>
      </c>
      <c r="D90" s="620">
        <f>B90-C90</f>
        <v>0</v>
      </c>
      <c r="E90" s="15"/>
      <c r="F90" s="15"/>
      <c r="G90" s="15"/>
      <c r="H90" s="559"/>
      <c r="I90" s="2"/>
      <c r="J90" s="2"/>
      <c r="K90" s="2"/>
      <c r="L90" s="2"/>
      <c r="M90" s="19"/>
      <c r="N90" s="19"/>
      <c r="O90" s="19"/>
    </row>
    <row r="91" spans="1:17" ht="15.75" thickBot="1">
      <c r="A91" s="326" t="s">
        <v>227</v>
      </c>
      <c r="B91" s="616">
        <v>2</v>
      </c>
      <c r="C91" s="616">
        <v>2</v>
      </c>
      <c r="D91" s="618">
        <v>0</v>
      </c>
      <c r="E91" s="15"/>
      <c r="F91" s="15"/>
      <c r="G91" s="15"/>
      <c r="H91" s="559"/>
      <c r="I91" s="2"/>
      <c r="J91" s="2"/>
      <c r="K91" s="2"/>
      <c r="L91" s="2"/>
      <c r="M91" s="19"/>
      <c r="N91" s="19"/>
      <c r="O91" s="19"/>
    </row>
    <row r="92" spans="1:17" ht="15.75" thickBot="1">
      <c r="A92" s="326" t="s">
        <v>693</v>
      </c>
      <c r="B92" s="616">
        <v>16</v>
      </c>
      <c r="C92" s="616">
        <v>16</v>
      </c>
      <c r="D92" s="619">
        <f>+B92-C92</f>
        <v>0</v>
      </c>
      <c r="E92" s="216"/>
      <c r="F92" s="560"/>
      <c r="G92" s="15"/>
      <c r="H92" s="240"/>
      <c r="I92" s="2"/>
      <c r="J92" s="2"/>
      <c r="K92" s="2"/>
      <c r="L92" s="2"/>
      <c r="M92" s="19"/>
      <c r="N92" s="19"/>
      <c r="O92" s="19"/>
    </row>
    <row r="93" spans="1:17">
      <c r="A93" s="2"/>
      <c r="B93" s="561"/>
      <c r="C93" s="561"/>
      <c r="D93" s="561"/>
      <c r="E93" s="2"/>
      <c r="F93" s="2"/>
      <c r="G93" s="2"/>
      <c r="H93" s="2"/>
      <c r="I93" s="2"/>
      <c r="J93" s="2"/>
      <c r="K93" s="2"/>
      <c r="L93" s="2"/>
      <c r="M93" s="19"/>
      <c r="N93" s="19"/>
      <c r="O93" s="19"/>
    </row>
    <row r="94" spans="1:17" ht="18.75">
      <c r="A94" s="96" t="s">
        <v>228</v>
      </c>
      <c r="B94" s="2"/>
      <c r="C94" s="2"/>
      <c r="D94" s="2"/>
      <c r="E94" s="2"/>
      <c r="F94" s="2"/>
      <c r="G94" s="2"/>
      <c r="H94" s="2"/>
      <c r="I94" s="2"/>
      <c r="J94" s="2"/>
      <c r="K94" s="2"/>
      <c r="L94" s="2"/>
      <c r="M94" s="19"/>
      <c r="N94" s="19"/>
      <c r="O94" s="19"/>
    </row>
    <row r="95" spans="1:17" ht="15.75" thickBot="1">
      <c r="A95" s="2"/>
      <c r="B95" s="2"/>
      <c r="C95" s="2"/>
      <c r="D95" s="2"/>
      <c r="E95" s="2"/>
      <c r="F95" s="2"/>
      <c r="G95" s="2"/>
      <c r="H95" s="2"/>
      <c r="I95" s="2"/>
      <c r="J95" s="2"/>
      <c r="K95" s="2"/>
      <c r="L95" s="2"/>
      <c r="M95" s="19"/>
      <c r="N95" s="19"/>
      <c r="O95" s="19"/>
    </row>
    <row r="96" spans="1:17" ht="30">
      <c r="A96" s="459"/>
      <c r="B96" s="475" t="s">
        <v>229</v>
      </c>
      <c r="C96" s="476" t="s">
        <v>230</v>
      </c>
      <c r="D96" s="476" t="s">
        <v>231</v>
      </c>
      <c r="E96" s="477" t="s">
        <v>232</v>
      </c>
      <c r="F96" s="478" t="s">
        <v>233</v>
      </c>
      <c r="G96" s="220"/>
      <c r="H96" s="559"/>
      <c r="I96" s="2"/>
      <c r="J96" s="2"/>
      <c r="K96" s="2"/>
      <c r="L96" s="2"/>
      <c r="M96" s="19"/>
      <c r="N96" s="19"/>
      <c r="O96" s="19"/>
    </row>
    <row r="97" spans="1:34" ht="15.75" thickBot="1">
      <c r="A97" s="479" t="s">
        <v>234</v>
      </c>
      <c r="B97" s="445">
        <v>24</v>
      </c>
      <c r="C97" s="446">
        <v>28</v>
      </c>
      <c r="D97" s="446">
        <v>28</v>
      </c>
      <c r="E97" s="446">
        <v>28</v>
      </c>
      <c r="F97" s="446">
        <v>28</v>
      </c>
      <c r="G97" s="241"/>
      <c r="H97" s="229"/>
      <c r="I97" s="2"/>
      <c r="J97" s="2"/>
      <c r="K97" s="2"/>
      <c r="L97" s="2"/>
      <c r="M97" s="19"/>
      <c r="N97" s="19"/>
      <c r="O97" s="19"/>
    </row>
    <row r="98" spans="1:34" ht="15.75" thickBot="1">
      <c r="A98" s="480" t="s">
        <v>235</v>
      </c>
      <c r="B98" s="617">
        <v>3</v>
      </c>
      <c r="C98" s="446">
        <v>12</v>
      </c>
      <c r="D98" s="446">
        <v>12</v>
      </c>
      <c r="E98" s="446">
        <v>12</v>
      </c>
      <c r="F98" s="481">
        <v>12</v>
      </c>
      <c r="G98" s="241"/>
      <c r="H98" s="229"/>
      <c r="I98" s="2"/>
      <c r="J98" s="2"/>
      <c r="K98" s="2"/>
      <c r="L98" s="2"/>
      <c r="M98" s="19"/>
      <c r="N98" s="19"/>
      <c r="O98" s="19"/>
    </row>
    <row r="99" spans="1:34">
      <c r="A99" s="2"/>
      <c r="B99" s="2"/>
      <c r="C99" s="2"/>
      <c r="D99" s="2"/>
      <c r="E99" s="2"/>
      <c r="F99" s="2"/>
      <c r="G99" s="2"/>
      <c r="I99" s="2"/>
      <c r="J99" s="2"/>
      <c r="K99" s="2"/>
      <c r="L99" s="2"/>
      <c r="M99" s="19"/>
      <c r="N99" s="19"/>
      <c r="O99" s="19"/>
    </row>
    <row r="100" spans="1:34" ht="18.75">
      <c r="A100" s="96" t="s">
        <v>236</v>
      </c>
      <c r="B100" s="2"/>
      <c r="C100" s="2"/>
      <c r="D100" s="2"/>
      <c r="E100" s="2"/>
      <c r="F100" s="2"/>
      <c r="G100" s="2"/>
      <c r="H100" s="2"/>
      <c r="I100" s="2"/>
      <c r="J100" s="2"/>
      <c r="K100" s="2"/>
      <c r="L100" s="2"/>
      <c r="M100" s="19"/>
      <c r="N100" s="19"/>
      <c r="O100" s="19"/>
    </row>
    <row r="101" spans="1:34" ht="15.75" thickBot="1">
      <c r="A101" s="2"/>
      <c r="B101" s="2"/>
      <c r="C101" s="2"/>
      <c r="D101" s="2"/>
      <c r="E101" s="2"/>
      <c r="F101" s="2"/>
      <c r="G101" s="2"/>
      <c r="H101" s="2"/>
      <c r="I101" s="2"/>
      <c r="J101" s="2"/>
      <c r="K101" s="2"/>
      <c r="L101" s="2"/>
      <c r="M101" s="19"/>
      <c r="N101" s="19"/>
      <c r="O101" s="19"/>
    </row>
    <row r="102" spans="1:34" ht="27.75" customHeight="1">
      <c r="A102" s="459"/>
      <c r="B102" s="460" t="s">
        <v>237</v>
      </c>
      <c r="C102" s="460" t="s">
        <v>238</v>
      </c>
      <c r="D102" s="461" t="s">
        <v>239</v>
      </c>
      <c r="E102" s="2"/>
      <c r="F102" s="2"/>
      <c r="G102" s="2"/>
      <c r="H102" s="2"/>
      <c r="I102" s="19"/>
      <c r="J102" s="19"/>
      <c r="K102" s="19"/>
      <c r="M102"/>
      <c r="N102" s="19"/>
      <c r="AE102" s="33"/>
      <c r="AH102"/>
    </row>
    <row r="103" spans="1:34" ht="27.75" customHeight="1">
      <c r="A103" s="462" t="s">
        <v>240</v>
      </c>
      <c r="B103" s="212">
        <v>0</v>
      </c>
      <c r="C103" s="214">
        <v>0</v>
      </c>
      <c r="D103" s="463">
        <v>0</v>
      </c>
      <c r="E103" s="2"/>
      <c r="F103" s="2"/>
      <c r="G103" s="2"/>
      <c r="H103" s="2"/>
      <c r="I103" s="19"/>
      <c r="J103" s="19"/>
      <c r="K103" s="19"/>
      <c r="M103"/>
      <c r="N103" s="19"/>
      <c r="AE103" s="33"/>
      <c r="AH103"/>
    </row>
    <row r="104" spans="1:34" ht="27.75" customHeight="1">
      <c r="A104" s="462" t="s">
        <v>241</v>
      </c>
      <c r="B104" s="212">
        <v>32</v>
      </c>
      <c r="C104" s="214">
        <v>32</v>
      </c>
      <c r="D104" s="463">
        <f>B104-C104</f>
        <v>0</v>
      </c>
      <c r="E104" s="2"/>
      <c r="F104" s="2"/>
      <c r="G104" s="2"/>
      <c r="H104" s="2"/>
      <c r="I104" s="19"/>
      <c r="J104" s="19"/>
      <c r="K104" s="19"/>
      <c r="M104"/>
      <c r="N104" s="19"/>
      <c r="AE104" s="33"/>
      <c r="AH104"/>
    </row>
    <row r="105" spans="1:34">
      <c r="A105" s="462" t="s">
        <v>242</v>
      </c>
      <c r="B105" s="212"/>
      <c r="C105" s="214"/>
      <c r="D105" s="463">
        <f t="shared" ref="D105:D106" si="1">B105-C105</f>
        <v>0</v>
      </c>
      <c r="E105" s="2"/>
      <c r="F105" s="2"/>
      <c r="G105" s="2"/>
      <c r="H105" s="2"/>
      <c r="I105" s="19"/>
      <c r="J105" s="19"/>
      <c r="K105" s="19"/>
      <c r="M105"/>
      <c r="N105" s="19"/>
      <c r="AE105" s="33"/>
      <c r="AH105"/>
    </row>
    <row r="106" spans="1:34" ht="15.75" thickBot="1">
      <c r="A106" s="464" t="s">
        <v>243</v>
      </c>
      <c r="B106" s="465">
        <v>12</v>
      </c>
      <c r="C106" s="466">
        <v>12</v>
      </c>
      <c r="D106" s="467">
        <f t="shared" si="1"/>
        <v>0</v>
      </c>
      <c r="E106" s="2"/>
      <c r="F106" s="2"/>
      <c r="G106" s="2"/>
      <c r="H106" s="2"/>
      <c r="I106" s="19"/>
      <c r="J106" s="19"/>
      <c r="K106" s="19"/>
      <c r="M106"/>
      <c r="N106" s="19"/>
      <c r="AE106" s="33"/>
      <c r="AH106"/>
    </row>
    <row r="107" spans="1:34">
      <c r="A107" s="2"/>
      <c r="B107" s="2"/>
      <c r="C107" s="2"/>
      <c r="D107" s="2"/>
      <c r="E107" s="2"/>
      <c r="F107" s="2"/>
      <c r="G107" s="2"/>
      <c r="H107" s="2"/>
      <c r="I107" s="2"/>
      <c r="J107" s="2"/>
      <c r="K107" s="2"/>
      <c r="L107" s="2"/>
      <c r="M107" s="19"/>
      <c r="N107" s="19"/>
      <c r="O107" s="19"/>
    </row>
    <row r="108" spans="1:34" ht="18.75">
      <c r="A108" s="96" t="s">
        <v>244</v>
      </c>
      <c r="B108" s="2"/>
      <c r="C108" s="2"/>
      <c r="D108" s="2"/>
      <c r="E108" s="2"/>
      <c r="F108" s="2"/>
      <c r="G108" s="2"/>
      <c r="H108" s="2"/>
      <c r="I108" s="2"/>
      <c r="J108" s="2"/>
      <c r="K108" s="2"/>
      <c r="L108" s="2"/>
      <c r="M108" s="19"/>
      <c r="N108" s="19"/>
      <c r="O108" s="19"/>
    </row>
    <row r="109" spans="1:34" ht="15.75" thickBot="1">
      <c r="A109" s="2"/>
      <c r="B109" s="2"/>
      <c r="C109" s="2"/>
      <c r="D109" s="2"/>
      <c r="E109" s="2"/>
      <c r="F109" s="2"/>
      <c r="G109" s="2"/>
      <c r="H109" s="15"/>
      <c r="I109" s="15"/>
      <c r="J109" s="15"/>
      <c r="K109" s="15"/>
      <c r="L109" s="15"/>
      <c r="M109" s="20"/>
      <c r="N109" s="20"/>
      <c r="O109" s="20"/>
    </row>
    <row r="110" spans="1:34">
      <c r="A110" s="379"/>
      <c r="B110" s="268" t="s">
        <v>135</v>
      </c>
      <c r="C110" s="268" t="s">
        <v>150</v>
      </c>
      <c r="D110" s="268" t="s">
        <v>151</v>
      </c>
      <c r="E110" s="268" t="s">
        <v>152</v>
      </c>
      <c r="F110" s="268" t="s">
        <v>153</v>
      </c>
      <c r="G110" s="268" t="s">
        <v>154</v>
      </c>
      <c r="H110" s="268" t="s">
        <v>155</v>
      </c>
      <c r="I110" s="268" t="s">
        <v>156</v>
      </c>
      <c r="J110" s="268" t="s">
        <v>157</v>
      </c>
      <c r="K110" s="268" t="s">
        <v>158</v>
      </c>
      <c r="L110" s="268" t="s">
        <v>159</v>
      </c>
      <c r="M110" s="468" t="s">
        <v>160</v>
      </c>
      <c r="N110" s="20"/>
      <c r="O110" s="20"/>
    </row>
    <row r="111" spans="1:34" ht="15" customHeight="1">
      <c r="A111" s="380" t="s">
        <v>245</v>
      </c>
      <c r="B111" s="455">
        <v>4455859.42</v>
      </c>
      <c r="C111" s="455"/>
      <c r="D111" s="455"/>
      <c r="E111" s="260"/>
      <c r="F111" s="260"/>
      <c r="G111" s="260"/>
      <c r="H111" s="260"/>
      <c r="I111" s="260"/>
      <c r="J111" s="260"/>
      <c r="K111" s="260"/>
      <c r="L111" s="260"/>
      <c r="M111" s="469"/>
      <c r="N111" s="20"/>
      <c r="O111" s="20"/>
    </row>
    <row r="112" spans="1:34" ht="15" customHeight="1">
      <c r="A112" s="380" t="s">
        <v>246</v>
      </c>
      <c r="B112" s="455">
        <v>2863012.59</v>
      </c>
      <c r="C112" s="455"/>
      <c r="D112" s="455"/>
      <c r="E112" s="260"/>
      <c r="F112" s="260"/>
      <c r="G112" s="260"/>
      <c r="H112" s="260"/>
      <c r="I112" s="260"/>
      <c r="J112" s="260"/>
      <c r="K112" s="260"/>
      <c r="L112" s="260"/>
      <c r="M112" s="469"/>
      <c r="N112" s="20"/>
      <c r="O112" s="20"/>
    </row>
    <row r="113" spans="1:35" ht="15" customHeight="1">
      <c r="A113" s="380" t="s">
        <v>247</v>
      </c>
      <c r="B113" s="455">
        <v>1337830.7</v>
      </c>
      <c r="C113" s="455"/>
      <c r="D113" s="455"/>
      <c r="E113" s="260"/>
      <c r="F113" s="260"/>
      <c r="G113" s="260"/>
      <c r="H113" s="260"/>
      <c r="I113" s="260"/>
      <c r="J113" s="260"/>
      <c r="K113" s="260"/>
      <c r="L113" s="260"/>
      <c r="M113" s="469"/>
      <c r="N113" s="20"/>
      <c r="O113" s="20"/>
    </row>
    <row r="114" spans="1:35" ht="15" customHeight="1">
      <c r="A114" s="381" t="s">
        <v>248</v>
      </c>
      <c r="B114" s="456">
        <v>4455859.42</v>
      </c>
      <c r="C114" s="456"/>
      <c r="D114" s="456"/>
      <c r="E114" s="261"/>
      <c r="F114" s="261">
        <f>F111</f>
        <v>0</v>
      </c>
      <c r="G114" s="261"/>
      <c r="H114" s="261"/>
      <c r="I114" s="261"/>
      <c r="J114" s="261"/>
      <c r="K114" s="261"/>
      <c r="L114" s="261"/>
      <c r="M114" s="470"/>
      <c r="N114" s="20"/>
      <c r="O114" s="20"/>
    </row>
    <row r="115" spans="1:35" ht="15" customHeight="1">
      <c r="A115" s="381" t="s">
        <v>249</v>
      </c>
      <c r="B115" s="456">
        <v>2863012.59</v>
      </c>
      <c r="C115" s="456"/>
      <c r="D115" s="456">
        <f>D112</f>
        <v>0</v>
      </c>
      <c r="E115" s="261">
        <f>E112</f>
        <v>0</v>
      </c>
      <c r="F115" s="261">
        <f>F112</f>
        <v>0</v>
      </c>
      <c r="G115" s="261"/>
      <c r="H115" s="261"/>
      <c r="I115" s="261"/>
      <c r="J115" s="261"/>
      <c r="K115" s="261"/>
      <c r="L115" s="261"/>
      <c r="M115" s="470"/>
      <c r="N115" s="20"/>
      <c r="O115" s="20"/>
    </row>
    <row r="116" spans="1:35">
      <c r="A116" s="471" t="s">
        <v>250</v>
      </c>
      <c r="B116" s="472">
        <v>1337830.7</v>
      </c>
      <c r="C116" s="472"/>
      <c r="D116" s="472">
        <f>+D113+C116</f>
        <v>0</v>
      </c>
      <c r="E116" s="473">
        <f>D116+E113</f>
        <v>0</v>
      </c>
      <c r="F116" s="261">
        <f>F113</f>
        <v>0</v>
      </c>
      <c r="G116" s="473"/>
      <c r="H116" s="473"/>
      <c r="I116" s="473"/>
      <c r="J116" s="473"/>
      <c r="K116" s="473"/>
      <c r="L116" s="473"/>
      <c r="M116" s="474"/>
      <c r="N116" s="20"/>
      <c r="O116" s="20"/>
    </row>
    <row r="117" spans="1:35">
      <c r="A117" s="3"/>
      <c r="B117" s="2"/>
      <c r="C117" s="2"/>
      <c r="D117" s="2"/>
      <c r="E117" s="2"/>
      <c r="F117" s="2"/>
      <c r="G117" s="2"/>
      <c r="H117" s="15"/>
      <c r="I117" s="104"/>
      <c r="J117" s="562"/>
      <c r="K117" s="15"/>
      <c r="L117" s="105"/>
      <c r="M117" s="20"/>
      <c r="N117" s="20"/>
      <c r="O117" s="20"/>
    </row>
    <row r="118" spans="1:35">
      <c r="A118" s="2" t="s">
        <v>251</v>
      </c>
      <c r="B118" s="2"/>
      <c r="C118" s="2"/>
      <c r="D118" s="2"/>
      <c r="E118" s="2"/>
      <c r="F118" s="2"/>
      <c r="G118" s="2"/>
      <c r="H118" s="15"/>
      <c r="I118" s="104"/>
      <c r="J118" s="562"/>
      <c r="K118" s="15"/>
      <c r="L118" s="105"/>
      <c r="M118" s="20"/>
      <c r="N118" s="20"/>
      <c r="O118" s="20"/>
    </row>
    <row r="119" spans="1:35">
      <c r="B119" s="2"/>
      <c r="C119" s="2"/>
      <c r="D119" s="2"/>
      <c r="E119" s="2"/>
      <c r="F119" s="2"/>
      <c r="G119" s="2"/>
      <c r="H119" s="15"/>
      <c r="I119" s="104"/>
      <c r="J119" s="105"/>
      <c r="K119" s="15"/>
      <c r="L119" s="105"/>
      <c r="M119" s="20"/>
      <c r="N119" s="20"/>
      <c r="O119" s="20"/>
    </row>
    <row r="120" spans="1:35">
      <c r="A120" s="3"/>
      <c r="B120" s="3"/>
      <c r="C120" s="3"/>
      <c r="D120" s="3"/>
      <c r="E120" s="3"/>
      <c r="F120" s="3"/>
      <c r="G120" s="3"/>
      <c r="H120" s="15"/>
      <c r="I120" s="15"/>
      <c r="J120" s="15"/>
      <c r="K120" s="15"/>
      <c r="L120" s="15"/>
      <c r="M120" s="20"/>
      <c r="N120" s="20"/>
      <c r="O120" s="20"/>
    </row>
    <row r="121" spans="1:35" ht="19.5" thickBot="1">
      <c r="A121" s="96" t="s">
        <v>252</v>
      </c>
      <c r="B121" s="3"/>
      <c r="C121" s="3"/>
      <c r="D121" s="3"/>
      <c r="E121" s="3"/>
      <c r="F121" s="3"/>
      <c r="G121" s="3"/>
      <c r="H121" s="15"/>
      <c r="I121" s="15"/>
      <c r="J121" s="15"/>
      <c r="K121" s="15"/>
      <c r="L121" s="15"/>
      <c r="M121" s="20"/>
      <c r="N121" s="20"/>
      <c r="O121" s="20"/>
    </row>
    <row r="122" spans="1:35" ht="127.5">
      <c r="A122" s="482" t="s">
        <v>253</v>
      </c>
      <c r="B122" s="483" t="s">
        <v>254</v>
      </c>
      <c r="C122" s="484" t="s">
        <v>255</v>
      </c>
      <c r="D122" s="484" t="s">
        <v>256</v>
      </c>
      <c r="E122" s="485" t="s">
        <v>257</v>
      </c>
      <c r="F122" s="486" t="s">
        <v>258</v>
      </c>
      <c r="G122" s="487" t="s">
        <v>259</v>
      </c>
      <c r="H122" s="484" t="s">
        <v>260</v>
      </c>
      <c r="I122" s="484" t="s">
        <v>261</v>
      </c>
      <c r="J122" s="488" t="s">
        <v>262</v>
      </c>
      <c r="K122" s="2"/>
      <c r="L122" s="20"/>
      <c r="M122" s="20"/>
      <c r="N122" s="20"/>
      <c r="O122" s="19"/>
      <c r="Q122" s="20"/>
      <c r="AF122"/>
      <c r="AI122" s="33"/>
    </row>
    <row r="123" spans="1:35">
      <c r="A123" s="895" t="s">
        <v>263</v>
      </c>
      <c r="B123" s="533" t="s">
        <v>264</v>
      </c>
      <c r="C123" s="534">
        <v>2</v>
      </c>
      <c r="D123" s="536">
        <f t="shared" ref="D123:D136" si="2">IF(ISBLANK(C123),"",C123*30)</f>
        <v>60</v>
      </c>
      <c r="E123" s="542">
        <v>32</v>
      </c>
      <c r="F123" s="537">
        <f t="shared" ref="F123:F137" si="3">E123*D123</f>
        <v>1920</v>
      </c>
      <c r="G123" s="544">
        <f>18175+8010</f>
        <v>26185</v>
      </c>
      <c r="H123" s="538">
        <f t="shared" ref="H123:H137" si="4">G123/F123</f>
        <v>13.638020833333334</v>
      </c>
      <c r="I123" s="539">
        <v>3</v>
      </c>
      <c r="J123" s="540">
        <f t="shared" ref="J123:J137" si="5">IF(AND(H123&gt;0,I123&gt;0),H123-I123,"")</f>
        <v>10.638020833333334</v>
      </c>
      <c r="K123" s="2"/>
      <c r="L123" s="20"/>
      <c r="M123" s="20"/>
      <c r="N123" s="20"/>
      <c r="O123" s="19"/>
      <c r="Q123" s="20"/>
      <c r="AF123"/>
      <c r="AI123" s="33"/>
    </row>
    <row r="124" spans="1:35">
      <c r="A124" s="896"/>
      <c r="B124" s="533" t="s">
        <v>265</v>
      </c>
      <c r="C124" s="534">
        <v>2</v>
      </c>
      <c r="D124" s="536">
        <f t="shared" si="2"/>
        <v>60</v>
      </c>
      <c r="E124" s="542">
        <v>61</v>
      </c>
      <c r="F124" s="537">
        <f t="shared" si="3"/>
        <v>3660</v>
      </c>
      <c r="G124" s="544">
        <v>37459</v>
      </c>
      <c r="H124" s="538">
        <f t="shared" si="4"/>
        <v>10.234699453551913</v>
      </c>
      <c r="I124" s="539">
        <v>3</v>
      </c>
      <c r="J124" s="540">
        <f t="shared" si="5"/>
        <v>7.2346994535519134</v>
      </c>
      <c r="K124" s="2"/>
      <c r="L124" s="20"/>
      <c r="M124" s="20"/>
      <c r="N124" s="20"/>
      <c r="O124" s="19"/>
      <c r="Q124" s="20"/>
      <c r="AF124"/>
      <c r="AI124" s="33"/>
    </row>
    <row r="125" spans="1:35">
      <c r="A125" s="896"/>
      <c r="B125" s="533" t="s">
        <v>266</v>
      </c>
      <c r="C125" s="534">
        <v>2</v>
      </c>
      <c r="D125" s="536">
        <f t="shared" si="2"/>
        <v>60</v>
      </c>
      <c r="E125" s="542">
        <v>2</v>
      </c>
      <c r="F125" s="537">
        <f>E125*D125</f>
        <v>120</v>
      </c>
      <c r="G125" s="544">
        <v>1980</v>
      </c>
      <c r="H125" s="538">
        <f t="shared" si="4"/>
        <v>16.5</v>
      </c>
      <c r="I125" s="539">
        <v>3</v>
      </c>
      <c r="J125" s="540">
        <f t="shared" si="5"/>
        <v>13.5</v>
      </c>
      <c r="K125" s="2"/>
      <c r="L125" s="20"/>
      <c r="M125" s="20"/>
      <c r="N125" s="20"/>
      <c r="O125" s="19"/>
      <c r="Q125" s="20"/>
      <c r="AF125"/>
      <c r="AI125" s="33"/>
    </row>
    <row r="126" spans="1:35">
      <c r="A126" s="896"/>
      <c r="B126" s="533" t="s">
        <v>267</v>
      </c>
      <c r="C126" s="534">
        <v>2</v>
      </c>
      <c r="D126" s="536">
        <f t="shared" si="2"/>
        <v>60</v>
      </c>
      <c r="E126" s="542">
        <v>433</v>
      </c>
      <c r="F126" s="537">
        <f t="shared" si="3"/>
        <v>25980</v>
      </c>
      <c r="G126" s="544">
        <v>222489</v>
      </c>
      <c r="H126" s="538">
        <f t="shared" si="4"/>
        <v>8.5638568129330253</v>
      </c>
      <c r="I126" s="539">
        <v>3</v>
      </c>
      <c r="J126" s="540">
        <f t="shared" si="5"/>
        <v>5.5638568129330253</v>
      </c>
      <c r="K126" s="2"/>
      <c r="L126" s="20"/>
      <c r="M126" s="20"/>
      <c r="N126" s="20"/>
      <c r="O126" s="19"/>
      <c r="Q126" s="20"/>
      <c r="AF126"/>
      <c r="AI126" s="33"/>
    </row>
    <row r="127" spans="1:35">
      <c r="A127" s="896"/>
      <c r="B127" s="533" t="s">
        <v>268</v>
      </c>
      <c r="C127" s="534">
        <v>3</v>
      </c>
      <c r="D127" s="536">
        <f t="shared" si="2"/>
        <v>90</v>
      </c>
      <c r="E127" s="542">
        <v>175</v>
      </c>
      <c r="F127" s="537">
        <f t="shared" si="3"/>
        <v>15750</v>
      </c>
      <c r="G127" s="544">
        <v>147410</v>
      </c>
      <c r="H127" s="538">
        <f t="shared" si="4"/>
        <v>9.3593650793650802</v>
      </c>
      <c r="I127" s="539">
        <v>3</v>
      </c>
      <c r="J127" s="540">
        <f t="shared" si="5"/>
        <v>6.3593650793650802</v>
      </c>
      <c r="K127" s="2"/>
      <c r="L127" s="20"/>
      <c r="M127" s="20"/>
      <c r="N127" s="20"/>
      <c r="O127" s="19"/>
      <c r="Q127" s="20"/>
      <c r="AF127"/>
      <c r="AI127" s="33"/>
    </row>
    <row r="128" spans="1:35">
      <c r="A128" s="896"/>
      <c r="B128" s="533" t="s">
        <v>269</v>
      </c>
      <c r="C128" s="534">
        <v>1</v>
      </c>
      <c r="D128" s="536">
        <f t="shared" si="2"/>
        <v>30</v>
      </c>
      <c r="E128" s="542">
        <v>96</v>
      </c>
      <c r="F128" s="537">
        <f t="shared" si="3"/>
        <v>2880</v>
      </c>
      <c r="G128" s="544">
        <v>32042</v>
      </c>
      <c r="H128" s="538">
        <f t="shared" si="4"/>
        <v>11.125694444444445</v>
      </c>
      <c r="I128" s="539">
        <v>3</v>
      </c>
      <c r="J128" s="540">
        <f t="shared" si="5"/>
        <v>8.125694444444445</v>
      </c>
      <c r="K128" s="2"/>
      <c r="L128" s="20"/>
      <c r="M128" s="20"/>
      <c r="N128" s="20"/>
      <c r="O128" s="19"/>
      <c r="Q128" s="20"/>
      <c r="AF128"/>
      <c r="AI128" s="33"/>
    </row>
    <row r="129" spans="1:35">
      <c r="A129" s="896"/>
      <c r="B129" s="533" t="s">
        <v>270</v>
      </c>
      <c r="C129" s="534">
        <v>4</v>
      </c>
      <c r="D129" s="536">
        <f t="shared" si="2"/>
        <v>120</v>
      </c>
      <c r="E129" s="542">
        <v>286</v>
      </c>
      <c r="F129" s="537">
        <f t="shared" si="3"/>
        <v>34320</v>
      </c>
      <c r="G129" s="544">
        <v>326996</v>
      </c>
      <c r="H129" s="538">
        <f t="shared" si="4"/>
        <v>9.5278554778554785</v>
      </c>
      <c r="I129" s="539">
        <v>3</v>
      </c>
      <c r="J129" s="540">
        <f t="shared" si="5"/>
        <v>6.5278554778554785</v>
      </c>
      <c r="K129" s="2"/>
      <c r="L129" s="20"/>
      <c r="M129" s="20"/>
      <c r="N129" s="20"/>
      <c r="O129" s="19"/>
      <c r="Q129" s="20"/>
      <c r="AF129"/>
      <c r="AI129" s="33"/>
    </row>
    <row r="130" spans="1:35">
      <c r="A130" s="896"/>
      <c r="B130" s="533" t="s">
        <v>271</v>
      </c>
      <c r="C130" s="534">
        <v>2</v>
      </c>
      <c r="D130" s="536">
        <f t="shared" si="2"/>
        <v>60</v>
      </c>
      <c r="E130" s="542">
        <v>148</v>
      </c>
      <c r="F130" s="537">
        <f t="shared" si="3"/>
        <v>8880</v>
      </c>
      <c r="G130" s="544">
        <v>39595</v>
      </c>
      <c r="H130" s="538">
        <f t="shared" si="4"/>
        <v>4.4588963963963968</v>
      </c>
      <c r="I130" s="539">
        <v>3</v>
      </c>
      <c r="J130" s="540">
        <f t="shared" si="5"/>
        <v>1.4588963963963968</v>
      </c>
      <c r="K130" s="2"/>
      <c r="L130" s="20"/>
      <c r="M130" s="20"/>
      <c r="N130" s="20"/>
      <c r="O130" s="19"/>
      <c r="Q130" s="20"/>
      <c r="AF130"/>
      <c r="AI130" s="33"/>
    </row>
    <row r="131" spans="1:35">
      <c r="A131" s="896"/>
      <c r="B131" s="533" t="s">
        <v>272</v>
      </c>
      <c r="C131" s="534">
        <v>1</v>
      </c>
      <c r="D131" s="536">
        <f t="shared" si="2"/>
        <v>30</v>
      </c>
      <c r="E131" s="542">
        <v>5</v>
      </c>
      <c r="F131" s="537">
        <f t="shared" si="3"/>
        <v>150</v>
      </c>
      <c r="G131" s="544">
        <v>3328</v>
      </c>
      <c r="H131" s="538">
        <f t="shared" si="4"/>
        <v>22.186666666666667</v>
      </c>
      <c r="I131" s="539">
        <v>3</v>
      </c>
      <c r="J131" s="540">
        <f t="shared" si="5"/>
        <v>19.186666666666667</v>
      </c>
      <c r="K131" s="2"/>
      <c r="L131" s="20"/>
      <c r="M131" s="20"/>
      <c r="N131" s="20"/>
      <c r="O131" s="19"/>
      <c r="Q131" s="20"/>
      <c r="AF131"/>
      <c r="AI131" s="33"/>
    </row>
    <row r="132" spans="1:35">
      <c r="A132" s="896"/>
      <c r="B132" s="533" t="s">
        <v>273</v>
      </c>
      <c r="C132" s="534">
        <v>1</v>
      </c>
      <c r="D132" s="536">
        <f t="shared" si="2"/>
        <v>30</v>
      </c>
      <c r="E132" s="542">
        <v>475</v>
      </c>
      <c r="F132" s="537">
        <f t="shared" si="3"/>
        <v>14250</v>
      </c>
      <c r="G132" s="544">
        <v>110917</v>
      </c>
      <c r="H132" s="538">
        <f t="shared" si="4"/>
        <v>7.7836491228070175</v>
      </c>
      <c r="I132" s="539">
        <v>3</v>
      </c>
      <c r="J132" s="540">
        <f t="shared" si="5"/>
        <v>4.7836491228070175</v>
      </c>
      <c r="K132" s="2"/>
      <c r="L132" s="20"/>
      <c r="M132" s="20"/>
      <c r="N132" s="20"/>
      <c r="O132" s="19"/>
      <c r="Q132" s="20"/>
      <c r="AF132"/>
      <c r="AI132" s="33"/>
    </row>
    <row r="133" spans="1:35">
      <c r="A133" s="896"/>
      <c r="B133" s="533" t="s">
        <v>274</v>
      </c>
      <c r="C133" s="534">
        <v>1</v>
      </c>
      <c r="D133" s="536">
        <f t="shared" si="2"/>
        <v>30</v>
      </c>
      <c r="E133" s="542">
        <v>2617</v>
      </c>
      <c r="F133" s="537">
        <f t="shared" si="3"/>
        <v>78510</v>
      </c>
      <c r="G133" s="544">
        <v>866266</v>
      </c>
      <c r="H133" s="538">
        <f t="shared" si="4"/>
        <v>11.033830085339448</v>
      </c>
      <c r="I133" s="539">
        <v>3</v>
      </c>
      <c r="J133" s="540">
        <f t="shared" si="5"/>
        <v>8.0338300853394475</v>
      </c>
      <c r="K133" s="2"/>
      <c r="L133" s="20"/>
      <c r="M133" s="20"/>
      <c r="N133" s="20"/>
      <c r="O133" s="19"/>
      <c r="Q133" s="20"/>
      <c r="AF133"/>
      <c r="AI133" s="33"/>
    </row>
    <row r="134" spans="1:35">
      <c r="A134" s="896"/>
      <c r="B134" s="533" t="s">
        <v>275</v>
      </c>
      <c r="C134" s="535">
        <v>1</v>
      </c>
      <c r="D134" s="536">
        <f t="shared" si="2"/>
        <v>30</v>
      </c>
      <c r="E134" s="543">
        <v>168</v>
      </c>
      <c r="F134" s="537">
        <f t="shared" si="3"/>
        <v>5040</v>
      </c>
      <c r="G134" s="544">
        <v>35556</v>
      </c>
      <c r="H134" s="538">
        <f t="shared" si="4"/>
        <v>7.0547619047619046</v>
      </c>
      <c r="I134" s="539">
        <v>3</v>
      </c>
      <c r="J134" s="540">
        <f t="shared" si="5"/>
        <v>4.0547619047619046</v>
      </c>
      <c r="K134" s="2"/>
      <c r="L134" s="20"/>
      <c r="M134" s="20"/>
      <c r="N134" s="20"/>
      <c r="O134" s="19"/>
      <c r="Q134" s="20"/>
      <c r="AF134"/>
      <c r="AI134" s="33"/>
    </row>
    <row r="135" spans="1:35">
      <c r="A135" s="896"/>
      <c r="B135" s="533" t="s">
        <v>276</v>
      </c>
      <c r="C135" s="535">
        <v>6</v>
      </c>
      <c r="D135" s="536">
        <f t="shared" si="2"/>
        <v>180</v>
      </c>
      <c r="E135" s="543">
        <v>20</v>
      </c>
      <c r="F135" s="537">
        <f t="shared" si="3"/>
        <v>3600</v>
      </c>
      <c r="G135" s="544">
        <v>16489</v>
      </c>
      <c r="H135" s="538">
        <f t="shared" si="4"/>
        <v>4.5802777777777779</v>
      </c>
      <c r="I135" s="539">
        <v>3</v>
      </c>
      <c r="J135" s="540">
        <f t="shared" si="5"/>
        <v>1.5802777777777779</v>
      </c>
      <c r="K135" s="2"/>
      <c r="L135" s="20"/>
      <c r="M135" s="20"/>
      <c r="N135" s="20"/>
      <c r="O135" s="19"/>
      <c r="Q135" s="20"/>
      <c r="AF135"/>
      <c r="AI135" s="33"/>
    </row>
    <row r="136" spans="1:35">
      <c r="A136" s="896"/>
      <c r="B136" s="533" t="s">
        <v>277</v>
      </c>
      <c r="C136" s="535">
        <v>4</v>
      </c>
      <c r="D136" s="536">
        <f t="shared" si="2"/>
        <v>120</v>
      </c>
      <c r="E136" s="543">
        <v>19</v>
      </c>
      <c r="F136" s="537">
        <f t="shared" si="3"/>
        <v>2280</v>
      </c>
      <c r="G136" s="544">
        <v>11947</v>
      </c>
      <c r="H136" s="538">
        <f t="shared" si="4"/>
        <v>5.2399122807017546</v>
      </c>
      <c r="I136" s="539">
        <v>3</v>
      </c>
      <c r="J136" s="540">
        <f t="shared" si="5"/>
        <v>2.2399122807017546</v>
      </c>
      <c r="K136" s="2"/>
      <c r="L136" s="20"/>
      <c r="M136" s="20"/>
      <c r="N136" s="20"/>
      <c r="O136" s="19"/>
      <c r="Q136" s="20"/>
      <c r="AF136"/>
      <c r="AI136" s="33"/>
    </row>
    <row r="137" spans="1:35">
      <c r="A137" s="896"/>
      <c r="B137" s="533" t="s">
        <v>278</v>
      </c>
      <c r="C137" s="535"/>
      <c r="D137" s="536">
        <v>2</v>
      </c>
      <c r="E137" s="543">
        <v>3</v>
      </c>
      <c r="F137" s="537">
        <f t="shared" si="3"/>
        <v>6</v>
      </c>
      <c r="G137" s="544">
        <v>56</v>
      </c>
      <c r="H137" s="538">
        <f t="shared" si="4"/>
        <v>9.3333333333333339</v>
      </c>
      <c r="I137" s="539">
        <v>3</v>
      </c>
      <c r="J137" s="540">
        <f t="shared" si="5"/>
        <v>6.3333333333333339</v>
      </c>
      <c r="K137" s="2"/>
      <c r="L137" s="20"/>
      <c r="M137" s="20"/>
      <c r="N137" s="20"/>
      <c r="O137" s="19"/>
      <c r="Q137" s="20"/>
      <c r="AF137"/>
      <c r="AI137" s="33"/>
    </row>
    <row r="138" spans="1:35">
      <c r="A138" s="896"/>
      <c r="B138" s="541" t="s">
        <v>279</v>
      </c>
      <c r="C138" s="535">
        <v>6</v>
      </c>
      <c r="D138" s="536">
        <f>IF(ISBLANK(C138),"",C138*30)</f>
        <v>180</v>
      </c>
      <c r="E138" s="543">
        <v>10</v>
      </c>
      <c r="F138" s="537">
        <f>E138*D138</f>
        <v>1800</v>
      </c>
      <c r="G138" s="544">
        <v>7440</v>
      </c>
      <c r="H138" s="538">
        <f>G138/F138</f>
        <v>4.1333333333333337</v>
      </c>
      <c r="I138" s="539">
        <v>3</v>
      </c>
      <c r="J138" s="540">
        <f>IF(AND(H138&gt;0,I138&gt;0),H138-I138,"")</f>
        <v>1.1333333333333337</v>
      </c>
      <c r="K138" s="2"/>
      <c r="L138" s="20"/>
      <c r="M138" s="20"/>
      <c r="N138" s="20"/>
      <c r="O138" s="19"/>
      <c r="Q138" s="20"/>
      <c r="AF138"/>
      <c r="AI138" s="33"/>
    </row>
    <row r="139" spans="1:35">
      <c r="A139" s="896"/>
      <c r="B139" s="533" t="s">
        <v>280</v>
      </c>
      <c r="C139" s="535">
        <v>1</v>
      </c>
      <c r="D139" s="536">
        <v>30</v>
      </c>
      <c r="E139" s="543">
        <v>390</v>
      </c>
      <c r="F139" s="537">
        <f t="shared" ref="F139:F140" si="6">E139*D139</f>
        <v>11700</v>
      </c>
      <c r="G139" s="544">
        <v>92542</v>
      </c>
      <c r="H139" s="538">
        <f t="shared" ref="H139:H140" si="7">G139/F139</f>
        <v>7.9095726495726497</v>
      </c>
      <c r="I139" s="539">
        <v>3</v>
      </c>
      <c r="J139" s="540">
        <f t="shared" ref="J139:J140" si="8">IF(AND(H139&gt;0,I139&gt;0),H139-I139,"")</f>
        <v>4.9095726495726497</v>
      </c>
      <c r="K139" s="2"/>
      <c r="L139" s="20"/>
      <c r="M139" s="20"/>
      <c r="N139" s="20"/>
      <c r="O139" s="19"/>
      <c r="Q139" s="20"/>
      <c r="AF139"/>
      <c r="AI139" s="33"/>
    </row>
    <row r="140" spans="1:35">
      <c r="A140" s="897"/>
      <c r="B140" s="541" t="s">
        <v>281</v>
      </c>
      <c r="C140" s="535">
        <v>1</v>
      </c>
      <c r="D140" s="536">
        <v>30</v>
      </c>
      <c r="E140" s="543">
        <v>84</v>
      </c>
      <c r="F140" s="537">
        <f t="shared" si="6"/>
        <v>2520</v>
      </c>
      <c r="G140" s="544">
        <v>14926</v>
      </c>
      <c r="H140" s="538">
        <f t="shared" si="7"/>
        <v>5.9230158730158733</v>
      </c>
      <c r="I140" s="539">
        <v>3</v>
      </c>
      <c r="J140" s="540">
        <f t="shared" si="8"/>
        <v>2.9230158730158733</v>
      </c>
      <c r="K140" s="2"/>
      <c r="L140" s="20"/>
      <c r="M140" s="20"/>
      <c r="N140" s="20"/>
      <c r="O140" s="19"/>
      <c r="Q140" s="20"/>
      <c r="AF140"/>
      <c r="AI140" s="33"/>
    </row>
    <row r="141" spans="1:35">
      <c r="A141" s="852" t="s">
        <v>227</v>
      </c>
      <c r="B141" s="501" t="s">
        <v>282</v>
      </c>
      <c r="C141" s="506">
        <v>1</v>
      </c>
      <c r="D141" s="507">
        <v>26</v>
      </c>
      <c r="E141" s="508">
        <v>517</v>
      </c>
      <c r="F141" s="509">
        <f>C141*D141*E141</f>
        <v>13442</v>
      </c>
      <c r="G141" s="508">
        <v>147315</v>
      </c>
      <c r="H141" s="510">
        <f t="shared" ref="H141:H158" si="9">G141/F141</f>
        <v>10.959306650796012</v>
      </c>
      <c r="I141" s="511">
        <v>3</v>
      </c>
      <c r="J141" s="512">
        <f>H141-I141</f>
        <v>7.9593066507960124</v>
      </c>
      <c r="K141" s="2"/>
      <c r="L141" s="20"/>
      <c r="M141" s="20"/>
      <c r="N141" s="20"/>
      <c r="O141" s="19"/>
      <c r="Q141" s="20"/>
      <c r="AF141"/>
      <c r="AI141" s="33"/>
    </row>
    <row r="142" spans="1:35">
      <c r="A142" s="852"/>
      <c r="B142" s="384" t="s">
        <v>283</v>
      </c>
      <c r="C142" s="513">
        <v>1</v>
      </c>
      <c r="D142" s="514">
        <v>26</v>
      </c>
      <c r="E142" s="508">
        <v>162</v>
      </c>
      <c r="F142" s="509">
        <f t="shared" ref="F142:F156" si="10">C142*D142*E142</f>
        <v>4212</v>
      </c>
      <c r="G142" s="508">
        <v>87627</v>
      </c>
      <c r="H142" s="510">
        <f t="shared" si="9"/>
        <v>20.804131054131055</v>
      </c>
      <c r="I142" s="511">
        <v>3</v>
      </c>
      <c r="J142" s="512">
        <f t="shared" ref="J142:J158" si="11">H142-I142</f>
        <v>17.804131054131055</v>
      </c>
      <c r="K142" s="2"/>
      <c r="L142" s="20"/>
      <c r="M142" s="20"/>
      <c r="N142" s="20"/>
      <c r="O142" s="19"/>
      <c r="Q142" s="20"/>
      <c r="AF142"/>
      <c r="AI142" s="33"/>
    </row>
    <row r="143" spans="1:35">
      <c r="A143" s="852"/>
      <c r="B143" s="384" t="s">
        <v>284</v>
      </c>
      <c r="C143" s="513">
        <v>2</v>
      </c>
      <c r="D143" s="514">
        <v>30</v>
      </c>
      <c r="E143" s="508">
        <v>40</v>
      </c>
      <c r="F143" s="509">
        <f t="shared" si="10"/>
        <v>2400</v>
      </c>
      <c r="G143" s="508">
        <v>106083</v>
      </c>
      <c r="H143" s="510">
        <f t="shared" si="9"/>
        <v>44.201250000000002</v>
      </c>
      <c r="I143" s="511">
        <v>3</v>
      </c>
      <c r="J143" s="512">
        <f t="shared" si="11"/>
        <v>41.201250000000002</v>
      </c>
      <c r="K143" s="2"/>
      <c r="L143" s="20"/>
      <c r="M143" s="20"/>
      <c r="N143" s="20"/>
      <c r="O143" s="19"/>
      <c r="Q143" s="20"/>
      <c r="AF143"/>
      <c r="AI143" s="33"/>
    </row>
    <row r="144" spans="1:35">
      <c r="A144" s="852"/>
      <c r="B144" s="384" t="s">
        <v>285</v>
      </c>
      <c r="C144" s="513">
        <v>2</v>
      </c>
      <c r="D144" s="514">
        <v>30</v>
      </c>
      <c r="E144" s="508">
        <v>135</v>
      </c>
      <c r="F144" s="509">
        <f t="shared" ref="F144" si="12">C144*D144*E144</f>
        <v>8100</v>
      </c>
      <c r="G144" s="508">
        <v>67100</v>
      </c>
      <c r="H144" s="510">
        <f t="shared" ref="H144" si="13">G144/F144</f>
        <v>8.283950617283951</v>
      </c>
      <c r="I144" s="511">
        <v>3</v>
      </c>
      <c r="J144" s="512">
        <f t="shared" ref="J144" si="14">H144-I144</f>
        <v>5.283950617283951</v>
      </c>
      <c r="K144" s="2"/>
      <c r="L144" s="20"/>
      <c r="M144" s="20"/>
      <c r="N144" s="20"/>
      <c r="O144" s="19"/>
      <c r="Q144" s="20"/>
      <c r="AF144"/>
      <c r="AI144" s="33"/>
    </row>
    <row r="145" spans="1:35">
      <c r="A145" s="852"/>
      <c r="B145" s="384" t="s">
        <v>286</v>
      </c>
      <c r="C145" s="513">
        <v>3</v>
      </c>
      <c r="D145" s="514">
        <v>30</v>
      </c>
      <c r="E145" s="508">
        <v>1054</v>
      </c>
      <c r="F145" s="509">
        <f t="shared" si="10"/>
        <v>94860</v>
      </c>
      <c r="G145" s="508">
        <v>1881177</v>
      </c>
      <c r="H145" s="510">
        <f t="shared" si="9"/>
        <v>19.831087919038584</v>
      </c>
      <c r="I145" s="511">
        <v>3</v>
      </c>
      <c r="J145" s="512">
        <f t="shared" si="11"/>
        <v>16.831087919038584</v>
      </c>
      <c r="K145" s="2"/>
      <c r="L145" s="20"/>
      <c r="M145" s="20"/>
      <c r="N145" s="20"/>
      <c r="O145" s="19"/>
      <c r="Q145" s="20"/>
      <c r="AF145"/>
      <c r="AI145" s="33"/>
    </row>
    <row r="146" spans="1:35">
      <c r="A146" s="852"/>
      <c r="B146" s="384" t="s">
        <v>287</v>
      </c>
      <c r="C146" s="513">
        <v>4</v>
      </c>
      <c r="D146" s="514">
        <v>30</v>
      </c>
      <c r="E146" s="508">
        <v>726</v>
      </c>
      <c r="F146" s="509">
        <f t="shared" si="10"/>
        <v>87120</v>
      </c>
      <c r="G146" s="508">
        <v>587009</v>
      </c>
      <c r="H146" s="510">
        <f t="shared" si="9"/>
        <v>6.7379361799816344</v>
      </c>
      <c r="I146" s="511">
        <v>3</v>
      </c>
      <c r="J146" s="512">
        <f t="shared" si="11"/>
        <v>3.7379361799816344</v>
      </c>
      <c r="K146" s="2"/>
      <c r="L146" s="20"/>
      <c r="M146" s="20"/>
      <c r="N146" s="20"/>
      <c r="O146" s="19"/>
      <c r="Q146" s="20"/>
      <c r="AF146"/>
      <c r="AI146" s="33"/>
    </row>
    <row r="147" spans="1:35">
      <c r="A147" s="852"/>
      <c r="B147" s="384" t="s">
        <v>288</v>
      </c>
      <c r="C147" s="513">
        <v>2</v>
      </c>
      <c r="D147" s="514">
        <v>30</v>
      </c>
      <c r="E147" s="508">
        <v>262</v>
      </c>
      <c r="F147" s="509">
        <f t="shared" si="10"/>
        <v>15720</v>
      </c>
      <c r="G147" s="508">
        <v>180510</v>
      </c>
      <c r="H147" s="510">
        <f t="shared" si="9"/>
        <v>11.482824427480915</v>
      </c>
      <c r="I147" s="511">
        <v>3</v>
      </c>
      <c r="J147" s="512">
        <f t="shared" si="11"/>
        <v>8.4828244274809155</v>
      </c>
      <c r="K147" s="2"/>
      <c r="L147" s="20"/>
      <c r="M147" s="20"/>
      <c r="N147" s="20"/>
      <c r="O147" s="19"/>
      <c r="Q147" s="20"/>
      <c r="AF147"/>
      <c r="AI147" s="33"/>
    </row>
    <row r="148" spans="1:35">
      <c r="A148" s="852"/>
      <c r="B148" s="384" t="s">
        <v>289</v>
      </c>
      <c r="C148" s="513">
        <v>4</v>
      </c>
      <c r="D148" s="514">
        <v>30</v>
      </c>
      <c r="E148" s="508">
        <v>1008</v>
      </c>
      <c r="F148" s="509">
        <f t="shared" si="10"/>
        <v>120960</v>
      </c>
      <c r="G148" s="508">
        <v>2087580</v>
      </c>
      <c r="H148" s="510">
        <f t="shared" si="9"/>
        <v>17.258432539682541</v>
      </c>
      <c r="I148" s="511">
        <v>3</v>
      </c>
      <c r="J148" s="512">
        <f t="shared" si="11"/>
        <v>14.258432539682541</v>
      </c>
      <c r="K148" s="2"/>
      <c r="L148" s="20"/>
      <c r="M148" s="20"/>
      <c r="N148" s="20"/>
      <c r="O148" s="19"/>
      <c r="Q148" s="20"/>
      <c r="AF148"/>
      <c r="AI148" s="33"/>
    </row>
    <row r="149" spans="1:35">
      <c r="A149" s="852"/>
      <c r="B149" s="384" t="s">
        <v>290</v>
      </c>
      <c r="C149" s="513">
        <v>1</v>
      </c>
      <c r="D149" s="514">
        <v>30</v>
      </c>
      <c r="E149" s="508">
        <v>525</v>
      </c>
      <c r="F149" s="509">
        <f t="shared" si="10"/>
        <v>15750</v>
      </c>
      <c r="G149" s="508">
        <v>222844</v>
      </c>
      <c r="H149" s="510">
        <f t="shared" si="9"/>
        <v>14.148825396825396</v>
      </c>
      <c r="I149" s="511">
        <v>3</v>
      </c>
      <c r="J149" s="512">
        <f t="shared" si="11"/>
        <v>11.148825396825396</v>
      </c>
      <c r="K149" s="2"/>
      <c r="L149" s="20"/>
      <c r="M149" s="20"/>
      <c r="N149" s="20"/>
      <c r="O149" s="19"/>
      <c r="Q149" s="20"/>
      <c r="AF149"/>
      <c r="AI149" s="33"/>
    </row>
    <row r="150" spans="1:35">
      <c r="A150" s="852"/>
      <c r="B150" s="385" t="s">
        <v>291</v>
      </c>
      <c r="C150" s="513">
        <v>2</v>
      </c>
      <c r="D150" s="514">
        <v>30</v>
      </c>
      <c r="E150" s="508">
        <v>202</v>
      </c>
      <c r="F150" s="509">
        <f t="shared" si="10"/>
        <v>12120</v>
      </c>
      <c r="G150" s="508">
        <v>266791</v>
      </c>
      <c r="H150" s="510">
        <f t="shared" si="9"/>
        <v>22.012458745874586</v>
      </c>
      <c r="I150" s="511">
        <v>3</v>
      </c>
      <c r="J150" s="512">
        <f t="shared" si="11"/>
        <v>19.012458745874586</v>
      </c>
      <c r="K150" s="2"/>
      <c r="L150" s="20"/>
      <c r="M150" s="20"/>
      <c r="N150" s="20"/>
      <c r="O150" s="19"/>
      <c r="Q150" s="20"/>
      <c r="AF150"/>
      <c r="AI150" s="33"/>
    </row>
    <row r="151" spans="1:35">
      <c r="A151" s="852"/>
      <c r="B151" s="385" t="s">
        <v>292</v>
      </c>
      <c r="C151" s="513">
        <v>3</v>
      </c>
      <c r="D151" s="514">
        <v>30</v>
      </c>
      <c r="E151" s="508">
        <v>806</v>
      </c>
      <c r="F151" s="509">
        <f t="shared" si="10"/>
        <v>72540</v>
      </c>
      <c r="G151" s="508">
        <v>1529533</v>
      </c>
      <c r="H151" s="510">
        <f t="shared" si="9"/>
        <v>21.085373586986488</v>
      </c>
      <c r="I151" s="511">
        <v>3</v>
      </c>
      <c r="J151" s="512">
        <f t="shared" si="11"/>
        <v>18.085373586986488</v>
      </c>
      <c r="K151" s="2"/>
      <c r="L151" s="20"/>
      <c r="M151" s="20"/>
      <c r="N151" s="20"/>
      <c r="O151" s="19"/>
      <c r="Q151" s="20"/>
      <c r="AF151"/>
      <c r="AI151" s="33"/>
    </row>
    <row r="152" spans="1:35">
      <c r="A152" s="852"/>
      <c r="B152" s="383" t="s">
        <v>293</v>
      </c>
      <c r="C152" s="513">
        <v>4</v>
      </c>
      <c r="D152" s="514">
        <v>30</v>
      </c>
      <c r="E152" s="508">
        <v>301</v>
      </c>
      <c r="F152" s="509">
        <f t="shared" si="10"/>
        <v>36120</v>
      </c>
      <c r="G152" s="508">
        <v>592234</v>
      </c>
      <c r="H152" s="510">
        <f t="shared" si="9"/>
        <v>16.396290143964563</v>
      </c>
      <c r="I152" s="511">
        <v>3</v>
      </c>
      <c r="J152" s="512">
        <f t="shared" si="11"/>
        <v>13.396290143964563</v>
      </c>
      <c r="K152" s="2"/>
      <c r="L152" s="20"/>
      <c r="M152" s="20"/>
      <c r="N152" s="20"/>
      <c r="O152" s="19"/>
      <c r="Q152" s="20"/>
      <c r="AF152"/>
      <c r="AI152" s="33"/>
    </row>
    <row r="153" spans="1:35">
      <c r="A153" s="852"/>
      <c r="B153" s="502" t="s">
        <v>294</v>
      </c>
      <c r="C153" s="515">
        <v>5</v>
      </c>
      <c r="D153" s="514">
        <v>30</v>
      </c>
      <c r="E153" s="508">
        <v>931</v>
      </c>
      <c r="F153" s="509">
        <f t="shared" si="10"/>
        <v>139650</v>
      </c>
      <c r="G153" s="508">
        <v>2162132</v>
      </c>
      <c r="H153" s="510">
        <f t="shared" si="9"/>
        <v>15.48250626566416</v>
      </c>
      <c r="I153" s="511">
        <v>3</v>
      </c>
      <c r="J153" s="512">
        <f t="shared" si="11"/>
        <v>12.48250626566416</v>
      </c>
      <c r="K153" s="2"/>
      <c r="L153" s="20"/>
      <c r="M153" s="20"/>
      <c r="N153" s="20"/>
      <c r="O153" s="19"/>
      <c r="Q153" s="20"/>
      <c r="AF153"/>
      <c r="AI153" s="33"/>
    </row>
    <row r="154" spans="1:35">
      <c r="A154" s="852"/>
      <c r="B154" s="502" t="s">
        <v>295</v>
      </c>
      <c r="C154" s="515">
        <v>2</v>
      </c>
      <c r="D154" s="514">
        <v>30</v>
      </c>
      <c r="E154" s="508">
        <v>1009</v>
      </c>
      <c r="F154" s="509">
        <f t="shared" si="10"/>
        <v>60540</v>
      </c>
      <c r="G154" s="508">
        <v>275925</v>
      </c>
      <c r="H154" s="510">
        <f t="shared" si="9"/>
        <v>4.5577304261645191</v>
      </c>
      <c r="I154" s="511">
        <v>3</v>
      </c>
      <c r="J154" s="512">
        <f t="shared" si="11"/>
        <v>1.5577304261645191</v>
      </c>
      <c r="K154" s="2"/>
      <c r="L154" s="20"/>
      <c r="M154" s="20"/>
      <c r="N154" s="20"/>
      <c r="O154" s="19"/>
      <c r="Q154" s="20"/>
      <c r="AF154"/>
      <c r="AI154" s="33"/>
    </row>
    <row r="155" spans="1:35">
      <c r="A155" s="852"/>
      <c r="B155" s="502" t="s">
        <v>296</v>
      </c>
      <c r="C155" s="515">
        <v>4</v>
      </c>
      <c r="D155" s="514">
        <v>30</v>
      </c>
      <c r="E155" s="516">
        <v>69</v>
      </c>
      <c r="F155" s="509">
        <f t="shared" si="10"/>
        <v>8280</v>
      </c>
      <c r="G155" s="517">
        <v>31052</v>
      </c>
      <c r="H155" s="510">
        <f t="shared" si="9"/>
        <v>3.7502415458937199</v>
      </c>
      <c r="I155" s="511">
        <v>3</v>
      </c>
      <c r="J155" s="512">
        <f t="shared" si="11"/>
        <v>0.75024154589371994</v>
      </c>
      <c r="K155" s="2"/>
      <c r="L155" s="20"/>
      <c r="M155" s="20"/>
      <c r="N155" s="20"/>
      <c r="O155" s="19"/>
      <c r="Q155" s="20"/>
      <c r="AF155"/>
      <c r="AI155" s="33"/>
    </row>
    <row r="156" spans="1:35">
      <c r="A156" s="852"/>
      <c r="B156" s="502" t="s">
        <v>297</v>
      </c>
      <c r="C156" s="515">
        <v>1</v>
      </c>
      <c r="D156" s="514">
        <v>30</v>
      </c>
      <c r="E156" s="516">
        <v>450</v>
      </c>
      <c r="F156" s="509">
        <f t="shared" si="10"/>
        <v>13500</v>
      </c>
      <c r="G156" s="517">
        <v>226186</v>
      </c>
      <c r="H156" s="510">
        <f t="shared" si="9"/>
        <v>16.75451851851852</v>
      </c>
      <c r="I156" s="511">
        <v>3</v>
      </c>
      <c r="J156" s="512">
        <f t="shared" si="11"/>
        <v>13.75451851851852</v>
      </c>
      <c r="K156" s="2"/>
      <c r="L156" s="20"/>
      <c r="M156" s="20"/>
      <c r="N156" s="20"/>
      <c r="O156" s="19"/>
      <c r="Q156" s="20"/>
      <c r="AF156"/>
      <c r="AI156" s="33"/>
    </row>
    <row r="157" spans="1:35">
      <c r="A157" s="853"/>
      <c r="B157" s="502" t="s">
        <v>298</v>
      </c>
      <c r="C157" s="515">
        <v>1</v>
      </c>
      <c r="D157" s="518">
        <v>26</v>
      </c>
      <c r="E157" s="519">
        <v>332</v>
      </c>
      <c r="F157" s="520">
        <f>C157*D157*E157</f>
        <v>8632</v>
      </c>
      <c r="G157" s="521">
        <v>162972</v>
      </c>
      <c r="H157" s="522">
        <f t="shared" ref="H157" si="15">G157/F157</f>
        <v>18.879981464318814</v>
      </c>
      <c r="I157" s="523">
        <v>3</v>
      </c>
      <c r="J157" s="524">
        <f t="shared" ref="J157" si="16">H157-I157</f>
        <v>15.879981464318814</v>
      </c>
      <c r="K157" s="2"/>
      <c r="L157" s="20"/>
      <c r="M157" s="20"/>
      <c r="N157" s="20"/>
      <c r="O157" s="19"/>
      <c r="Q157" s="20"/>
      <c r="AF157"/>
      <c r="AI157" s="33"/>
    </row>
    <row r="158" spans="1:35" ht="15.75" thickBot="1">
      <c r="A158" s="854"/>
      <c r="B158" s="503" t="s">
        <v>299</v>
      </c>
      <c r="C158" s="525">
        <v>4</v>
      </c>
      <c r="D158" s="526">
        <v>26</v>
      </c>
      <c r="E158" s="527">
        <v>14</v>
      </c>
      <c r="F158" s="528">
        <f>C158*D158*E158</f>
        <v>1456</v>
      </c>
      <c r="G158" s="529">
        <v>61234</v>
      </c>
      <c r="H158" s="530">
        <f t="shared" si="9"/>
        <v>42.056318681318679</v>
      </c>
      <c r="I158" s="531">
        <v>3</v>
      </c>
      <c r="J158" s="532">
        <f t="shared" si="11"/>
        <v>39.056318681318679</v>
      </c>
      <c r="K158" s="2"/>
      <c r="L158" s="20"/>
      <c r="M158" s="20"/>
      <c r="N158" s="20"/>
      <c r="O158" s="19"/>
      <c r="Q158" s="20"/>
      <c r="AF158"/>
      <c r="AI158" s="33"/>
    </row>
    <row r="159" spans="1:35">
      <c r="K159" s="2"/>
      <c r="L159" s="20"/>
      <c r="M159" s="20"/>
      <c r="N159" s="20"/>
      <c r="O159" s="19"/>
      <c r="Q159" s="20"/>
      <c r="AF159"/>
      <c r="AI159" s="33"/>
    </row>
    <row r="160" spans="1:35">
      <c r="K160" s="2"/>
      <c r="L160" s="20"/>
      <c r="M160" s="20"/>
      <c r="N160" s="20"/>
      <c r="O160" s="19"/>
      <c r="AF160"/>
      <c r="AI160" s="33"/>
    </row>
    <row r="161" spans="1:35">
      <c r="K161" s="2"/>
      <c r="L161" s="20"/>
      <c r="M161" s="20"/>
      <c r="N161" s="20"/>
      <c r="O161" s="19"/>
      <c r="Q161" s="20"/>
      <c r="AF161"/>
      <c r="AI161" s="33"/>
    </row>
    <row r="162" spans="1:35">
      <c r="K162" s="2"/>
      <c r="L162" s="20"/>
      <c r="M162" s="20"/>
      <c r="N162" s="20"/>
      <c r="O162" s="19"/>
      <c r="Q162" s="20"/>
      <c r="AF162"/>
      <c r="AI162" s="33"/>
    </row>
    <row r="163" spans="1:35">
      <c r="A163" s="3"/>
      <c r="B163" s="15"/>
      <c r="C163" s="15"/>
      <c r="D163" s="15"/>
      <c r="E163" s="15"/>
      <c r="F163" s="2"/>
      <c r="G163" s="2"/>
      <c r="H163" s="2"/>
      <c r="I163" s="15"/>
      <c r="J163" s="2"/>
      <c r="K163" s="15"/>
      <c r="L163" s="15"/>
      <c r="M163" s="20"/>
      <c r="N163" s="20"/>
      <c r="O163" s="20"/>
      <c r="P163" s="19"/>
    </row>
    <row r="164" spans="1:35" ht="15.75" thickBot="1">
      <c r="A164" s="3"/>
      <c r="B164" s="3"/>
      <c r="C164" s="3"/>
      <c r="D164" s="3"/>
      <c r="E164" s="3"/>
      <c r="F164" s="2"/>
      <c r="G164" s="2"/>
      <c r="H164" s="2" t="str">
        <f>IF(AND(F164&gt;0,G164&gt;0),G164/F164,"")</f>
        <v/>
      </c>
      <c r="I164" s="3"/>
      <c r="J164" s="3"/>
      <c r="K164" s="2"/>
      <c r="L164" s="2"/>
      <c r="M164" s="20"/>
      <c r="N164" s="20"/>
      <c r="O164" s="20"/>
      <c r="P164" s="19"/>
    </row>
    <row r="165" spans="1:35" ht="19.5" thickBot="1">
      <c r="A165" s="203" t="s">
        <v>300</v>
      </c>
      <c r="B165" s="106"/>
      <c r="C165" s="106"/>
      <c r="D165" s="107"/>
      <c r="E165" s="107"/>
      <c r="F165" s="107"/>
      <c r="G165" s="208"/>
      <c r="H165" s="204"/>
      <c r="I165" s="252"/>
      <c r="J165" s="412" t="s">
        <v>301</v>
      </c>
      <c r="K165" s="413"/>
      <c r="L165" s="414"/>
      <c r="M165" s="415"/>
      <c r="N165" s="414"/>
      <c r="O165" s="416"/>
      <c r="P165" s="33"/>
    </row>
    <row r="166" spans="1:35" ht="15.75" thickBot="1">
      <c r="A166" s="3"/>
      <c r="B166" s="3"/>
      <c r="C166" s="3"/>
      <c r="D166" s="3"/>
      <c r="E166" s="3"/>
      <c r="F166" s="3"/>
      <c r="G166" s="3"/>
      <c r="H166" s="3"/>
      <c r="I166" s="3"/>
      <c r="J166" s="3"/>
      <c r="K166" s="3"/>
      <c r="L166" s="3"/>
      <c r="M166"/>
      <c r="N166"/>
      <c r="O166" s="33"/>
      <c r="P166" s="33"/>
    </row>
    <row r="167" spans="1:35" ht="25.5">
      <c r="A167" s="813" t="s">
        <v>38</v>
      </c>
      <c r="B167" s="814"/>
      <c r="C167" s="815"/>
      <c r="D167" s="244" t="s">
        <v>302</v>
      </c>
      <c r="E167" s="305" t="s">
        <v>303</v>
      </c>
      <c r="F167" s="206"/>
      <c r="G167" s="276" t="s">
        <v>135</v>
      </c>
      <c r="H167" s="276" t="s">
        <v>150</v>
      </c>
      <c r="I167" s="276" t="s">
        <v>151</v>
      </c>
      <c r="J167" s="276" t="s">
        <v>152</v>
      </c>
      <c r="K167" s="276" t="s">
        <v>153</v>
      </c>
      <c r="L167" s="276" t="s">
        <v>154</v>
      </c>
      <c r="M167" s="276" t="s">
        <v>155</v>
      </c>
      <c r="N167" s="276" t="s">
        <v>156</v>
      </c>
      <c r="O167" s="276" t="s">
        <v>157</v>
      </c>
      <c r="P167" s="276" t="s">
        <v>158</v>
      </c>
      <c r="Q167" s="276" t="s">
        <v>159</v>
      </c>
      <c r="R167" s="60"/>
    </row>
    <row r="168" spans="1:35" ht="39.75" customHeight="1">
      <c r="A168" s="869" t="s">
        <v>41</v>
      </c>
      <c r="B168" s="870"/>
      <c r="C168" s="871"/>
      <c r="D168" s="812" t="s">
        <v>304</v>
      </c>
      <c r="E168" s="861" t="s">
        <v>305</v>
      </c>
      <c r="F168" s="417" t="s">
        <v>306</v>
      </c>
      <c r="G168" s="418">
        <v>16250</v>
      </c>
      <c r="H168" s="420"/>
      <c r="I168" s="421"/>
      <c r="J168" s="418"/>
      <c r="K168" s="418"/>
      <c r="L168" s="418"/>
      <c r="M168" s="418"/>
      <c r="N168" s="419"/>
      <c r="O168" s="420"/>
      <c r="P168" s="420"/>
      <c r="Q168" s="421"/>
      <c r="R168" s="60"/>
    </row>
    <row r="169" spans="1:35" ht="40.5" customHeight="1">
      <c r="A169" s="872"/>
      <c r="B169" s="873"/>
      <c r="C169" s="874"/>
      <c r="D169" s="812"/>
      <c r="E169" s="861"/>
      <c r="F169" s="417" t="s">
        <v>307</v>
      </c>
      <c r="G169" s="418">
        <v>16530</v>
      </c>
      <c r="H169" s="420"/>
      <c r="I169" s="421"/>
      <c r="J169" s="418"/>
      <c r="K169" s="418"/>
      <c r="L169" s="418"/>
      <c r="M169" s="418"/>
      <c r="N169" s="419"/>
      <c r="O169" s="420"/>
      <c r="P169" s="420"/>
      <c r="Q169" s="421"/>
      <c r="R169" s="60"/>
    </row>
    <row r="170" spans="1:35" ht="42" customHeight="1">
      <c r="A170" s="862" t="s">
        <v>45</v>
      </c>
      <c r="B170" s="863"/>
      <c r="C170" s="864"/>
      <c r="D170" s="818" t="s">
        <v>304</v>
      </c>
      <c r="E170" s="865" t="s">
        <v>305</v>
      </c>
      <c r="F170" s="422" t="s">
        <v>306</v>
      </c>
      <c r="G170" s="418">
        <v>4373</v>
      </c>
      <c r="H170" s="426"/>
      <c r="I170" s="427"/>
      <c r="J170" s="424"/>
      <c r="K170" s="424"/>
      <c r="L170" s="424"/>
      <c r="M170" s="424"/>
      <c r="N170" s="425"/>
      <c r="O170" s="426"/>
      <c r="P170" s="426"/>
      <c r="Q170" s="427"/>
      <c r="R170" s="60"/>
    </row>
    <row r="171" spans="1:35" ht="48" customHeight="1">
      <c r="A171" s="862"/>
      <c r="B171" s="863"/>
      <c r="C171" s="864"/>
      <c r="D171" s="818"/>
      <c r="E171" s="865"/>
      <c r="F171" s="422" t="s">
        <v>307</v>
      </c>
      <c r="G171" s="418">
        <v>3718</v>
      </c>
      <c r="H171" s="426"/>
      <c r="I171" s="427"/>
      <c r="J171" s="425"/>
      <c r="K171" s="425"/>
      <c r="L171" s="425"/>
      <c r="M171" s="425"/>
      <c r="N171" s="425"/>
      <c r="O171" s="426"/>
      <c r="P171" s="426"/>
      <c r="Q171" s="427"/>
      <c r="R171" s="60"/>
    </row>
    <row r="172" spans="1:35" ht="42" customHeight="1">
      <c r="A172" s="866" t="s">
        <v>308</v>
      </c>
      <c r="B172" s="867"/>
      <c r="C172" s="868"/>
      <c r="D172" s="812" t="s">
        <v>304</v>
      </c>
      <c r="E172" s="861" t="s">
        <v>305</v>
      </c>
      <c r="F172" s="417" t="s">
        <v>306</v>
      </c>
      <c r="G172" s="582">
        <v>0.54900000000000004</v>
      </c>
      <c r="H172" s="420"/>
      <c r="I172" s="421"/>
      <c r="J172" s="418"/>
      <c r="K172" s="428"/>
      <c r="L172" s="418"/>
      <c r="M172" s="418"/>
      <c r="N172" s="419"/>
      <c r="O172" s="420"/>
      <c r="P172" s="420"/>
      <c r="Q172" s="421"/>
      <c r="R172" s="60"/>
    </row>
    <row r="173" spans="1:35" ht="38.25" customHeight="1">
      <c r="A173" s="866"/>
      <c r="B173" s="867"/>
      <c r="C173" s="868"/>
      <c r="D173" s="812"/>
      <c r="E173" s="861"/>
      <c r="F173" s="417" t="s">
        <v>307</v>
      </c>
      <c r="G173" s="582">
        <v>0.68500000000000005</v>
      </c>
      <c r="H173" s="420"/>
      <c r="I173" s="421"/>
      <c r="J173" s="418"/>
      <c r="K173" s="428"/>
      <c r="L173" s="418"/>
      <c r="M173" s="418"/>
      <c r="N173" s="419"/>
      <c r="O173" s="420"/>
      <c r="P173" s="420"/>
      <c r="Q173" s="421"/>
      <c r="R173" s="60"/>
    </row>
    <row r="174" spans="1:35" ht="39.75" customHeight="1">
      <c r="A174" s="862" t="s">
        <v>52</v>
      </c>
      <c r="B174" s="863"/>
      <c r="C174" s="864"/>
      <c r="D174" s="818" t="s">
        <v>304</v>
      </c>
      <c r="E174" s="865" t="s">
        <v>305</v>
      </c>
      <c r="F174" s="422" t="s">
        <v>306</v>
      </c>
      <c r="G174" s="431" t="s">
        <v>309</v>
      </c>
      <c r="H174" s="431"/>
      <c r="I174" s="431"/>
      <c r="J174" s="431"/>
      <c r="K174" s="431"/>
      <c r="L174" s="429"/>
      <c r="M174" s="430"/>
      <c r="N174" s="430"/>
      <c r="O174" s="430"/>
      <c r="P174" s="431"/>
      <c r="Q174" s="432"/>
      <c r="R174" s="60"/>
    </row>
    <row r="175" spans="1:35" ht="39.75" customHeight="1">
      <c r="A175" s="862"/>
      <c r="B175" s="863"/>
      <c r="C175" s="864"/>
      <c r="D175" s="818"/>
      <c r="E175" s="865"/>
      <c r="F175" s="422" t="s">
        <v>307</v>
      </c>
      <c r="G175" s="431" t="s">
        <v>310</v>
      </c>
      <c r="H175" s="431"/>
      <c r="I175" s="431"/>
      <c r="J175" s="431"/>
      <c r="K175" s="431"/>
      <c r="L175" s="429"/>
      <c r="M175" s="429"/>
      <c r="N175" s="430"/>
      <c r="O175" s="430"/>
      <c r="P175" s="431"/>
      <c r="Q175" s="432"/>
      <c r="R175" s="60"/>
    </row>
    <row r="176" spans="1:35" ht="39.75" customHeight="1">
      <c r="A176" s="866" t="s">
        <v>59</v>
      </c>
      <c r="B176" s="867"/>
      <c r="C176" s="868"/>
      <c r="D176" s="812" t="s">
        <v>304</v>
      </c>
      <c r="E176" s="861" t="s">
        <v>305</v>
      </c>
      <c r="F176" s="417" t="s">
        <v>306</v>
      </c>
      <c r="G176" s="435" t="s">
        <v>311</v>
      </c>
      <c r="H176" s="435"/>
      <c r="I176" s="435"/>
      <c r="J176" s="435"/>
      <c r="K176" s="435"/>
      <c r="L176" s="433"/>
      <c r="M176" s="433"/>
      <c r="N176" s="434"/>
      <c r="O176" s="435"/>
      <c r="P176" s="435"/>
      <c r="Q176" s="436"/>
      <c r="R176" s="60"/>
    </row>
    <row r="177" spans="1:18" ht="35.25" customHeight="1">
      <c r="A177" s="866"/>
      <c r="B177" s="867"/>
      <c r="C177" s="868"/>
      <c r="D177" s="812"/>
      <c r="E177" s="861"/>
      <c r="F177" s="417" t="s">
        <v>307</v>
      </c>
      <c r="G177" s="435" t="s">
        <v>312</v>
      </c>
      <c r="H177" s="435"/>
      <c r="I177" s="435"/>
      <c r="J177" s="435"/>
      <c r="K177" s="435"/>
      <c r="L177" s="433"/>
      <c r="M177" s="433"/>
      <c r="N177" s="434"/>
      <c r="O177" s="435"/>
      <c r="P177" s="435"/>
      <c r="Q177" s="436"/>
      <c r="R177" s="60"/>
    </row>
    <row r="178" spans="1:18" ht="39" customHeight="1">
      <c r="A178" s="862" t="s">
        <v>63</v>
      </c>
      <c r="B178" s="863"/>
      <c r="C178" s="864"/>
      <c r="D178" s="818" t="s">
        <v>304</v>
      </c>
      <c r="E178" s="865" t="s">
        <v>305</v>
      </c>
      <c r="F178" s="422" t="s">
        <v>306</v>
      </c>
      <c r="G178" s="431" t="s">
        <v>313</v>
      </c>
      <c r="H178" s="431"/>
      <c r="I178" s="431"/>
      <c r="J178" s="431"/>
      <c r="K178" s="431"/>
      <c r="L178" s="429"/>
      <c r="M178" s="429"/>
      <c r="N178" s="429"/>
      <c r="O178" s="431"/>
      <c r="P178" s="431"/>
      <c r="Q178" s="437"/>
      <c r="R178" s="60"/>
    </row>
    <row r="179" spans="1:18" ht="43.5" customHeight="1">
      <c r="A179" s="862"/>
      <c r="B179" s="863"/>
      <c r="C179" s="864"/>
      <c r="D179" s="818"/>
      <c r="E179" s="865"/>
      <c r="F179" s="422" t="s">
        <v>307</v>
      </c>
      <c r="G179" s="431" t="s">
        <v>314</v>
      </c>
      <c r="H179" s="431"/>
      <c r="I179" s="431"/>
      <c r="J179" s="431"/>
      <c r="K179" s="431"/>
      <c r="L179" s="423"/>
      <c r="M179" s="423"/>
      <c r="N179" s="429"/>
      <c r="O179" s="431"/>
      <c r="P179" s="431"/>
      <c r="Q179" s="437"/>
      <c r="R179" s="60"/>
    </row>
    <row r="180" spans="1:18" ht="40.5" customHeight="1">
      <c r="A180" s="866" t="s">
        <v>70</v>
      </c>
      <c r="B180" s="867"/>
      <c r="C180" s="868"/>
      <c r="D180" s="812" t="s">
        <v>315</v>
      </c>
      <c r="E180" s="861" t="s">
        <v>305</v>
      </c>
      <c r="F180" s="417" t="s">
        <v>306</v>
      </c>
      <c r="G180" s="435" t="s">
        <v>316</v>
      </c>
      <c r="H180" s="435"/>
      <c r="I180" s="435"/>
      <c r="J180" s="435"/>
      <c r="K180" s="435"/>
      <c r="L180" s="433"/>
      <c r="M180" s="433"/>
      <c r="N180" s="434"/>
      <c r="O180" s="435"/>
      <c r="P180" s="435"/>
      <c r="Q180" s="436"/>
      <c r="R180" s="60"/>
    </row>
    <row r="181" spans="1:18" ht="36.75" customHeight="1">
      <c r="A181" s="866"/>
      <c r="B181" s="867"/>
      <c r="C181" s="868"/>
      <c r="D181" s="812"/>
      <c r="E181" s="861"/>
      <c r="F181" s="417" t="s">
        <v>307</v>
      </c>
      <c r="G181" s="435" t="s">
        <v>317</v>
      </c>
      <c r="H181" s="435"/>
      <c r="I181" s="435"/>
      <c r="J181" s="435"/>
      <c r="K181" s="435"/>
      <c r="L181" s="433"/>
      <c r="M181" s="433"/>
      <c r="N181" s="434"/>
      <c r="O181" s="435"/>
      <c r="P181" s="435"/>
      <c r="Q181" s="433"/>
      <c r="R181" s="60"/>
    </row>
    <row r="182" spans="1:18" ht="36" customHeight="1">
      <c r="A182" s="862" t="s">
        <v>56</v>
      </c>
      <c r="B182" s="863"/>
      <c r="C182" s="864"/>
      <c r="D182" s="818" t="s">
        <v>315</v>
      </c>
      <c r="E182" s="865" t="s">
        <v>305</v>
      </c>
      <c r="F182" s="422" t="s">
        <v>306</v>
      </c>
      <c r="G182" s="431" t="s">
        <v>318</v>
      </c>
      <c r="H182" s="431"/>
      <c r="I182" s="431"/>
      <c r="J182" s="431"/>
      <c r="K182" s="431"/>
      <c r="L182" s="429"/>
      <c r="M182" s="423"/>
      <c r="N182" s="429"/>
      <c r="O182" s="431"/>
      <c r="P182" s="431"/>
      <c r="Q182" s="423"/>
      <c r="R182" s="60"/>
    </row>
    <row r="183" spans="1:18" ht="35.25" customHeight="1">
      <c r="A183" s="862"/>
      <c r="B183" s="863"/>
      <c r="C183" s="864"/>
      <c r="D183" s="818"/>
      <c r="E183" s="865"/>
      <c r="F183" s="422" t="s">
        <v>307</v>
      </c>
      <c r="G183" s="431" t="s">
        <v>319</v>
      </c>
      <c r="H183" s="431"/>
      <c r="I183" s="431"/>
      <c r="J183" s="431"/>
      <c r="K183" s="431"/>
      <c r="L183" s="429"/>
      <c r="M183" s="429"/>
      <c r="N183" s="429"/>
      <c r="O183" s="431"/>
      <c r="P183" s="431"/>
      <c r="Q183" s="429"/>
      <c r="R183" s="60"/>
    </row>
    <row r="184" spans="1:18" ht="36.75" customHeight="1">
      <c r="A184" s="866" t="s">
        <v>67</v>
      </c>
      <c r="B184" s="867"/>
      <c r="C184" s="868"/>
      <c r="D184" s="812" t="s">
        <v>315</v>
      </c>
      <c r="E184" s="898" t="s">
        <v>305</v>
      </c>
      <c r="F184" s="417" t="s">
        <v>306</v>
      </c>
      <c r="G184" s="435" t="s">
        <v>320</v>
      </c>
      <c r="H184" s="435"/>
      <c r="I184" s="435"/>
      <c r="J184" s="435"/>
      <c r="K184" s="435"/>
      <c r="L184" s="433"/>
      <c r="M184" s="433"/>
      <c r="N184" s="434"/>
      <c r="O184" s="435"/>
      <c r="P184" s="435"/>
      <c r="Q184" s="433"/>
      <c r="R184" s="60"/>
    </row>
    <row r="185" spans="1:18" ht="38.25" customHeight="1">
      <c r="A185" s="866"/>
      <c r="B185" s="867"/>
      <c r="C185" s="868"/>
      <c r="D185" s="812"/>
      <c r="E185" s="898"/>
      <c r="F185" s="417" t="s">
        <v>307</v>
      </c>
      <c r="G185" s="435" t="s">
        <v>321</v>
      </c>
      <c r="H185" s="435"/>
      <c r="I185" s="435"/>
      <c r="J185" s="435"/>
      <c r="K185" s="435"/>
      <c r="L185" s="433"/>
      <c r="M185" s="433"/>
      <c r="N185" s="434"/>
      <c r="O185" s="435"/>
      <c r="P185" s="435"/>
      <c r="Q185" s="433"/>
      <c r="R185" s="60"/>
    </row>
    <row r="186" spans="1:18" ht="42.75" customHeight="1">
      <c r="A186" s="862" t="s">
        <v>73</v>
      </c>
      <c r="B186" s="863"/>
      <c r="C186" s="864"/>
      <c r="D186" s="818" t="s">
        <v>315</v>
      </c>
      <c r="E186" s="865" t="s">
        <v>305</v>
      </c>
      <c r="F186" s="422" t="s">
        <v>306</v>
      </c>
      <c r="G186" s="431" t="s">
        <v>322</v>
      </c>
      <c r="H186" s="431"/>
      <c r="I186" s="431"/>
      <c r="J186" s="431"/>
      <c r="K186" s="431"/>
      <c r="L186" s="429"/>
      <c r="M186" s="429"/>
      <c r="N186" s="429"/>
      <c r="O186" s="431"/>
      <c r="P186" s="431"/>
      <c r="Q186" s="429"/>
      <c r="R186" s="60"/>
    </row>
    <row r="187" spans="1:18" ht="39.75" customHeight="1">
      <c r="A187" s="862"/>
      <c r="B187" s="863"/>
      <c r="C187" s="864"/>
      <c r="D187" s="818"/>
      <c r="E187" s="865"/>
      <c r="F187" s="422" t="s">
        <v>307</v>
      </c>
      <c r="G187" s="431" t="s">
        <v>323</v>
      </c>
      <c r="H187" s="431"/>
      <c r="I187" s="431"/>
      <c r="J187" s="431"/>
      <c r="K187" s="431"/>
      <c r="L187" s="429"/>
      <c r="M187" s="429"/>
      <c r="N187" s="429"/>
      <c r="O187" s="431"/>
      <c r="P187" s="431"/>
      <c r="Q187" s="429"/>
      <c r="R187" s="60"/>
    </row>
    <row r="188" spans="1:18" ht="18.75" customHeight="1">
      <c r="A188" s="866" t="s">
        <v>324</v>
      </c>
      <c r="B188" s="867"/>
      <c r="C188" s="868"/>
      <c r="D188" s="812" t="s">
        <v>304</v>
      </c>
      <c r="E188" s="898" t="s">
        <v>325</v>
      </c>
      <c r="F188" s="417" t="s">
        <v>306</v>
      </c>
      <c r="G188" s="438">
        <v>0.95</v>
      </c>
      <c r="H188" s="438"/>
      <c r="I188" s="438"/>
      <c r="J188" s="438"/>
      <c r="K188" s="438"/>
      <c r="L188" s="433"/>
      <c r="M188" s="433"/>
      <c r="N188" s="434"/>
      <c r="O188" s="438"/>
      <c r="P188" s="438"/>
      <c r="Q188" s="433"/>
      <c r="R188" s="60"/>
    </row>
    <row r="189" spans="1:18" ht="21" customHeight="1">
      <c r="A189" s="866"/>
      <c r="B189" s="867"/>
      <c r="C189" s="868"/>
      <c r="D189" s="812"/>
      <c r="E189" s="898"/>
      <c r="F189" s="417" t="s">
        <v>307</v>
      </c>
      <c r="G189" s="438">
        <v>0.96</v>
      </c>
      <c r="H189" s="438"/>
      <c r="I189" s="438"/>
      <c r="J189" s="438"/>
      <c r="K189" s="438"/>
      <c r="L189" s="433"/>
      <c r="M189" s="433"/>
      <c r="N189" s="434"/>
      <c r="O189" s="438"/>
      <c r="P189" s="434"/>
      <c r="Q189" s="433"/>
      <c r="R189" s="60"/>
    </row>
    <row r="190" spans="1:18" ht="19.5" customHeight="1">
      <c r="A190" s="862" t="s">
        <v>79</v>
      </c>
      <c r="B190" s="863"/>
      <c r="C190" s="864"/>
      <c r="D190" s="818" t="s">
        <v>315</v>
      </c>
      <c r="E190" s="865" t="s">
        <v>305</v>
      </c>
      <c r="F190" s="422" t="s">
        <v>306</v>
      </c>
      <c r="G190" s="430">
        <v>0.9</v>
      </c>
      <c r="H190" s="430"/>
      <c r="I190" s="430"/>
      <c r="J190" s="430"/>
      <c r="K190" s="430"/>
      <c r="L190" s="429"/>
      <c r="M190" s="429"/>
      <c r="N190" s="429"/>
      <c r="O190" s="430"/>
      <c r="P190" s="430"/>
      <c r="Q190" s="429"/>
      <c r="R190" s="60"/>
    </row>
    <row r="191" spans="1:18" ht="21" customHeight="1">
      <c r="A191" s="862"/>
      <c r="B191" s="863"/>
      <c r="C191" s="864"/>
      <c r="D191" s="818"/>
      <c r="E191" s="865"/>
      <c r="F191" s="422" t="s">
        <v>307</v>
      </c>
      <c r="G191" s="430">
        <v>0.93</v>
      </c>
      <c r="H191" s="430"/>
      <c r="I191" s="430"/>
      <c r="J191" s="430"/>
      <c r="K191" s="430"/>
      <c r="L191" s="429"/>
      <c r="M191" s="429"/>
      <c r="N191" s="429"/>
      <c r="O191" s="429"/>
      <c r="P191" s="429"/>
      <c r="Q191" s="429"/>
      <c r="R191" s="60"/>
    </row>
    <row r="192" spans="1:18">
      <c r="A192" s="3"/>
      <c r="B192" s="3"/>
      <c r="C192" s="3"/>
      <c r="D192" s="3"/>
      <c r="E192" s="3"/>
      <c r="F192" s="2"/>
      <c r="G192" s="3"/>
      <c r="H192" s="3"/>
      <c r="I192" s="3"/>
      <c r="J192" s="3"/>
      <c r="K192" s="3"/>
      <c r="L192" s="3"/>
      <c r="M192" s="3"/>
      <c r="N192"/>
      <c r="P192" s="33"/>
      <c r="Q192" s="33"/>
    </row>
    <row r="193" spans="1:34" ht="16.5" thickBot="1">
      <c r="A193" s="245"/>
      <c r="B193" s="3"/>
      <c r="C193" s="3"/>
      <c r="D193" s="3"/>
      <c r="E193" s="3"/>
      <c r="F193" s="2"/>
      <c r="G193" s="3"/>
      <c r="H193" s="3"/>
      <c r="I193" s="3"/>
      <c r="J193" s="3"/>
      <c r="K193" s="3"/>
      <c r="L193" s="3"/>
      <c r="M193" s="3"/>
      <c r="N193"/>
      <c r="P193" s="33"/>
      <c r="Q193" s="33"/>
    </row>
    <row r="194" spans="1:34" ht="25.5">
      <c r="A194" s="3" t="s">
        <v>326</v>
      </c>
      <c r="B194" s="3"/>
      <c r="C194" s="3"/>
      <c r="D194" s="244" t="s">
        <v>302</v>
      </c>
      <c r="E194" s="305" t="s">
        <v>303</v>
      </c>
      <c r="F194" s="206"/>
      <c r="G194" s="276" t="s">
        <v>135</v>
      </c>
      <c r="H194" s="276" t="s">
        <v>150</v>
      </c>
      <c r="I194" s="276" t="s">
        <v>151</v>
      </c>
      <c r="J194" s="276" t="s">
        <v>152</v>
      </c>
      <c r="K194" s="276" t="s">
        <v>153</v>
      </c>
      <c r="L194" s="276" t="s">
        <v>154</v>
      </c>
      <c r="M194" s="276" t="s">
        <v>155</v>
      </c>
      <c r="N194" s="276" t="s">
        <v>156</v>
      </c>
      <c r="O194" s="276" t="s">
        <v>157</v>
      </c>
      <c r="P194" s="276" t="s">
        <v>158</v>
      </c>
      <c r="Q194" s="276" t="s">
        <v>159</v>
      </c>
      <c r="R194" s="33"/>
      <c r="S194" s="33"/>
    </row>
    <row r="195" spans="1:34">
      <c r="A195" s="877" t="str">
        <f>IF(ISBLANK(A168),"",(A168))</f>
        <v>Процент ЛУИН, охваченных программами по профилактике ВИЧ</v>
      </c>
      <c r="B195" s="878"/>
      <c r="C195" s="879"/>
      <c r="D195" s="883" t="str">
        <f>IF(ISBLANK(D168),"",(D168))</f>
        <v>Топ 10</v>
      </c>
      <c r="E195" s="887" t="str">
        <f>IF(ISBLANK(E168),"",(E168))</f>
        <v>с текущим грантом</v>
      </c>
      <c r="F195" s="417" t="s">
        <v>306</v>
      </c>
      <c r="G195" s="439">
        <f>G168</f>
        <v>16250</v>
      </c>
      <c r="H195" s="439"/>
      <c r="I195" s="439"/>
      <c r="J195" s="439"/>
      <c r="K195" s="439"/>
      <c r="L195" s="439"/>
      <c r="M195" s="439"/>
      <c r="N195" s="440"/>
      <c r="O195" s="440"/>
      <c r="P195" s="440"/>
      <c r="Q195" s="440"/>
      <c r="R195" s="33"/>
      <c r="S195" s="33"/>
    </row>
    <row r="196" spans="1:34" ht="15.75" thickBot="1">
      <c r="A196" s="880"/>
      <c r="B196" s="881"/>
      <c r="C196" s="882"/>
      <c r="D196" s="883"/>
      <c r="E196" s="887"/>
      <c r="F196" s="417" t="s">
        <v>307</v>
      </c>
      <c r="G196" s="439">
        <f t="shared" ref="G196" si="17">G169</f>
        <v>16530</v>
      </c>
      <c r="H196" s="439"/>
      <c r="I196" s="439"/>
      <c r="J196" s="439"/>
      <c r="K196" s="439"/>
      <c r="L196" s="439"/>
      <c r="M196" s="439"/>
      <c r="N196" s="440"/>
      <c r="O196" s="440"/>
      <c r="P196" s="440"/>
      <c r="Q196" s="440"/>
      <c r="R196" s="33"/>
      <c r="S196" s="33"/>
    </row>
    <row r="197" spans="1:34">
      <c r="A197" s="889" t="str">
        <f>IF(ISBLANK(A170),"",(A170))</f>
        <v>Процент взрослых и детей, получающих в настоящее время антиретровирусную терапию, от оценочного числа всех взрослых и детей, живущих с ВИЧ</v>
      </c>
      <c r="B197" s="890"/>
      <c r="C197" s="891"/>
      <c r="D197" s="884" t="str">
        <f>IF(ISBLANK(D170),"",(D170))</f>
        <v>Топ 10</v>
      </c>
      <c r="E197" s="885" t="str">
        <f>IF(ISBLANK(E170),"",(E170))</f>
        <v>с текущим грантом</v>
      </c>
      <c r="F197" s="422" t="s">
        <v>306</v>
      </c>
      <c r="G197" s="441">
        <v>4373</v>
      </c>
      <c r="H197" s="441"/>
      <c r="I197" s="441"/>
      <c r="J197" s="441"/>
      <c r="K197" s="441"/>
      <c r="L197" s="441"/>
      <c r="M197" s="441"/>
      <c r="N197" s="442"/>
      <c r="O197" s="442"/>
      <c r="P197" s="442"/>
      <c r="Q197" s="442"/>
      <c r="R197" s="33"/>
      <c r="S197" s="33"/>
    </row>
    <row r="198" spans="1:34" ht="15.75" thickBot="1">
      <c r="A198" s="892"/>
      <c r="B198" s="893"/>
      <c r="C198" s="894"/>
      <c r="D198" s="884"/>
      <c r="E198" s="885"/>
      <c r="F198" s="422" t="s">
        <v>307</v>
      </c>
      <c r="G198" s="441">
        <v>3718</v>
      </c>
      <c r="H198" s="441"/>
      <c r="I198" s="441"/>
      <c r="J198" s="441"/>
      <c r="K198" s="441"/>
      <c r="L198" s="441"/>
      <c r="M198" s="441"/>
      <c r="N198" s="442"/>
      <c r="O198" s="442"/>
      <c r="P198" s="442"/>
      <c r="Q198" s="442"/>
      <c r="R198" s="33"/>
      <c r="S198" s="33"/>
    </row>
    <row r="199" spans="1:34">
      <c r="A199" s="877" t="str">
        <f>IF(ISBLANK(A172),"",(A172))</f>
        <v>Процент ЛЖВ, получающих АРТ и достигших неопределяемую вирусную нагрузку (т.е. ≤1000 копий)</v>
      </c>
      <c r="B199" s="878"/>
      <c r="C199" s="879"/>
      <c r="D199" s="883" t="str">
        <f>IF(ISBLANK(D172),"",(D172))</f>
        <v>Топ 10</v>
      </c>
      <c r="E199" s="887" t="str">
        <f>IF(ISBLANK(E172),"",(E172))</f>
        <v>с текущим грантом</v>
      </c>
      <c r="F199" s="443" t="s">
        <v>306</v>
      </c>
      <c r="G199" s="583">
        <v>0.54900000000000004</v>
      </c>
      <c r="H199" s="439"/>
      <c r="I199" s="439"/>
      <c r="J199" s="439"/>
      <c r="K199" s="439"/>
      <c r="L199" s="439"/>
      <c r="M199" s="439"/>
      <c r="N199" s="440"/>
      <c r="O199" s="440"/>
      <c r="P199" s="440"/>
      <c r="Q199" s="440"/>
      <c r="R199" s="33"/>
      <c r="S199" s="33"/>
    </row>
    <row r="200" spans="1:34" ht="15.75" thickBot="1">
      <c r="A200" s="880"/>
      <c r="B200" s="881"/>
      <c r="C200" s="882"/>
      <c r="D200" s="886"/>
      <c r="E200" s="888"/>
      <c r="F200" s="417" t="s">
        <v>307</v>
      </c>
      <c r="G200" s="583">
        <v>0.68500000000000005</v>
      </c>
      <c r="H200" s="439"/>
      <c r="I200" s="439"/>
      <c r="J200" s="439"/>
      <c r="K200" s="439"/>
      <c r="L200" s="439"/>
      <c r="M200" s="439"/>
      <c r="N200" s="440"/>
      <c r="O200" s="440"/>
      <c r="P200" s="440"/>
      <c r="Q200" s="440"/>
      <c r="R200" s="33"/>
      <c r="S200" s="33"/>
    </row>
    <row r="201" spans="1:34">
      <c r="A201" s="3"/>
      <c r="B201" s="3"/>
      <c r="C201" s="3"/>
      <c r="D201" s="3"/>
      <c r="E201" s="3"/>
      <c r="F201" s="3"/>
      <c r="I201" s="3"/>
      <c r="J201" s="3"/>
      <c r="K201" s="3"/>
      <c r="M201"/>
      <c r="O201" s="33"/>
      <c r="P201" s="33"/>
      <c r="Q201" s="33"/>
    </row>
    <row r="202" spans="1:34" s="19" customFormat="1" ht="15" customHeight="1">
      <c r="A202" s="866" t="s">
        <v>83</v>
      </c>
      <c r="B202" s="867"/>
      <c r="C202" s="868"/>
      <c r="D202" s="812" t="s">
        <v>315</v>
      </c>
      <c r="E202" s="875" t="s">
        <v>305</v>
      </c>
      <c r="F202" s="417" t="s">
        <v>306</v>
      </c>
      <c r="G202" s="438">
        <v>0.95</v>
      </c>
      <c r="H202" s="438"/>
      <c r="I202" s="438"/>
      <c r="J202" s="433"/>
      <c r="K202" s="438"/>
      <c r="L202" s="433"/>
      <c r="M202" s="434"/>
      <c r="N202" s="438"/>
      <c r="O202" s="438"/>
      <c r="P202" s="438"/>
      <c r="Q202" s="438"/>
      <c r="AF202" s="20"/>
      <c r="AG202" s="20"/>
      <c r="AH202" s="20"/>
    </row>
    <row r="203" spans="1:34">
      <c r="A203" s="866"/>
      <c r="B203" s="867"/>
      <c r="C203" s="868"/>
      <c r="D203" s="812"/>
      <c r="E203" s="876"/>
      <c r="F203" s="417" t="s">
        <v>307</v>
      </c>
      <c r="G203" s="438">
        <v>0.98</v>
      </c>
      <c r="H203" s="438"/>
      <c r="I203" s="438"/>
      <c r="J203" s="433"/>
      <c r="K203" s="438"/>
      <c r="L203" s="433"/>
      <c r="M203" s="434"/>
      <c r="N203" s="438"/>
      <c r="O203" s="438"/>
      <c r="P203" s="438"/>
      <c r="Q203" s="438"/>
    </row>
    <row r="204" spans="1:34" ht="15.75" thickBot="1">
      <c r="A204" s="3"/>
      <c r="B204" s="3"/>
      <c r="C204" s="3"/>
      <c r="D204" s="3"/>
      <c r="E204" s="3"/>
      <c r="F204" s="3"/>
      <c r="G204" s="3"/>
      <c r="H204" s="2" t="str">
        <f>IF(AND(F204&gt;0,G204&gt;0),G204/F204,"")</f>
        <v/>
      </c>
      <c r="I204" s="95"/>
      <c r="J204" s="95"/>
      <c r="K204" s="3"/>
      <c r="L204" s="3"/>
    </row>
    <row r="205" spans="1:34" ht="19.5" thickBot="1">
      <c r="A205" s="458" t="s">
        <v>327</v>
      </c>
      <c r="B205" s="106"/>
      <c r="C205" s="106"/>
      <c r="D205" s="107"/>
      <c r="E205" s="107"/>
      <c r="F205" s="107"/>
      <c r="G205" s="208"/>
      <c r="H205" s="204"/>
      <c r="I205" s="252"/>
      <c r="J205" s="563" t="s">
        <v>301</v>
      </c>
      <c r="K205" s="564"/>
      <c r="L205" s="565"/>
      <c r="M205" s="566"/>
      <c r="N205" s="565"/>
      <c r="O205" s="567"/>
      <c r="P205" s="33"/>
    </row>
    <row r="206" spans="1:34" ht="15.75" thickBot="1">
      <c r="A206" s="3"/>
      <c r="B206" s="3"/>
      <c r="C206" s="3"/>
      <c r="D206" s="3"/>
      <c r="E206" s="3"/>
      <c r="F206" s="3"/>
      <c r="G206" s="3"/>
      <c r="H206" s="3"/>
      <c r="I206" s="3"/>
      <c r="J206" s="3"/>
      <c r="K206" s="3"/>
      <c r="L206" s="3"/>
      <c r="M206"/>
      <c r="N206"/>
      <c r="O206" s="33"/>
      <c r="P206" s="33"/>
    </row>
    <row r="207" spans="1:34" ht="39.75" customHeight="1">
      <c r="A207" s="813" t="s">
        <v>38</v>
      </c>
      <c r="B207" s="814"/>
      <c r="C207" s="815"/>
      <c r="D207" s="244" t="s">
        <v>302</v>
      </c>
      <c r="E207" s="305" t="s">
        <v>303</v>
      </c>
      <c r="F207" s="206"/>
      <c r="G207" s="276" t="s">
        <v>328</v>
      </c>
      <c r="H207" s="276" t="s">
        <v>329</v>
      </c>
      <c r="I207" s="276" t="s">
        <v>151</v>
      </c>
      <c r="J207" s="276" t="s">
        <v>152</v>
      </c>
      <c r="K207" s="276" t="s">
        <v>153</v>
      </c>
      <c r="L207" s="276" t="s">
        <v>154</v>
      </c>
      <c r="M207" s="276" t="s">
        <v>155</v>
      </c>
      <c r="N207" s="276" t="s">
        <v>156</v>
      </c>
      <c r="O207" s="276" t="s">
        <v>157</v>
      </c>
      <c r="P207" s="276" t="s">
        <v>158</v>
      </c>
      <c r="Q207" s="276" t="s">
        <v>159</v>
      </c>
      <c r="R207" s="60"/>
    </row>
    <row r="208" spans="1:34" ht="40.5" customHeight="1">
      <c r="A208" s="801" t="s">
        <v>88</v>
      </c>
      <c r="B208" s="802"/>
      <c r="C208" s="803"/>
      <c r="D208" s="812" t="s">
        <v>315</v>
      </c>
      <c r="E208" s="816" t="s">
        <v>330</v>
      </c>
      <c r="F208" s="568" t="s">
        <v>306</v>
      </c>
      <c r="G208" s="222">
        <v>3500</v>
      </c>
      <c r="H208" s="222">
        <v>3475</v>
      </c>
      <c r="I208" s="222">
        <v>3450</v>
      </c>
      <c r="J208" s="222">
        <v>3425</v>
      </c>
      <c r="K208" s="222">
        <v>3400</v>
      </c>
      <c r="L208" s="222"/>
      <c r="M208" s="222"/>
      <c r="N208" s="222"/>
      <c r="O208" s="222"/>
      <c r="P208" s="222"/>
      <c r="Q208" s="222"/>
      <c r="R208" s="60"/>
    </row>
    <row r="209" spans="1:19" ht="23.25" customHeight="1">
      <c r="A209" s="804"/>
      <c r="B209" s="805"/>
      <c r="C209" s="806"/>
      <c r="D209" s="812"/>
      <c r="E209" s="817"/>
      <c r="F209" s="568" t="s">
        <v>331</v>
      </c>
      <c r="G209" s="222">
        <v>3191</v>
      </c>
      <c r="H209" s="222"/>
      <c r="I209" s="222"/>
      <c r="J209" s="222"/>
      <c r="K209" s="222"/>
      <c r="L209" s="222"/>
      <c r="M209" s="222"/>
      <c r="N209" s="222"/>
      <c r="O209" s="222"/>
      <c r="P209" s="222"/>
      <c r="Q209" s="222"/>
      <c r="R209" s="60"/>
    </row>
    <row r="210" spans="1:19" ht="48" customHeight="1">
      <c r="A210" s="801" t="s">
        <v>332</v>
      </c>
      <c r="B210" s="802"/>
      <c r="C210" s="803"/>
      <c r="D210" s="818" t="s">
        <v>304</v>
      </c>
      <c r="E210" s="781" t="s">
        <v>330</v>
      </c>
      <c r="F210" s="568" t="s">
        <v>306</v>
      </c>
      <c r="G210" s="328">
        <v>700</v>
      </c>
      <c r="H210" s="328">
        <v>720</v>
      </c>
      <c r="I210" s="223">
        <v>720</v>
      </c>
      <c r="J210" s="223">
        <v>740</v>
      </c>
      <c r="K210" s="382">
        <v>740</v>
      </c>
      <c r="L210" s="223"/>
      <c r="M210" s="223"/>
      <c r="N210" s="223"/>
      <c r="O210" s="223"/>
      <c r="P210" s="223"/>
      <c r="Q210" s="223"/>
      <c r="R210" s="60"/>
    </row>
    <row r="211" spans="1:19" ht="15.75" customHeight="1">
      <c r="A211" s="804"/>
      <c r="B211" s="805"/>
      <c r="C211" s="806"/>
      <c r="D211" s="818"/>
      <c r="E211" s="782"/>
      <c r="F211" s="569" t="s">
        <v>331</v>
      </c>
      <c r="G211" s="328">
        <v>847</v>
      </c>
      <c r="H211" s="328"/>
      <c r="I211" s="243"/>
      <c r="J211" s="243"/>
      <c r="K211" s="243"/>
      <c r="L211" s="243"/>
      <c r="M211" s="243"/>
      <c r="N211" s="243"/>
      <c r="O211" s="223"/>
      <c r="P211" s="223"/>
      <c r="Q211" s="223"/>
      <c r="R211" s="60"/>
    </row>
    <row r="212" spans="1:19" ht="38.25" customHeight="1">
      <c r="A212" s="783" t="s">
        <v>333</v>
      </c>
      <c r="B212" s="784"/>
      <c r="C212" s="785"/>
      <c r="D212" s="812" t="s">
        <v>315</v>
      </c>
      <c r="E212" s="816" t="s">
        <v>330</v>
      </c>
      <c r="F212" s="568" t="s">
        <v>306</v>
      </c>
      <c r="G212" s="328">
        <v>700</v>
      </c>
      <c r="H212" s="328">
        <v>720</v>
      </c>
      <c r="I212" s="223">
        <v>720</v>
      </c>
      <c r="J212" s="223">
        <v>740</v>
      </c>
      <c r="K212" s="382">
        <v>740</v>
      </c>
      <c r="L212" s="222"/>
      <c r="M212" s="222"/>
      <c r="N212" s="222"/>
      <c r="O212" s="222"/>
      <c r="P212" s="222"/>
      <c r="Q212" s="222"/>
      <c r="R212" s="60"/>
    </row>
    <row r="213" spans="1:19" ht="39.75" customHeight="1">
      <c r="A213" s="786"/>
      <c r="B213" s="787"/>
      <c r="C213" s="788"/>
      <c r="D213" s="812"/>
      <c r="E213" s="817"/>
      <c r="F213" s="568" t="s">
        <v>331</v>
      </c>
      <c r="G213" s="328">
        <v>671</v>
      </c>
      <c r="H213" s="328"/>
      <c r="I213" s="328"/>
      <c r="J213" s="328"/>
      <c r="K213" s="328"/>
      <c r="L213" s="222"/>
      <c r="M213" s="222"/>
      <c r="N213" s="222"/>
      <c r="O213" s="222"/>
      <c r="P213" s="222"/>
      <c r="Q213" s="222"/>
      <c r="R213" s="60"/>
    </row>
    <row r="214" spans="1:19" ht="39.75" customHeight="1">
      <c r="A214" s="783" t="s">
        <v>98</v>
      </c>
      <c r="B214" s="784"/>
      <c r="C214" s="785"/>
      <c r="D214" s="818" t="s">
        <v>304</v>
      </c>
      <c r="E214" s="781" t="s">
        <v>330</v>
      </c>
      <c r="F214" s="568" t="s">
        <v>306</v>
      </c>
      <c r="G214" s="457">
        <v>0.55000000000000004</v>
      </c>
      <c r="H214" s="457">
        <v>0.6</v>
      </c>
      <c r="I214" s="457">
        <v>0.65</v>
      </c>
      <c r="J214" s="457">
        <v>0.7</v>
      </c>
      <c r="K214" s="457">
        <v>0.75</v>
      </c>
      <c r="L214" s="328"/>
      <c r="M214" s="328"/>
      <c r="N214" s="328"/>
      <c r="O214" s="328"/>
      <c r="P214" s="328"/>
      <c r="Q214" s="328"/>
      <c r="R214" s="60"/>
    </row>
    <row r="215" spans="1:19" ht="39.75" customHeight="1">
      <c r="A215" s="786" t="s">
        <v>98</v>
      </c>
      <c r="B215" s="787"/>
      <c r="C215" s="788"/>
      <c r="D215" s="818"/>
      <c r="E215" s="782"/>
      <c r="F215" s="568" t="s">
        <v>331</v>
      </c>
      <c r="G215" s="457">
        <v>0.51900000000000002</v>
      </c>
      <c r="H215" s="457"/>
      <c r="I215" s="457"/>
      <c r="J215" s="457"/>
      <c r="K215" s="457"/>
      <c r="L215" s="328"/>
      <c r="M215" s="328"/>
      <c r="N215" s="328"/>
      <c r="O215" s="328"/>
      <c r="P215" s="328"/>
      <c r="Q215" s="328"/>
      <c r="R215" s="60"/>
    </row>
    <row r="216" spans="1:19" ht="35.25" customHeight="1">
      <c r="A216" s="819" t="s">
        <v>334</v>
      </c>
      <c r="B216" s="820"/>
      <c r="C216" s="821"/>
      <c r="D216" s="812" t="s">
        <v>315</v>
      </c>
      <c r="E216" s="816" t="s">
        <v>330</v>
      </c>
      <c r="F216" s="568" t="s">
        <v>306</v>
      </c>
      <c r="G216" s="329">
        <v>42</v>
      </c>
      <c r="H216" s="329">
        <v>53</v>
      </c>
      <c r="I216" s="329">
        <v>53</v>
      </c>
      <c r="J216" s="329">
        <v>66</v>
      </c>
      <c r="K216" s="329">
        <v>66</v>
      </c>
      <c r="L216" s="329"/>
      <c r="M216" s="329"/>
      <c r="N216" s="329"/>
      <c r="O216" s="329"/>
      <c r="P216" s="329"/>
      <c r="Q216" s="329"/>
      <c r="R216" s="60"/>
    </row>
    <row r="217" spans="1:19" ht="39" customHeight="1">
      <c r="A217" s="822"/>
      <c r="B217" s="823"/>
      <c r="C217" s="824"/>
      <c r="D217" s="812"/>
      <c r="E217" s="817"/>
      <c r="F217" s="569" t="s">
        <v>331</v>
      </c>
      <c r="G217" s="329">
        <v>45</v>
      </c>
      <c r="H217" s="329"/>
      <c r="I217" s="329"/>
      <c r="J217" s="329"/>
      <c r="K217" s="329"/>
      <c r="L217" s="329"/>
      <c r="M217" s="329"/>
      <c r="N217" s="329"/>
      <c r="O217" s="329"/>
      <c r="P217" s="329"/>
      <c r="Q217" s="329"/>
      <c r="R217" s="60"/>
    </row>
    <row r="218" spans="1:19" ht="43.5" customHeight="1">
      <c r="A218" s="783" t="s">
        <v>335</v>
      </c>
      <c r="B218" s="784"/>
      <c r="C218" s="785"/>
      <c r="D218" s="825" t="s">
        <v>304</v>
      </c>
      <c r="E218" s="781" t="s">
        <v>330</v>
      </c>
      <c r="F218" s="568" t="s">
        <v>306</v>
      </c>
      <c r="G218" s="457">
        <v>0.9</v>
      </c>
      <c r="H218" s="457">
        <v>0.91</v>
      </c>
      <c r="I218" s="457">
        <v>0.92</v>
      </c>
      <c r="J218" s="457">
        <v>0.93</v>
      </c>
      <c r="K218" s="457">
        <v>0.95</v>
      </c>
      <c r="L218" s="330"/>
      <c r="M218" s="330"/>
      <c r="N218" s="330"/>
      <c r="O218" s="330"/>
      <c r="P218" s="330"/>
      <c r="Q218" s="396"/>
      <c r="R218" s="60"/>
    </row>
    <row r="219" spans="1:19" ht="40.5" customHeight="1">
      <c r="A219" s="786"/>
      <c r="B219" s="787"/>
      <c r="C219" s="788"/>
      <c r="D219" s="826"/>
      <c r="E219" s="782"/>
      <c r="F219" s="568" t="s">
        <v>331</v>
      </c>
      <c r="G219" s="457">
        <v>0.93</v>
      </c>
      <c r="H219" s="457"/>
      <c r="I219" s="457"/>
      <c r="J219" s="457"/>
      <c r="K219" s="457"/>
      <c r="L219" s="328"/>
      <c r="M219" s="328"/>
      <c r="N219" s="328"/>
      <c r="O219" s="330"/>
      <c r="P219" s="330"/>
      <c r="Q219" s="330"/>
      <c r="R219" s="60"/>
    </row>
    <row r="220" spans="1:19" ht="20.25" customHeight="1">
      <c r="A220" s="3"/>
      <c r="B220" s="3"/>
      <c r="C220" s="3"/>
      <c r="D220" s="3"/>
      <c r="E220" s="3"/>
      <c r="F220" s="2"/>
      <c r="G220" s="3"/>
      <c r="H220" s="3"/>
      <c r="I220" s="3"/>
      <c r="J220" s="3"/>
      <c r="K220" s="3"/>
      <c r="L220" s="3"/>
      <c r="M220" s="3"/>
      <c r="N220" s="3"/>
      <c r="Q220" s="33"/>
    </row>
    <row r="221" spans="1:19">
      <c r="A221" s="3"/>
      <c r="B221" s="3"/>
      <c r="C221" s="3"/>
      <c r="D221" s="3"/>
      <c r="E221" s="3"/>
      <c r="F221" s="2"/>
      <c r="G221" s="3"/>
      <c r="H221" s="3"/>
      <c r="I221" s="3"/>
      <c r="J221" s="3"/>
      <c r="K221" s="3"/>
      <c r="L221" s="3"/>
      <c r="M221" s="3"/>
      <c r="N221" s="3"/>
      <c r="Q221" s="33"/>
    </row>
    <row r="222" spans="1:19" ht="4.5" customHeight="1" thickBot="1">
      <c r="A222" s="3"/>
      <c r="B222" s="3"/>
      <c r="C222" s="3"/>
      <c r="D222" s="3"/>
      <c r="E222" s="3"/>
      <c r="F222" s="2"/>
      <c r="G222" s="3"/>
      <c r="H222" s="3"/>
      <c r="I222" s="3"/>
      <c r="J222" s="3"/>
      <c r="K222" s="3"/>
      <c r="L222" s="3"/>
      <c r="M222" s="3"/>
      <c r="N222" s="3"/>
      <c r="Q222" s="33"/>
    </row>
    <row r="223" spans="1:19" ht="16.5" hidden="1" thickBot="1">
      <c r="A223" s="245"/>
      <c r="B223" s="3"/>
      <c r="C223" s="3"/>
      <c r="D223" s="3"/>
      <c r="E223" s="3"/>
      <c r="F223" s="2"/>
      <c r="G223" s="3"/>
      <c r="H223" s="3"/>
      <c r="I223" s="3"/>
      <c r="J223" s="3"/>
      <c r="K223" s="3"/>
      <c r="L223" s="3"/>
      <c r="M223" s="3"/>
      <c r="N223" s="3"/>
      <c r="Q223" s="33"/>
    </row>
    <row r="224" spans="1:19" ht="72" customHeight="1">
      <c r="A224" s="3" t="s">
        <v>326</v>
      </c>
      <c r="B224" s="3"/>
      <c r="C224" s="3"/>
      <c r="D224" s="244" t="s">
        <v>302</v>
      </c>
      <c r="E224" s="305" t="s">
        <v>303</v>
      </c>
      <c r="F224" s="206"/>
      <c r="G224" s="276" t="str">
        <f t="shared" ref="G224:Q224" si="18">B30</f>
        <v>P1</v>
      </c>
      <c r="H224" s="276" t="str">
        <f t="shared" si="18"/>
        <v>P2</v>
      </c>
      <c r="I224" s="276" t="str">
        <f t="shared" si="18"/>
        <v>P3</v>
      </c>
      <c r="J224" s="276" t="str">
        <f t="shared" si="18"/>
        <v>P4</v>
      </c>
      <c r="K224" s="276" t="str">
        <f t="shared" si="18"/>
        <v>P5</v>
      </c>
      <c r="L224" s="276" t="str">
        <f t="shared" si="18"/>
        <v>P6</v>
      </c>
      <c r="M224" s="276" t="str">
        <f t="shared" si="18"/>
        <v>P7</v>
      </c>
      <c r="N224" s="276" t="str">
        <f t="shared" si="18"/>
        <v>P8</v>
      </c>
      <c r="O224" s="276" t="str">
        <f t="shared" si="18"/>
        <v>P9</v>
      </c>
      <c r="P224" s="276" t="str">
        <f t="shared" si="18"/>
        <v>P10</v>
      </c>
      <c r="Q224" s="276" t="str">
        <f t="shared" si="18"/>
        <v>P11</v>
      </c>
      <c r="R224" s="33"/>
      <c r="S224" s="33"/>
    </row>
    <row r="225" spans="1:19">
      <c r="A225" s="837" t="str">
        <f>IF(ISBLANK(A208),"",(A208))</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B225" s="838"/>
      <c r="C225" s="839"/>
      <c r="D225" s="835" t="str">
        <f>IF(ISBLANK(D208),"",(D208))</f>
        <v xml:space="preserve"> Топ 10</v>
      </c>
      <c r="E225" s="846" t="str">
        <f>IF(ISBLANK(E208),"",(E208))</f>
        <v>да</v>
      </c>
      <c r="F225" s="568" t="s">
        <v>306</v>
      </c>
      <c r="G225" s="570">
        <f t="shared" ref="G225:Q225" si="19">G208</f>
        <v>3500</v>
      </c>
      <c r="H225" s="570">
        <f t="shared" si="19"/>
        <v>3475</v>
      </c>
      <c r="I225" s="570">
        <f t="shared" si="19"/>
        <v>3450</v>
      </c>
      <c r="J225" s="570">
        <f t="shared" si="19"/>
        <v>3425</v>
      </c>
      <c r="K225" s="570">
        <f t="shared" si="19"/>
        <v>3400</v>
      </c>
      <c r="L225" s="570">
        <f t="shared" si="19"/>
        <v>0</v>
      </c>
      <c r="M225" s="570">
        <f t="shared" si="19"/>
        <v>0</v>
      </c>
      <c r="N225" s="570">
        <f t="shared" si="19"/>
        <v>0</v>
      </c>
      <c r="O225" s="570">
        <f t="shared" si="19"/>
        <v>0</v>
      </c>
      <c r="P225" s="570">
        <f t="shared" si="19"/>
        <v>0</v>
      </c>
      <c r="Q225" s="570">
        <f t="shared" si="19"/>
        <v>0</v>
      </c>
      <c r="R225" s="33"/>
      <c r="S225" s="33"/>
    </row>
    <row r="226" spans="1:19" ht="88.5" customHeight="1" thickBot="1">
      <c r="A226" s="830"/>
      <c r="B226" s="831"/>
      <c r="C226" s="832"/>
      <c r="D226" s="850"/>
      <c r="E226" s="851"/>
      <c r="F226" s="571" t="s">
        <v>331</v>
      </c>
      <c r="G226" s="570">
        <f t="shared" ref="G226:J230" si="20">G209</f>
        <v>3191</v>
      </c>
      <c r="H226" s="570">
        <f t="shared" si="20"/>
        <v>0</v>
      </c>
      <c r="I226" s="570">
        <f t="shared" si="20"/>
        <v>0</v>
      </c>
      <c r="J226" s="570">
        <f t="shared" si="20"/>
        <v>0</v>
      </c>
      <c r="K226" s="570">
        <f t="shared" ref="K226:Q230" si="21">K209</f>
        <v>0</v>
      </c>
      <c r="L226" s="570">
        <f t="shared" si="21"/>
        <v>0</v>
      </c>
      <c r="M226" s="570">
        <f t="shared" si="21"/>
        <v>0</v>
      </c>
      <c r="N226" s="570">
        <f t="shared" si="21"/>
        <v>0</v>
      </c>
      <c r="O226" s="570">
        <f t="shared" si="21"/>
        <v>0</v>
      </c>
      <c r="P226" s="570">
        <f t="shared" si="21"/>
        <v>0</v>
      </c>
      <c r="Q226" s="570">
        <f t="shared" si="21"/>
        <v>0</v>
      </c>
      <c r="R226" s="33"/>
      <c r="S226" s="33"/>
    </row>
    <row r="227" spans="1:19">
      <c r="A227" s="840" t="str">
        <f>IF(ISBLANK(A210),"",(A210))</f>
        <v xml:space="preserve">MDR TB-2: Количество бактериологически подтвержденных зарегистрированных ЛУ-ТБ случаев (РУ-ТБ и/или МЛУ-ТБ)		</v>
      </c>
      <c r="B227" s="841"/>
      <c r="C227" s="842"/>
      <c r="D227" s="833" t="str">
        <f>IF(ISBLANK(D210),"",(D210))</f>
        <v>Топ 10</v>
      </c>
      <c r="E227" s="848" t="str">
        <f>IF(ISBLANK(E210),"",(E210))</f>
        <v>да</v>
      </c>
      <c r="F227" s="569" t="s">
        <v>306</v>
      </c>
      <c r="G227" s="572">
        <f t="shared" si="20"/>
        <v>700</v>
      </c>
      <c r="H227" s="572">
        <f>H210</f>
        <v>720</v>
      </c>
      <c r="I227" s="572">
        <f t="shared" si="20"/>
        <v>720</v>
      </c>
      <c r="J227" s="572">
        <f>J210</f>
        <v>740</v>
      </c>
      <c r="K227" s="572">
        <f t="shared" si="21"/>
        <v>740</v>
      </c>
      <c r="L227" s="572">
        <f t="shared" si="21"/>
        <v>0</v>
      </c>
      <c r="M227" s="572">
        <f t="shared" si="21"/>
        <v>0</v>
      </c>
      <c r="N227" s="572">
        <f t="shared" si="21"/>
        <v>0</v>
      </c>
      <c r="O227" s="572">
        <f t="shared" si="21"/>
        <v>0</v>
      </c>
      <c r="P227" s="572">
        <f t="shared" si="21"/>
        <v>0</v>
      </c>
      <c r="Q227" s="572">
        <f t="shared" si="21"/>
        <v>0</v>
      </c>
      <c r="R227" s="33"/>
      <c r="S227" s="33"/>
    </row>
    <row r="228" spans="1:19" ht="96.75" customHeight="1" thickBot="1">
      <c r="A228" s="843"/>
      <c r="B228" s="844"/>
      <c r="C228" s="845"/>
      <c r="D228" s="834"/>
      <c r="E228" s="849"/>
      <c r="F228" s="569" t="s">
        <v>331</v>
      </c>
      <c r="G228" s="572">
        <f t="shared" si="20"/>
        <v>847</v>
      </c>
      <c r="H228" s="572">
        <f t="shared" si="20"/>
        <v>0</v>
      </c>
      <c r="I228" s="572">
        <f t="shared" si="20"/>
        <v>0</v>
      </c>
      <c r="J228" s="572">
        <f t="shared" si="20"/>
        <v>0</v>
      </c>
      <c r="K228" s="572">
        <f t="shared" si="21"/>
        <v>0</v>
      </c>
      <c r="L228" s="572">
        <f t="shared" si="21"/>
        <v>0</v>
      </c>
      <c r="M228" s="572">
        <f t="shared" si="21"/>
        <v>0</v>
      </c>
      <c r="N228" s="572">
        <f t="shared" si="21"/>
        <v>0</v>
      </c>
      <c r="O228" s="572">
        <f t="shared" si="21"/>
        <v>0</v>
      </c>
      <c r="P228" s="572">
        <f t="shared" si="21"/>
        <v>0</v>
      </c>
      <c r="Q228" s="572">
        <f t="shared" si="21"/>
        <v>0</v>
      </c>
      <c r="R228" s="33"/>
      <c r="S228" s="33"/>
    </row>
    <row r="229" spans="1:19">
      <c r="A229" s="827" t="str">
        <f>IF(ISBLANK(A212),"",(A212))</f>
        <v xml:space="preserve">MDR TB-3: Количество случаев с РУ/МЛУ ТБ, начавших лечение препаратами второго ряда		</v>
      </c>
      <c r="B229" s="828"/>
      <c r="C229" s="829"/>
      <c r="D229" s="835" t="str">
        <f>IF(ISBLANK(D212),"",(D212))</f>
        <v xml:space="preserve"> Топ 10</v>
      </c>
      <c r="E229" s="846" t="str">
        <f>IF(ISBLANK(E212),"",(E212))</f>
        <v>да</v>
      </c>
      <c r="F229" s="573" t="s">
        <v>306</v>
      </c>
      <c r="G229" s="570">
        <f t="shared" si="20"/>
        <v>700</v>
      </c>
      <c r="H229" s="570">
        <f t="shared" si="20"/>
        <v>720</v>
      </c>
      <c r="I229" s="570">
        <f t="shared" si="20"/>
        <v>720</v>
      </c>
      <c r="J229" s="574">
        <f t="shared" si="20"/>
        <v>740</v>
      </c>
      <c r="K229" s="570">
        <f t="shared" si="21"/>
        <v>740</v>
      </c>
      <c r="L229" s="570">
        <f t="shared" si="21"/>
        <v>0</v>
      </c>
      <c r="M229" s="570">
        <f t="shared" si="21"/>
        <v>0</v>
      </c>
      <c r="N229" s="570">
        <f t="shared" si="21"/>
        <v>0</v>
      </c>
      <c r="O229" s="570">
        <f t="shared" si="21"/>
        <v>0</v>
      </c>
      <c r="P229" s="570">
        <f t="shared" si="21"/>
        <v>0</v>
      </c>
      <c r="Q229" s="570">
        <f t="shared" si="21"/>
        <v>0</v>
      </c>
      <c r="R229" s="33"/>
      <c r="S229" s="33"/>
    </row>
    <row r="230" spans="1:19" ht="96.75" customHeight="1" thickBot="1">
      <c r="A230" s="830"/>
      <c r="B230" s="831"/>
      <c r="C230" s="832"/>
      <c r="D230" s="836"/>
      <c r="E230" s="847"/>
      <c r="F230" s="575" t="s">
        <v>331</v>
      </c>
      <c r="G230" s="576">
        <f t="shared" si="20"/>
        <v>671</v>
      </c>
      <c r="H230" s="576">
        <f t="shared" si="20"/>
        <v>0</v>
      </c>
      <c r="I230" s="576">
        <f t="shared" si="20"/>
        <v>0</v>
      </c>
      <c r="J230" s="577">
        <f t="shared" si="20"/>
        <v>0</v>
      </c>
      <c r="K230" s="570">
        <f t="shared" si="21"/>
        <v>0</v>
      </c>
      <c r="L230" s="570">
        <f t="shared" si="21"/>
        <v>0</v>
      </c>
      <c r="M230" s="570">
        <f t="shared" si="21"/>
        <v>0</v>
      </c>
      <c r="N230" s="570">
        <f t="shared" si="21"/>
        <v>0</v>
      </c>
      <c r="O230" s="570">
        <f t="shared" si="21"/>
        <v>0</v>
      </c>
      <c r="P230" s="570">
        <f t="shared" si="21"/>
        <v>0</v>
      </c>
      <c r="Q230" s="570">
        <f t="shared" si="21"/>
        <v>0</v>
      </c>
      <c r="R230" s="33"/>
      <c r="S230" s="33"/>
    </row>
    <row r="231" spans="1:19">
      <c r="A231" s="3"/>
      <c r="B231" s="3"/>
      <c r="C231" s="3"/>
      <c r="D231" s="3"/>
      <c r="E231" s="3"/>
      <c r="F231" s="3"/>
      <c r="G231" s="3"/>
      <c r="H231" s="3"/>
      <c r="I231" s="3"/>
      <c r="J231" s="3"/>
      <c r="K231" s="3"/>
      <c r="L231" s="3"/>
      <c r="M231"/>
      <c r="N231"/>
      <c r="O231" s="33"/>
      <c r="P231" s="33"/>
    </row>
    <row r="232" spans="1:19">
      <c r="M232"/>
      <c r="N232"/>
      <c r="O232" s="33"/>
      <c r="P232" s="33"/>
    </row>
    <row r="233" spans="1:19" ht="14.25" customHeight="1">
      <c r="M233"/>
      <c r="N233"/>
      <c r="O233" s="33"/>
      <c r="P233" s="33"/>
    </row>
    <row r="234" spans="1:19">
      <c r="M234"/>
      <c r="N234"/>
      <c r="O234" s="33"/>
      <c r="P234" s="33"/>
    </row>
  </sheetData>
  <mergeCells count="112">
    <mergeCell ref="E172:E173"/>
    <mergeCell ref="A174:C175"/>
    <mergeCell ref="D174:D175"/>
    <mergeCell ref="E174:E175"/>
    <mergeCell ref="A190:C191"/>
    <mergeCell ref="D190:D191"/>
    <mergeCell ref="E195:E196"/>
    <mergeCell ref="A197:C198"/>
    <mergeCell ref="A123:A140"/>
    <mergeCell ref="A170:C171"/>
    <mergeCell ref="D170:D171"/>
    <mergeCell ref="E170:E171"/>
    <mergeCell ref="A172:C173"/>
    <mergeCell ref="D172:D173"/>
    <mergeCell ref="D188:D189"/>
    <mergeCell ref="E188:E189"/>
    <mergeCell ref="A182:C183"/>
    <mergeCell ref="D182:D183"/>
    <mergeCell ref="E182:E183"/>
    <mergeCell ref="A184:C185"/>
    <mergeCell ref="D184:D185"/>
    <mergeCell ref="E184:E185"/>
    <mergeCell ref="A176:C177"/>
    <mergeCell ref="D176:D177"/>
    <mergeCell ref="A202:C203"/>
    <mergeCell ref="D202:D203"/>
    <mergeCell ref="E202:E203"/>
    <mergeCell ref="E190:E191"/>
    <mergeCell ref="A195:C196"/>
    <mergeCell ref="D195:D196"/>
    <mergeCell ref="D197:D198"/>
    <mergeCell ref="E197:E198"/>
    <mergeCell ref="A199:C200"/>
    <mergeCell ref="D199:D200"/>
    <mergeCell ref="E199:E200"/>
    <mergeCell ref="A141:A158"/>
    <mergeCell ref="A81:B81"/>
    <mergeCell ref="A82:B82"/>
    <mergeCell ref="N31:N34"/>
    <mergeCell ref="D208:D209"/>
    <mergeCell ref="E208:E209"/>
    <mergeCell ref="E210:E211"/>
    <mergeCell ref="D210:D211"/>
    <mergeCell ref="E56:H56"/>
    <mergeCell ref="E176:E177"/>
    <mergeCell ref="A178:C179"/>
    <mergeCell ref="D178:D179"/>
    <mergeCell ref="E178:E179"/>
    <mergeCell ref="A180:C181"/>
    <mergeCell ref="D180:D181"/>
    <mergeCell ref="E180:E181"/>
    <mergeCell ref="A167:C167"/>
    <mergeCell ref="A168:C169"/>
    <mergeCell ref="D168:D169"/>
    <mergeCell ref="E168:E169"/>
    <mergeCell ref="A186:C187"/>
    <mergeCell ref="D186:D187"/>
    <mergeCell ref="E186:E187"/>
    <mergeCell ref="A188:C189"/>
    <mergeCell ref="E216:E217"/>
    <mergeCell ref="A216:C217"/>
    <mergeCell ref="E218:E219"/>
    <mergeCell ref="D218:D219"/>
    <mergeCell ref="D216:D217"/>
    <mergeCell ref="A229:C230"/>
    <mergeCell ref="D227:D228"/>
    <mergeCell ref="D229:D230"/>
    <mergeCell ref="A225:C226"/>
    <mergeCell ref="A227:C228"/>
    <mergeCell ref="E229:E230"/>
    <mergeCell ref="E227:E228"/>
    <mergeCell ref="D225:D226"/>
    <mergeCell ref="E225:E226"/>
    <mergeCell ref="A218:C219"/>
    <mergeCell ref="A18:B18"/>
    <mergeCell ref="D10:E10"/>
    <mergeCell ref="B12:C12"/>
    <mergeCell ref="E214:E215"/>
    <mergeCell ref="A214:C215"/>
    <mergeCell ref="A26:B26"/>
    <mergeCell ref="A80:B80"/>
    <mergeCell ref="A69:C69"/>
    <mergeCell ref="A83:B83"/>
    <mergeCell ref="A29:M29"/>
    <mergeCell ref="A210:C211"/>
    <mergeCell ref="A212:C213"/>
    <mergeCell ref="A84:B84"/>
    <mergeCell ref="G16:H16"/>
    <mergeCell ref="C24:D24"/>
    <mergeCell ref="F24:G24"/>
    <mergeCell ref="H24:I24"/>
    <mergeCell ref="C18:E18"/>
    <mergeCell ref="A21:I21"/>
    <mergeCell ref="D212:D213"/>
    <mergeCell ref="A207:C207"/>
    <mergeCell ref="A208:C209"/>
    <mergeCell ref="E212:E213"/>
    <mergeCell ref="D214:D215"/>
    <mergeCell ref="B1:C1"/>
    <mergeCell ref="B8:C8"/>
    <mergeCell ref="A14:I14"/>
    <mergeCell ref="B6:C6"/>
    <mergeCell ref="D6:E6"/>
    <mergeCell ref="H6:I6"/>
    <mergeCell ref="H8:I8"/>
    <mergeCell ref="B10:C10"/>
    <mergeCell ref="D12:E12"/>
    <mergeCell ref="F12:I12"/>
    <mergeCell ref="A2:I2"/>
    <mergeCell ref="B4:C4"/>
    <mergeCell ref="D4:E4"/>
    <mergeCell ref="F10:I10"/>
  </mergeCells>
  <phoneticPr fontId="30" type="noConversion"/>
  <conditionalFormatting sqref="A34 E32:G32 A32 L33:M33">
    <cfRule type="expression" dxfId="88" priority="28" stopIfTrue="1">
      <formula>+AND(A31&gt;=#REF!,A31&lt;=#REF!)</formula>
    </cfRule>
  </conditionalFormatting>
  <conditionalFormatting sqref="L34:M34">
    <cfRule type="expression" dxfId="87" priority="29" stopIfTrue="1">
      <formula>+AND(L32&gt;=#REF!,L32&lt;=#REF!)</formula>
    </cfRule>
  </conditionalFormatting>
  <conditionalFormatting sqref="B110:M110 B30:M30">
    <cfRule type="cellIs" dxfId="86" priority="32" stopIfTrue="1" operator="equal">
      <formula>$B$16</formula>
    </cfRule>
  </conditionalFormatting>
  <conditionalFormatting sqref="B12:C12">
    <cfRule type="cellIs" dxfId="85" priority="34" stopIfTrue="1" operator="equal">
      <formula>"C"</formula>
    </cfRule>
    <cfRule type="cellIs" dxfId="84" priority="35" stopIfTrue="1" operator="equal">
      <formula>"B2"</formula>
    </cfRule>
    <cfRule type="cellIs" dxfId="83" priority="36" stopIfTrue="1" operator="equal">
      <formula>"B1"</formula>
    </cfRule>
  </conditionalFormatting>
  <conditionalFormatting sqref="G224:Q224 G207:H207">
    <cfRule type="cellIs" dxfId="82" priority="43" stopIfTrue="1" operator="equal">
      <formula>$B$16</formula>
    </cfRule>
  </conditionalFormatting>
  <conditionalFormatting sqref="F33:K33">
    <cfRule type="expression" dxfId="81" priority="21" stopIfTrue="1">
      <formula>+AND(F32&gt;=#REF!,F32&lt;=#REF!)</formula>
    </cfRule>
  </conditionalFormatting>
  <conditionalFormatting sqref="F34:K34">
    <cfRule type="expression" dxfId="80" priority="20" stopIfTrue="1">
      <formula>+AND(F32&gt;=#REF!,F32&lt;=#REF!)</formula>
    </cfRule>
  </conditionalFormatting>
  <conditionalFormatting sqref="E56:H56">
    <cfRule type="expression" dxfId="79" priority="17" stopIfTrue="1">
      <formula>LEFT($E$56,3)="Все"</formula>
    </cfRule>
  </conditionalFormatting>
  <conditionalFormatting sqref="B33:C33 B31:B32">
    <cfRule type="expression" dxfId="78" priority="12" stopIfTrue="1">
      <formula>+AND(B30&gt;=#REF!,B30&lt;=#REF!)</formula>
    </cfRule>
  </conditionalFormatting>
  <conditionalFormatting sqref="B34:E34">
    <cfRule type="expression" dxfId="77" priority="13" stopIfTrue="1">
      <formula>+AND(B32&gt;=#REF!,B32&lt;=#REF!)</formula>
    </cfRule>
  </conditionalFormatting>
  <conditionalFormatting sqref="G167:Q167">
    <cfRule type="cellIs" dxfId="76" priority="11" stopIfTrue="1" operator="equal">
      <formula>$B$16</formula>
    </cfRule>
  </conditionalFormatting>
  <conditionalFormatting sqref="H194">
    <cfRule type="cellIs" dxfId="75" priority="6" stopIfTrue="1" operator="equal">
      <formula>$B$16</formula>
    </cfRule>
  </conditionalFormatting>
  <conditionalFormatting sqref="G194">
    <cfRule type="cellIs" dxfId="74" priority="9" stopIfTrue="1" operator="equal">
      <formula>$B$16</formula>
    </cfRule>
  </conditionalFormatting>
  <conditionalFormatting sqref="D32:D33 E33">
    <cfRule type="expression" dxfId="73" priority="3" stopIfTrue="1">
      <formula>+AND(D31&gt;=#REF!,D31&lt;=#REF!)</formula>
    </cfRule>
  </conditionalFormatting>
  <conditionalFormatting sqref="I194:Q194">
    <cfRule type="cellIs" dxfId="72" priority="2" stopIfTrue="1" operator="equal">
      <formula>$B$16</formula>
    </cfRule>
  </conditionalFormatting>
  <conditionalFormatting sqref="I207:Q207">
    <cfRule type="cellIs" dxfId="71" priority="1" stopIfTrue="1" operator="equal">
      <formula>$B$16</formula>
    </cfRule>
  </conditionalFormatting>
  <dataValidations disablePrompts="1" count="9">
    <dataValidation type="list" allowBlank="1" showInputMessage="1" showErrorMessage="1" sqref="F6 IW159 SS159 ACO159 AMK159 AWG159 BGC159 BPY159 BZU159 CJQ159 CTM159 DDI159 DNE159 DXA159 EGW159 EQS159 FAO159 FKK159 FUG159 GEC159 GNY159 GXU159 HHQ159 HRM159 IBI159 ILE159 IVA159 JEW159 JOS159 JYO159 KIK159 KSG159 LCC159 LLY159 LVU159 MFQ159 MPM159 MZI159 NJE159 NTA159 OCW159 OMS159 OWO159 PGK159 PQG159 QAC159 QJY159 QTU159 RDQ159 RNM159 RXI159 SHE159 SRA159 TAW159 TKS159 TUO159 UEK159 UOG159 UYC159 VHY159 VRU159 WBQ159 WLM159 WVI159 A123">
      <formula1>Component</formula1>
    </dataValidation>
    <dataValidation type="list" allowBlank="1" showInputMessage="1" showErrorMessage="1" sqref="B16">
      <formula1>PERIOD</formula1>
    </dataValidation>
    <dataValidation type="list" allowBlank="1" showInputMessage="1" showErrorMessage="1" sqref="F10:I10">
      <formula1>LFA</formula1>
    </dataValidation>
    <dataValidation type="list" allowBlank="1" showInputMessage="1" showErrorMessage="1" sqref="B12:C12">
      <formula1>Rating</formula1>
    </dataValidation>
    <dataValidation type="list" allowBlank="1" showInputMessage="1" showErrorMessage="1" sqref="H8:I8">
      <formula1>Phase</formula1>
    </dataValidation>
    <dataValidation type="list" allowBlank="1" showInputMessage="1" showErrorMessage="1" sqref="F8">
      <formula1>Round</formula1>
    </dataValidation>
    <dataValidation type="list" allowBlank="1" showInputMessage="1" showErrorMessage="1" sqref="C26">
      <formula1>Currency</formula1>
    </dataValidation>
    <dataValidation type="list" allowBlank="1" showInputMessage="1" showErrorMessage="1" sqref="WVJ134:WVJ158 WLN134:WLN158 WBR134:WBR158 VRV134:VRV158 VHZ134:VHZ158 UYD134:UYD158 UOH134:UOH158 UEL134:UEL158 TUP134:TUP158 TKT134:TKT158 TAX134:TAX158 SRB134:SRB158 SHF134:SHF158 RXJ134:RXJ158 RNN134:RNN158 RDR134:RDR158 QTV134:QTV158 QJZ134:QJZ158 QAD134:QAD158 PQH134:PQH158 PGL134:PGL158 OWP134:OWP158 OMT134:OMT158 OCX134:OCX158 NTB134:NTB158 NJF134:NJF158 MZJ134:MZJ158 MPN134:MPN158 MFR134:MFR158 LVV134:LVV158 LLZ134:LLZ158 LCD134:LCD158 KSH134:KSH158 KIL134:KIL158 JYP134:JYP158 JOT134:JOT158 JEX134:JEX158 IVB134:IVB158 ILF134:ILF158 IBJ134:IBJ158 HRN134:HRN158 HHR134:HHR158 GXV134:GXV158 GNZ134:GNZ158 GED134:GED158 FUH134:FUH158 FKL134:FKL158 FAP134:FAP158 EQT134:EQT158 EGX134:EGX158 DXB134:DXB158 DNF134:DNF158 DDJ134:DDJ158 CTN134:CTN158 CJR134:CJR158 BZV134:BZV158 BPZ134:BPZ158 BGD134:BGD158 AWH134:AWH158 AML134:AML158 ACP134:ACP158 ST134:ST158 IX134:IX158 B141:B158">
      <formula1>мва</formula1>
    </dataValidation>
    <dataValidation type="list" allowBlank="1" showInputMessage="1" showErrorMessage="1" sqref="WVJ159:WVJ162 IX159:IX162 ST159:ST162 ACP159:ACP162 AML159:AML162 AWH159:AWH162 BGD159:BGD162 BPZ159:BPZ162 BZV159:BZV162 CJR159:CJR162 CTN159:CTN162 DDJ159:DDJ162 DNF159:DNF162 DXB159:DXB162 EGX159:EGX162 EQT159:EQT162 FAP159:FAP162 FKL159:FKL162 FUH159:FUH162 GED159:GED162 GNZ159:GNZ162 GXV159:GXV162 HHR159:HHR162 HRN159:HRN162 IBJ159:IBJ162 ILF159:ILF162 IVB159:IVB162 JEX159:JEX162 JOT159:JOT162 JYP159:JYP162 KIL159:KIL162 KSH159:KSH162 LCD159:LCD162 LLZ159:LLZ162 LVV159:LVV162 MFR159:MFR162 MPN159:MPN162 MZJ159:MZJ162 NJF159:NJF162 NTB159:NTB162 OCX159:OCX162 OMT159:OMT162 OWP159:OWP162 PGL159:PGL162 PQH159:PQH162 QAD159:QAD162 QJZ159:QJZ162 QTV159:QTV162 RDR159:RDR162 RNN159:RNN162 RXJ159:RXJ162 SHF159:SHF162 SRB159:SRB162 TAX159:TAX162 TKT159:TKT162 TUP159:TUP162 UEL159:UEL162 UOH159:UOH162 UYD159:UYD162 VHZ159:VHZ162 VRV159:VRV162 WBR159:WBR162 WLN159:WLN162 B134:B140">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57" max="16383" man="1"/>
  </rowBreaks>
  <ignoredErrors>
    <ignoredError sqref="G224:Q224 D225"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A136" zoomScale="90" zoomScaleNormal="110" zoomScaleSheetLayoutView="100" workbookViewId="0">
      <selection activeCell="F23" sqref="F23"/>
    </sheetView>
  </sheetViews>
  <sheetFormatPr defaultColWidth="11.42578125" defaultRowHeight="15"/>
  <cols>
    <col min="1" max="1" width="21.140625" style="3" customWidth="1"/>
    <col min="2" max="2" width="19.5703125" style="3" customWidth="1"/>
    <col min="3" max="3" width="20.5703125" style="3" customWidth="1"/>
    <col min="4" max="4" width="20.42578125" style="3" customWidth="1"/>
    <col min="5" max="5" width="10.85546875" style="3" customWidth="1"/>
    <col min="6" max="6" width="17.42578125" style="3" customWidth="1"/>
    <col min="7" max="7" width="15.5703125" style="3" customWidth="1"/>
    <col min="8" max="8" width="20.140625" style="3" bestFit="1" customWidth="1"/>
    <col min="9" max="9" width="9.42578125" style="3" customWidth="1"/>
    <col min="10" max="10" width="10.2851562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8"/>
      <c r="H1" s="2"/>
      <c r="I1" s="2"/>
      <c r="J1" s="2"/>
    </row>
    <row r="2" spans="1:24" ht="25.5" customHeight="1"/>
    <row r="3" spans="1:24" ht="36">
      <c r="B3" s="899" t="str">
        <f>+"Панель показателей: "&amp;" "&amp;+IF('Ввод данных'!B4="Выберите","",'Ввод данных'!B4&amp;" - ")&amp;+IF('Ввод данных'!F6="Выберите","",'Ввод данных'!F6)</f>
        <v>Панель показателей:  Кыргызстан - ВИЧ/СПИД/ТБ</v>
      </c>
      <c r="C3" s="899"/>
      <c r="D3" s="899"/>
      <c r="E3" s="899"/>
      <c r="F3" s="899"/>
      <c r="G3" s="899"/>
      <c r="H3" s="899"/>
      <c r="I3" s="899"/>
      <c r="J3" s="89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601" t="s">
        <v>113</v>
      </c>
      <c r="B6" s="901" t="str">
        <f>+IF('Ввод данных'!B4="Выберите","",'Ввод данных'!B4)</f>
        <v>Кыргызстан</v>
      </c>
      <c r="C6" s="901"/>
      <c r="D6" s="905" t="s">
        <v>115</v>
      </c>
      <c r="E6" s="905"/>
      <c r="F6" s="906" t="str">
        <f>+'Ввод данных'!F4</f>
        <v>«Эффективный контроль за ВИЧ-инфекцией и туберкулезом в Кыргызской Республике»</v>
      </c>
      <c r="G6" s="906"/>
      <c r="H6" s="906"/>
      <c r="I6" s="906"/>
      <c r="J6" s="906"/>
      <c r="K6" s="47"/>
      <c r="L6" s="75"/>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15.75">
      <c r="A9" s="600" t="s">
        <v>119</v>
      </c>
      <c r="B9" s="307" t="str">
        <f>+IF('Ввод данных'!F6="Please Select","",'Ввод данных'!F6)</f>
        <v>ВИЧ/СПИД/ТБ</v>
      </c>
      <c r="C9" s="188" t="s">
        <v>336</v>
      </c>
      <c r="D9" s="254" t="str">
        <f>+'Ввод данных'!B6</f>
        <v>KGZ-C-UNDP</v>
      </c>
      <c r="E9" s="903" t="s">
        <v>337</v>
      </c>
      <c r="F9" s="903"/>
      <c r="G9" s="255">
        <f>+IF(ISBLANK('Ввод данных'!B10),"",'Ввод данных'!B10)</f>
        <v>43282</v>
      </c>
      <c r="H9" s="318" t="s">
        <v>338</v>
      </c>
      <c r="I9" s="902">
        <f>+IF(ISBLANK('Ввод данных'!H6),"",'Ввод данных'!H6)</f>
        <v>20959824.059999999</v>
      </c>
      <c r="J9" s="902"/>
      <c r="K9" s="47"/>
      <c r="L9" s="47"/>
      <c r="M9" s="47"/>
      <c r="N9" s="47"/>
      <c r="O9" s="49"/>
      <c r="P9" s="48"/>
      <c r="Q9" s="49"/>
      <c r="R9" s="50"/>
      <c r="S9" s="17"/>
      <c r="T9" s="11"/>
      <c r="U9" s="11"/>
      <c r="V9" s="10"/>
      <c r="W9" s="10"/>
      <c r="X9" s="10"/>
    </row>
    <row r="10" spans="1:24" ht="15.75" customHeight="1">
      <c r="A10" s="600" t="s">
        <v>124</v>
      </c>
      <c r="B10" s="308">
        <f>+IF('Ввод данных'!F8="Please Select","",'Ввод данных'!F8)</f>
        <v>0</v>
      </c>
      <c r="C10" s="188" t="s">
        <v>125</v>
      </c>
      <c r="D10" s="306">
        <f>+IF('Ввод данных'!H8="Please Select","",'Ввод данных'!H8)</f>
        <v>0</v>
      </c>
      <c r="E10" s="907" t="s">
        <v>122</v>
      </c>
      <c r="F10" s="908"/>
      <c r="G10" s="900" t="str">
        <f>+'Ввод данных'!B8</f>
        <v>ПРООН</v>
      </c>
      <c r="H10" s="900"/>
      <c r="I10" s="900"/>
      <c r="J10" s="900"/>
      <c r="K10" s="51"/>
      <c r="L10" s="51"/>
      <c r="M10" s="47"/>
      <c r="N10" s="51"/>
      <c r="O10" s="49"/>
      <c r="P10" s="48"/>
      <c r="Q10" s="11"/>
      <c r="R10" s="50"/>
      <c r="S10" s="17"/>
      <c r="T10" s="11"/>
      <c r="U10" s="11"/>
    </row>
    <row r="11" spans="1:24" ht="31.5" customHeight="1">
      <c r="A11" s="600" t="s">
        <v>339</v>
      </c>
      <c r="B11" s="599" t="str">
        <f>+'Ввод данных'!B16</f>
        <v>P1</v>
      </c>
      <c r="C11" s="248" t="s">
        <v>136</v>
      </c>
      <c r="D11" s="602">
        <f>+IF(ISBLANK('Ввод данных'!D16),"",'Ввод данных'!D16)</f>
        <v>43282</v>
      </c>
      <c r="E11" s="903" t="s">
        <v>340</v>
      </c>
      <c r="F11" s="903"/>
      <c r="G11" s="602">
        <f>+IF(ISBLANK('Ввод данных'!F16),"",'Ввод данных'!F16)</f>
        <v>43465</v>
      </c>
      <c r="H11" s="317" t="s">
        <v>341</v>
      </c>
      <c r="I11" s="909" t="str">
        <f>+IF('Ввод данных'!B12="Пожалуйста Выберите","",'Ввод данных'!B12)</f>
        <v>A2</v>
      </c>
      <c r="J11" s="909"/>
      <c r="K11" s="578"/>
      <c r="L11" s="51"/>
      <c r="M11" s="47"/>
      <c r="N11" s="51"/>
      <c r="O11" s="51"/>
      <c r="P11" s="48"/>
      <c r="Q11" s="11"/>
      <c r="R11" s="50"/>
      <c r="S11" s="17"/>
      <c r="T11" s="12"/>
      <c r="U11" s="11"/>
    </row>
    <row r="12" spans="1:24" ht="31.5" customHeight="1">
      <c r="A12" s="310" t="s">
        <v>127</v>
      </c>
      <c r="B12" s="900" t="str">
        <f>+IF('Ввод данных'!F10="Пожалуйста Выберите","",'Ввод данных'!F10)</f>
        <v>UNOPS</v>
      </c>
      <c r="C12" s="900"/>
      <c r="D12" s="900"/>
      <c r="E12" s="904" t="s">
        <v>342</v>
      </c>
      <c r="F12" s="904"/>
      <c r="G12" s="900" t="str">
        <f>+'Ввод данных'!F12</f>
        <v>Ольга Авдеева</v>
      </c>
      <c r="H12" s="900"/>
      <c r="I12" s="900"/>
      <c r="J12" s="900"/>
      <c r="K12" s="51"/>
      <c r="L12" s="51"/>
      <c r="M12" s="47"/>
      <c r="N12" s="51"/>
      <c r="O12" s="17"/>
      <c r="P12" s="48"/>
      <c r="Q12" s="11"/>
      <c r="R12" s="50"/>
      <c r="S12" s="17"/>
      <c r="T12" s="11"/>
      <c r="U12" s="52"/>
      <c r="V12" s="11"/>
      <c r="W12" s="12"/>
      <c r="X12" s="11"/>
    </row>
    <row r="13" spans="1:24" ht="27.75" customHeight="1">
      <c r="A13" s="309" t="s">
        <v>343</v>
      </c>
      <c r="B13" s="900" t="str">
        <f>+'Ввод данных'!C18</f>
        <v>ПРООН</v>
      </c>
      <c r="C13" s="900"/>
      <c r="D13" s="900"/>
      <c r="E13" s="904" t="s">
        <v>344</v>
      </c>
      <c r="F13" s="904"/>
      <c r="G13" s="910">
        <f>+IF(ISBLANK('Ввод данных'!I16),"",'Ввод данных'!I16)</f>
        <v>43559</v>
      </c>
      <c r="H13" s="908"/>
      <c r="I13" s="908"/>
      <c r="J13" s="908"/>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7"/>
      <c r="D16" s="16"/>
      <c r="E16" s="57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70" priority="1" stopIfTrue="1" operator="equal">
      <formula>"C"</formula>
    </cfRule>
    <cfRule type="cellIs" dxfId="69" priority="2" stopIfTrue="1" operator="equal">
      <formula>"B2"</formula>
    </cfRule>
    <cfRule type="cellIs" dxfId="68"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Q36"/>
  <sheetViews>
    <sheetView showGridLines="0" topLeftCell="A16" zoomScale="150" zoomScaleNormal="150" workbookViewId="0">
      <selection activeCell="K23" sqref="K23:M23"/>
    </sheetView>
  </sheetViews>
  <sheetFormatPr defaultColWidth="11" defaultRowHeight="15"/>
  <cols>
    <col min="1" max="1" width="3.85546875" customWidth="1"/>
    <col min="2" max="2" width="11.7109375" customWidth="1"/>
    <col min="3" max="3" width="5.140625" customWidth="1"/>
    <col min="4" max="4" width="12.42578125" customWidth="1"/>
    <col min="5" max="5" width="11.42578125" customWidth="1"/>
    <col min="6" max="6" width="14.28515625" customWidth="1"/>
    <col min="7" max="9" width="3.85546875" customWidth="1"/>
    <col min="10" max="10" width="10.28515625" customWidth="1"/>
    <col min="11" max="11" width="14.7109375" customWidth="1"/>
    <col min="12" max="12" width="12" customWidth="1"/>
    <col min="13" max="13" width="11.7109375" customWidth="1"/>
  </cols>
  <sheetData>
    <row r="1" spans="2:17" ht="30.75" customHeight="1">
      <c r="B1" s="3"/>
      <c r="C1" s="3"/>
      <c r="D1" s="3"/>
      <c r="E1" s="3"/>
      <c r="F1" s="3"/>
      <c r="G1" s="3"/>
      <c r="H1" s="3"/>
      <c r="I1" s="3"/>
      <c r="J1" s="3"/>
      <c r="K1" s="3"/>
      <c r="L1" s="3"/>
      <c r="M1" s="3"/>
    </row>
    <row r="2" spans="2:17" ht="27.75" customHeight="1">
      <c r="B2" s="918" t="str">
        <f>+"Панель показателей:  "&amp;"  "&amp;IF(+'Ввод данных'!B4="Выберите","",'Ввод данных'!B4&amp;" - ")&amp;IF('Ввод данных'!F6="Выберите","",'Ввод данных'!F6)</f>
        <v>Панель показателей:    Кыргызстан - ВИЧ/СПИД/ТБ</v>
      </c>
      <c r="C2" s="918"/>
      <c r="D2" s="918"/>
      <c r="E2" s="918"/>
      <c r="F2" s="918"/>
      <c r="G2" s="918"/>
      <c r="H2" s="918"/>
      <c r="I2" s="918"/>
      <c r="J2" s="918"/>
      <c r="K2" s="918"/>
      <c r="L2" s="918"/>
      <c r="M2" s="918"/>
      <c r="N2" s="1"/>
      <c r="O2" s="1"/>
      <c r="P2" s="1"/>
      <c r="Q2" s="1"/>
    </row>
    <row r="3" spans="2:17">
      <c r="B3" s="311">
        <f>+IF('Ввод данных'!F8="Выберите","",'Ввод данных'!F8)</f>
        <v>0</v>
      </c>
      <c r="C3" s="923"/>
      <c r="D3" s="923"/>
      <c r="E3" s="922"/>
      <c r="F3" s="922"/>
      <c r="G3" s="922"/>
      <c r="H3" s="922"/>
      <c r="I3" s="922"/>
      <c r="J3" s="922"/>
      <c r="K3" s="920" t="str">
        <f>+'Ввод данных'!A16</f>
        <v>Отчетный период</v>
      </c>
      <c r="L3" s="920"/>
      <c r="M3" s="169" t="str">
        <f>+'Ввод данных'!B16</f>
        <v>P1</v>
      </c>
      <c r="N3" s="76"/>
    </row>
    <row r="4" spans="2:17" ht="23.25">
      <c r="B4" s="319" t="str">
        <f>+'Ввод данных'!A12</f>
        <v>Последняя оценка:</v>
      </c>
      <c r="C4" s="924" t="str">
        <f>+IF('Ввод данных'!B12="Выберите","",'Ввод данных'!B12)</f>
        <v>A2</v>
      </c>
      <c r="D4" s="924"/>
      <c r="E4" s="922" t="str">
        <f>+'Ввод данных'!B8</f>
        <v>ПРООН</v>
      </c>
      <c r="F4" s="922"/>
      <c r="G4" s="922"/>
      <c r="H4" s="922"/>
      <c r="I4" s="922"/>
      <c r="J4" s="922"/>
      <c r="K4" s="920" t="str">
        <f>+'Ввод данных'!C16</f>
        <v>с:</v>
      </c>
      <c r="L4" s="921"/>
      <c r="M4" s="171">
        <f>+IF(ISBLANK('Ввод данных'!D16),"",'Ввод данных'!D16)</f>
        <v>43282</v>
      </c>
    </row>
    <row r="5" spans="2:17" ht="18.75" customHeight="1">
      <c r="B5" s="603"/>
      <c r="C5" s="603"/>
      <c r="D5" s="919" t="str">
        <f>+'Ввод данных'!F4</f>
        <v>«Эффективный контроль за ВИЧ-инфекцией и туберкулезом в Кыргызской Республике»</v>
      </c>
      <c r="E5" s="919"/>
      <c r="F5" s="919"/>
      <c r="G5" s="919"/>
      <c r="H5" s="919"/>
      <c r="I5" s="919"/>
      <c r="J5" s="919"/>
      <c r="K5" s="919"/>
      <c r="L5" s="603" t="str">
        <f>+'Ввод данных'!E16</f>
        <v>до:</v>
      </c>
      <c r="M5" s="171">
        <f>+IF(ISBLANK('Ввод данных'!F16),"",'Ввод данных'!F16)</f>
        <v>43465</v>
      </c>
    </row>
    <row r="6" spans="2:17" ht="18.75">
      <c r="B6" s="110"/>
      <c r="C6" s="603"/>
      <c r="D6" s="108"/>
      <c r="E6" s="925" t="s">
        <v>345</v>
      </c>
      <c r="F6" s="925"/>
      <c r="G6" s="925"/>
      <c r="H6" s="925"/>
      <c r="I6" s="925"/>
      <c r="J6" s="925"/>
      <c r="K6" s="3"/>
      <c r="L6" s="3"/>
      <c r="M6" s="3"/>
    </row>
    <row r="7" spans="2:17" ht="10.5" customHeight="1">
      <c r="B7" s="111"/>
      <c r="C7" s="112"/>
      <c r="D7" s="113"/>
      <c r="E7" s="114"/>
      <c r="F7" s="114"/>
      <c r="G7" s="115"/>
      <c r="H7" s="115"/>
      <c r="I7" s="115"/>
      <c r="J7" s="115"/>
      <c r="K7" s="604"/>
      <c r="L7" s="604"/>
      <c r="M7" s="109"/>
    </row>
    <row r="8" spans="2:17">
      <c r="B8" s="174" t="str">
        <f>+'Ввод данных'!A27&amp; " - в ("&amp;'Ввод данных'!C26&amp;")  "&amp;+K3&amp;" "&amp;+M3</f>
        <v>F1: Бюджет и выплаты Глобальным фондом - в ($)  Отчетный период P1</v>
      </c>
      <c r="C8" s="116"/>
      <c r="D8" s="2"/>
      <c r="E8" s="2"/>
      <c r="F8" s="2"/>
      <c r="J8" s="174" t="str">
        <f>+'Ввод данных'!A58&amp; " - в ("&amp;'Ввод данных'!C26&amp;")         "&amp;+K3&amp;" "&amp;+M3</f>
        <v>F3: Выплаты и расходы - в ($)         Отчетный период P1</v>
      </c>
      <c r="K8" s="3"/>
      <c r="L8" s="3"/>
      <c r="M8" s="3"/>
    </row>
    <row r="9" spans="2:17" ht="21.75" customHeight="1">
      <c r="B9" s="257" t="s">
        <v>346</v>
      </c>
      <c r="C9" s="931" t="s">
        <v>347</v>
      </c>
      <c r="D9" s="912"/>
      <c r="E9" s="912"/>
      <c r="F9" s="913"/>
      <c r="J9" s="258" t="s">
        <v>346</v>
      </c>
      <c r="K9" s="911" t="s">
        <v>692</v>
      </c>
      <c r="L9" s="912"/>
      <c r="M9" s="913"/>
    </row>
    <row r="10" spans="2:17">
      <c r="B10" s="2"/>
      <c r="C10" s="2"/>
      <c r="D10" s="2"/>
      <c r="E10" s="2"/>
      <c r="F10" s="2"/>
      <c r="G10" s="3"/>
      <c r="H10" s="3"/>
      <c r="I10" s="3"/>
      <c r="J10" s="3"/>
      <c r="K10" s="3"/>
      <c r="L10" s="3"/>
      <c r="M10" s="3"/>
    </row>
    <row r="11" spans="2:17">
      <c r="B11" s="2"/>
      <c r="C11" s="2"/>
      <c r="D11" s="2"/>
      <c r="E11" s="2"/>
      <c r="F11" s="2"/>
      <c r="G11" s="3"/>
      <c r="H11" s="3"/>
      <c r="I11" s="3"/>
      <c r="J11" s="3"/>
      <c r="K11" s="3"/>
      <c r="L11" s="3"/>
      <c r="M11" s="3"/>
    </row>
    <row r="12" spans="2:17">
      <c r="B12" s="2"/>
      <c r="C12" s="2"/>
      <c r="D12" s="2"/>
      <c r="E12" s="2"/>
      <c r="F12" s="2"/>
      <c r="G12" s="3"/>
      <c r="H12" s="3"/>
      <c r="I12" s="3"/>
      <c r="J12" s="3"/>
      <c r="K12" s="3"/>
      <c r="L12" s="3"/>
      <c r="M12" s="3"/>
    </row>
    <row r="13" spans="2:17">
      <c r="B13" s="2"/>
      <c r="C13" s="2"/>
      <c r="D13" s="2"/>
      <c r="E13" s="2"/>
      <c r="F13" s="2"/>
      <c r="G13" s="3"/>
      <c r="H13" s="3"/>
      <c r="I13" s="3"/>
      <c r="J13" s="3"/>
      <c r="K13" s="3"/>
      <c r="L13" s="3"/>
      <c r="M13" s="3"/>
    </row>
    <row r="14" spans="2:17">
      <c r="B14" s="2"/>
      <c r="C14" s="2"/>
      <c r="D14" s="2"/>
      <c r="E14" s="2"/>
      <c r="F14" s="2"/>
      <c r="G14" s="3"/>
      <c r="H14" s="3"/>
      <c r="I14" s="3"/>
      <c r="J14" s="3"/>
      <c r="K14" s="3"/>
      <c r="L14" s="3"/>
      <c r="M14" s="3"/>
    </row>
    <row r="15" spans="2:17">
      <c r="B15" s="2"/>
      <c r="C15" s="2"/>
      <c r="D15" s="2"/>
      <c r="E15" s="2"/>
      <c r="F15" s="2"/>
      <c r="G15" s="3"/>
      <c r="H15" s="3"/>
      <c r="I15" s="3"/>
      <c r="J15" s="3"/>
      <c r="K15" s="3"/>
      <c r="L15" s="3"/>
      <c r="M15" s="3"/>
    </row>
    <row r="16" spans="2:17">
      <c r="B16" s="2"/>
      <c r="C16" s="2"/>
      <c r="D16" s="2"/>
      <c r="E16" s="2"/>
      <c r="F16" s="2"/>
      <c r="G16" s="3"/>
      <c r="H16" s="3"/>
      <c r="I16" s="3"/>
      <c r="J16" s="3"/>
      <c r="K16" s="3"/>
      <c r="L16" s="3"/>
      <c r="M16" s="3"/>
    </row>
    <row r="17" spans="1:13">
      <c r="B17" s="2"/>
      <c r="C17" s="2"/>
      <c r="D17" s="2"/>
      <c r="E17" s="2"/>
      <c r="F17" s="2"/>
      <c r="G17" s="3"/>
      <c r="H17" s="3"/>
      <c r="I17" s="3"/>
      <c r="J17" s="3"/>
      <c r="K17" s="3"/>
      <c r="L17" s="3"/>
      <c r="M17" s="3"/>
    </row>
    <row r="18" spans="1:13">
      <c r="B18" s="2"/>
      <c r="C18" s="2"/>
      <c r="D18" s="2"/>
      <c r="E18" s="2"/>
      <c r="F18" s="2"/>
      <c r="G18" s="3"/>
      <c r="H18" s="3"/>
      <c r="I18" s="3"/>
      <c r="J18" s="3"/>
      <c r="K18" s="3"/>
      <c r="L18" s="3"/>
      <c r="M18" s="3"/>
    </row>
    <row r="19" spans="1:13">
      <c r="B19" s="2"/>
      <c r="C19" s="2"/>
      <c r="D19" s="2"/>
      <c r="E19" s="2"/>
      <c r="F19" s="2"/>
      <c r="G19" s="3"/>
      <c r="H19" s="3"/>
      <c r="I19" s="3"/>
      <c r="J19" s="3"/>
      <c r="K19" s="3"/>
      <c r="L19" s="3"/>
      <c r="M19" s="3"/>
    </row>
    <row r="20" spans="1:13">
      <c r="B20" s="2"/>
      <c r="C20" s="2"/>
      <c r="D20" s="2"/>
      <c r="E20" s="2"/>
      <c r="F20" s="2"/>
      <c r="G20" s="3"/>
      <c r="H20" s="3"/>
      <c r="I20" s="3"/>
      <c r="J20" s="3"/>
      <c r="K20" s="3"/>
      <c r="L20" s="3"/>
      <c r="M20" s="3"/>
    </row>
    <row r="21" spans="1:13">
      <c r="A21" s="19"/>
      <c r="B21" s="19"/>
      <c r="C21" s="19"/>
      <c r="D21" s="19"/>
      <c r="E21" s="19"/>
      <c r="F21" s="19"/>
      <c r="G21" s="19"/>
      <c r="H21" s="19"/>
      <c r="I21" s="19"/>
      <c r="J21" s="19"/>
      <c r="K21" s="19"/>
      <c r="L21" s="19"/>
      <c r="M21" s="19"/>
    </row>
    <row r="22" spans="1:13" ht="17.25" customHeight="1">
      <c r="B22" s="175" t="str">
        <f>+'Ввод данных'!A36&amp; " - в ("&amp;'Ввод данных'!C26&amp;")  "&amp;+K3&amp;" "&amp;+M3</f>
        <v>F2: Бюджет и фактические расходы согласно задачам гранта - в ($)  Отчетный период P1</v>
      </c>
      <c r="C22" s="2"/>
      <c r="D22" s="2"/>
      <c r="E22" s="2"/>
      <c r="F22" s="2"/>
      <c r="J22" s="175" t="str">
        <f>+'Ввод данных'!A67&amp;"      "&amp;+K3&amp;" "&amp;+M3</f>
        <v>F4: Последний отчетный и платежный цикл ОР      Отчетный период P1</v>
      </c>
      <c r="L22" s="3"/>
      <c r="M22" s="3"/>
    </row>
    <row r="23" spans="1:13" ht="25.5" customHeight="1">
      <c r="B23" s="257" t="s">
        <v>346</v>
      </c>
      <c r="C23" s="911" t="s">
        <v>348</v>
      </c>
      <c r="D23" s="912"/>
      <c r="E23" s="912"/>
      <c r="F23" s="913"/>
      <c r="G23" s="269"/>
      <c r="H23" s="269"/>
      <c r="I23" s="269"/>
      <c r="J23" s="257" t="s">
        <v>346</v>
      </c>
      <c r="K23" s="911" t="s">
        <v>349</v>
      </c>
      <c r="L23" s="932"/>
      <c r="M23" s="933"/>
    </row>
    <row r="24" spans="1:13" ht="15.75" thickBot="1">
      <c r="B24" s="183"/>
      <c r="C24" s="183"/>
      <c r="D24" s="183"/>
      <c r="E24" s="183"/>
      <c r="F24" s="183"/>
      <c r="G24" s="183"/>
      <c r="H24" s="183"/>
      <c r="I24" s="183"/>
      <c r="J24" s="184"/>
      <c r="K24" s="184"/>
      <c r="L24" s="183"/>
      <c r="M24" s="183"/>
    </row>
    <row r="25" spans="1:13" ht="29.25" customHeight="1" thickBot="1">
      <c r="B25" s="3"/>
      <c r="C25" s="3"/>
      <c r="D25" s="3"/>
      <c r="E25" s="3"/>
      <c r="F25" s="3"/>
      <c r="G25" s="246"/>
      <c r="H25" s="246"/>
      <c r="I25" s="246"/>
      <c r="J25" s="926" t="s">
        <v>203</v>
      </c>
      <c r="K25" s="927"/>
      <c r="L25" s="927"/>
      <c r="M25" s="928"/>
    </row>
    <row r="26" spans="1:13" ht="24.75">
      <c r="B26" s="3"/>
      <c r="C26" s="3"/>
      <c r="D26" s="3"/>
      <c r="E26" s="3"/>
      <c r="F26" s="3"/>
      <c r="G26" s="227"/>
      <c r="H26" s="227"/>
      <c r="I26" s="227"/>
      <c r="J26" s="929"/>
      <c r="K26" s="930"/>
      <c r="L26" s="235" t="s">
        <v>204</v>
      </c>
      <c r="M26" s="236" t="s">
        <v>205</v>
      </c>
    </row>
    <row r="27" spans="1:13" ht="23.25" customHeight="1">
      <c r="B27" s="3"/>
      <c r="C27" s="3"/>
      <c r="D27" s="3"/>
      <c r="E27" s="3"/>
      <c r="F27" s="3"/>
      <c r="G27" s="247"/>
      <c r="H27" s="247"/>
      <c r="I27" s="247"/>
      <c r="J27" s="914" t="str">
        <f>'Ввод данных'!A71</f>
        <v xml:space="preserve">Сколько дней понадобилось для подачи ИОР/ЗПС в офис МАФ </v>
      </c>
      <c r="K27" s="915"/>
      <c r="L27" s="237">
        <f>+'Ввод данных'!C71</f>
        <v>60</v>
      </c>
      <c r="M27" s="234">
        <f>+'Ввод данных'!D71</f>
        <v>60</v>
      </c>
    </row>
    <row r="28" spans="1:13" ht="21" customHeight="1">
      <c r="B28" s="3"/>
      <c r="C28" s="3"/>
      <c r="D28" s="3"/>
      <c r="E28" s="3"/>
      <c r="F28" s="3"/>
      <c r="G28" s="247"/>
      <c r="H28" s="247"/>
      <c r="I28" s="247"/>
      <c r="J28" s="914" t="str">
        <f>'Ввод данных'!A72</f>
        <v xml:space="preserve">Спустя сколько дней ОР получил платеж </v>
      </c>
      <c r="K28" s="915"/>
      <c r="L28" s="237">
        <f>+'Ввод данных'!C72</f>
        <v>60</v>
      </c>
      <c r="M28" s="234" t="str">
        <f>+'Ввод данных'!D72</f>
        <v>н/п</v>
      </c>
    </row>
    <row r="29" spans="1:13" ht="21" customHeight="1" thickBot="1">
      <c r="B29" s="3"/>
      <c r="C29" s="3"/>
      <c r="D29" s="3"/>
      <c r="E29" s="3"/>
      <c r="F29" s="3"/>
      <c r="G29" s="247"/>
      <c r="H29" s="247"/>
      <c r="I29" s="247"/>
      <c r="J29" s="916" t="str">
        <f>'Ввод данных'!A73</f>
        <v>Спустя сколько дней суб-реципиенты получили платежи</v>
      </c>
      <c r="K29" s="917"/>
      <c r="L29" s="238">
        <f>+'Ввод данных'!C73</f>
        <v>10</v>
      </c>
      <c r="M29" s="239" t="str">
        <f>+'Ввод данных'!D73</f>
        <v>н/п</v>
      </c>
    </row>
    <row r="30" spans="1:13">
      <c r="B30" s="3"/>
      <c r="C30" s="3"/>
      <c r="D30" s="3"/>
      <c r="E30" s="3"/>
      <c r="F30" s="3"/>
      <c r="G30" s="3"/>
      <c r="H30" s="3"/>
      <c r="I30" s="3"/>
      <c r="J30" s="3"/>
      <c r="K30" s="3"/>
      <c r="L30" s="3"/>
      <c r="M30" s="3"/>
    </row>
    <row r="31" spans="1:13">
      <c r="B31" s="3"/>
      <c r="C31" s="15"/>
      <c r="D31" s="198"/>
      <c r="E31" s="3"/>
      <c r="F31" s="3"/>
      <c r="G31" s="3"/>
      <c r="H31" s="3"/>
      <c r="I31" s="3"/>
      <c r="J31" s="3"/>
      <c r="K31" s="3"/>
      <c r="L31" s="3"/>
      <c r="M31" s="3"/>
    </row>
    <row r="32" spans="1:13">
      <c r="B32" s="3"/>
      <c r="C32" s="15"/>
      <c r="D32" s="198"/>
      <c r="E32" s="3"/>
      <c r="F32" s="3"/>
      <c r="G32" s="3"/>
      <c r="H32" s="3"/>
      <c r="I32" s="3"/>
      <c r="J32" s="3"/>
      <c r="K32" s="3"/>
      <c r="L32" s="3"/>
      <c r="M32" s="3"/>
    </row>
    <row r="34" spans="2:5">
      <c r="B34" s="178" t="s">
        <v>350</v>
      </c>
      <c r="E34" s="19"/>
    </row>
    <row r="35" spans="2:5">
      <c r="B35" s="327"/>
    </row>
    <row r="36" spans="2:5">
      <c r="B36" s="178" t="s">
        <v>351</v>
      </c>
    </row>
  </sheetData>
  <sheetProtection password="CFC9" sheet="1"/>
  <mergeCells count="18">
    <mergeCell ref="C9:F9"/>
    <mergeCell ref="K23:M23"/>
    <mergeCell ref="C23:F23"/>
    <mergeCell ref="K9:M9"/>
    <mergeCell ref="J28:K28"/>
    <mergeCell ref="J29:K29"/>
    <mergeCell ref="B2:M2"/>
    <mergeCell ref="D5:K5"/>
    <mergeCell ref="K4:L4"/>
    <mergeCell ref="K3:L3"/>
    <mergeCell ref="E3:J3"/>
    <mergeCell ref="C3:D3"/>
    <mergeCell ref="C4:D4"/>
    <mergeCell ref="E4:J4"/>
    <mergeCell ref="E6:J6"/>
    <mergeCell ref="J25:M25"/>
    <mergeCell ref="J26:K26"/>
    <mergeCell ref="J27:K27"/>
  </mergeCells>
  <phoneticPr fontId="30" type="noConversion"/>
  <conditionalFormatting sqref="C4:D4">
    <cfRule type="cellIs" dxfId="67" priority="3" stopIfTrue="1" operator="equal">
      <formula>"C"</formula>
    </cfRule>
    <cfRule type="cellIs" dxfId="66" priority="4" stopIfTrue="1" operator="equal">
      <formula>"B2"</formula>
    </cfRule>
    <cfRule type="cellIs" dxfId="65" priority="5" stopIfTrue="1" operator="equal">
      <formula>"B1"</formula>
    </cfRule>
  </conditionalFormatting>
  <conditionalFormatting sqref="M27:M29">
    <cfRule type="expression" dxfId="64" priority="1" stopIfTrue="1">
      <formula>$M27&gt;$L27</formula>
    </cfRule>
    <cfRule type="expression" dxfId="63"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Q74"/>
  <sheetViews>
    <sheetView showGridLines="0" topLeftCell="A10" zoomScaleNormal="100" workbookViewId="0">
      <selection activeCell="C19" sqref="C19:F19"/>
    </sheetView>
  </sheetViews>
  <sheetFormatPr defaultColWidth="11" defaultRowHeight="15"/>
  <cols>
    <col min="1" max="1" width="3.28515625" customWidth="1"/>
    <col min="2" max="2" width="12.140625" customWidth="1"/>
    <col min="3" max="3" width="13.140625" customWidth="1"/>
    <col min="4" max="4" width="14.28515625" customWidth="1"/>
    <col min="5" max="5" width="12.85546875" customWidth="1"/>
    <col min="6" max="7" width="17" customWidth="1"/>
    <col min="8" max="8" width="3.85546875" customWidth="1"/>
    <col min="9" max="9" width="17.85546875" customWidth="1"/>
    <col min="10" max="10" width="25.28515625" customWidth="1"/>
    <col min="11" max="11" width="13.7109375" customWidth="1"/>
    <col min="12" max="12" width="13.5703125" customWidth="1"/>
    <col min="13" max="13" width="14.140625" customWidth="1"/>
  </cols>
  <sheetData>
    <row r="1" spans="1:17" ht="28.5" customHeight="1">
      <c r="C1" s="194"/>
      <c r="E1" s="195"/>
    </row>
    <row r="2" spans="1:17" ht="27.75" customHeight="1">
      <c r="B2" s="918" t="str">
        <f>+"Панель показателей:  "&amp;"  "&amp;IF(+'Ввод данных'!B4="Выберите","",'Ввод данных'!B4&amp;" - ")&amp;IF('Ввод данных'!F6="Выберите","",'Ввод данных'!F6)</f>
        <v>Панель показателей:    Кыргызстан - ВИЧ/СПИД/ТБ</v>
      </c>
      <c r="C2" s="918"/>
      <c r="D2" s="918"/>
      <c r="E2" s="918"/>
      <c r="F2" s="918"/>
      <c r="G2" s="918"/>
      <c r="H2" s="918"/>
      <c r="I2" s="918"/>
      <c r="J2" s="918"/>
      <c r="K2" s="918"/>
      <c r="L2" s="918"/>
      <c r="M2" s="918"/>
      <c r="N2" s="24"/>
      <c r="O2" s="24"/>
      <c r="P2" s="24"/>
      <c r="Q2" s="24"/>
    </row>
    <row r="3" spans="1:17" ht="22.5" customHeight="1">
      <c r="A3" s="313"/>
      <c r="B3" s="314">
        <f>+IF('Ввод данных'!F8="Пожалуйста выберите","",'Ввод данных'!F8)</f>
        <v>0</v>
      </c>
      <c r="C3" s="955">
        <f>+IF('Ввод данных'!H8="Пожалуйста выберите","",'Ввод данных'!H8)</f>
        <v>0</v>
      </c>
      <c r="D3" s="955"/>
      <c r="E3" s="949"/>
      <c r="F3" s="949"/>
      <c r="G3" s="949"/>
      <c r="H3" s="949"/>
      <c r="I3" s="949"/>
      <c r="J3" s="949"/>
      <c r="K3" s="950" t="str">
        <f>+'Ввод данных'!A16</f>
        <v>Отчетный период</v>
      </c>
      <c r="L3" s="950"/>
      <c r="M3" s="169" t="str">
        <f>+'Ввод данных'!B16</f>
        <v>P1</v>
      </c>
    </row>
    <row r="4" spans="1:17" ht="25.5" customHeight="1">
      <c r="A4" s="313"/>
      <c r="B4" s="322" t="str">
        <f>+'Ввод данных'!A12</f>
        <v>Последняя оценка:</v>
      </c>
      <c r="C4" s="948" t="str">
        <f>+IF('Ввод данных'!B12="Выберите","",'Ввод данных'!B12)</f>
        <v>A2</v>
      </c>
      <c r="D4" s="948"/>
      <c r="E4" s="949" t="str">
        <f>+'Ввод данных'!B8</f>
        <v>ПРООН</v>
      </c>
      <c r="F4" s="949"/>
      <c r="G4" s="949"/>
      <c r="H4" s="949"/>
      <c r="I4" s="949"/>
      <c r="J4" s="949"/>
      <c r="K4" s="950" t="str">
        <f>+'Ввод данных'!C16</f>
        <v>с:</v>
      </c>
      <c r="L4" s="950"/>
      <c r="M4" s="171">
        <f>+IF(ISBLANK('Ввод данных'!D16),"",'Ввод данных'!D16)</f>
        <v>43282</v>
      </c>
    </row>
    <row r="5" spans="1:17" ht="18.75" customHeight="1">
      <c r="B5" s="607"/>
      <c r="C5" s="607"/>
      <c r="D5" s="949" t="str">
        <f>+'Ввод данных'!F4</f>
        <v>«Эффективный контроль за ВИЧ-инфекцией и туберкулезом в Кыргызской Республике»</v>
      </c>
      <c r="E5" s="949"/>
      <c r="F5" s="949"/>
      <c r="G5" s="949"/>
      <c r="H5" s="949"/>
      <c r="I5" s="949"/>
      <c r="J5" s="949"/>
      <c r="K5" s="949"/>
      <c r="L5" s="607" t="str">
        <f>+'Ввод данных'!E16</f>
        <v>до:</v>
      </c>
      <c r="M5" s="171">
        <f>+IF(ISBLANK('Ввод данных'!F16),"",'Ввод данных'!F16)</f>
        <v>43465</v>
      </c>
    </row>
    <row r="6" spans="1:17" ht="18.75">
      <c r="B6" s="22"/>
      <c r="C6" s="607"/>
      <c r="D6" s="23"/>
      <c r="E6" s="580" t="s">
        <v>352</v>
      </c>
      <c r="F6" s="580"/>
      <c r="G6" s="580"/>
      <c r="H6" s="580"/>
      <c r="I6" s="580"/>
      <c r="J6" s="580"/>
    </row>
    <row r="7" spans="1:17" ht="22.5" customHeight="1" thickBot="1">
      <c r="B7" s="953" t="str">
        <f>+'Ввод данных'!A78&amp;" "&amp;+K3&amp;"   "&amp;+M3</f>
        <v>M1: Статус Предварительных условий (ПУ) и Действий с установленным сроком исполнения (ДУС) Отчетный период   P1</v>
      </c>
      <c r="C7" s="953"/>
      <c r="D7" s="953"/>
      <c r="E7" s="953"/>
      <c r="F7" s="953"/>
      <c r="G7" s="608"/>
      <c r="I7" s="270" t="str">
        <f>+'Ввод данных'!A87&amp;"                                       "&amp;+K3&amp;"  "&amp;+M3</f>
        <v>M2: Статус ключевых руководящих должностей в структуре ОР                                       Отчетный период  P1</v>
      </c>
    </row>
    <row r="8" spans="1:17" ht="117.75" customHeight="1" thickBot="1">
      <c r="B8" s="495" t="s">
        <v>346</v>
      </c>
      <c r="C8" s="951" t="s">
        <v>696</v>
      </c>
      <c r="D8" s="951"/>
      <c r="E8" s="951"/>
      <c r="F8" s="952"/>
      <c r="G8" s="496"/>
      <c r="H8" s="497"/>
      <c r="I8" s="495" t="s">
        <v>346</v>
      </c>
      <c r="J8" s="934" t="s">
        <v>695</v>
      </c>
      <c r="K8" s="934"/>
      <c r="L8" s="934"/>
      <c r="M8" s="935"/>
    </row>
    <row r="9" spans="1:17">
      <c r="B9" s="19"/>
      <c r="C9" s="19"/>
      <c r="D9" s="19"/>
      <c r="E9" s="19"/>
      <c r="F9" s="19"/>
      <c r="G9" s="19"/>
      <c r="H9" s="19"/>
      <c r="I9" s="19"/>
    </row>
    <row r="10" spans="1:17">
      <c r="A10" s="44"/>
      <c r="B10" s="19"/>
      <c r="C10" s="19"/>
      <c r="D10" s="954"/>
      <c r="E10" s="743"/>
      <c r="F10" s="743"/>
      <c r="G10" s="589"/>
      <c r="H10" s="589"/>
      <c r="I10" s="19"/>
      <c r="O10" s="46"/>
      <c r="P10" s="46"/>
      <c r="Q10" s="45"/>
    </row>
    <row r="11" spans="1:17">
      <c r="B11" s="19"/>
      <c r="C11" s="609"/>
      <c r="D11" s="954"/>
      <c r="E11" s="609"/>
      <c r="F11" s="609"/>
      <c r="G11" s="609"/>
      <c r="H11" s="609"/>
      <c r="I11" s="609"/>
      <c r="O11" s="19"/>
      <c r="P11" s="19"/>
    </row>
    <row r="12" spans="1:17">
      <c r="B12" s="19"/>
      <c r="C12" s="609"/>
      <c r="D12" s="609"/>
      <c r="E12" s="609"/>
      <c r="F12" s="609"/>
      <c r="G12" s="609"/>
      <c r="H12" s="609"/>
      <c r="I12" s="609"/>
      <c r="O12" s="19"/>
      <c r="P12" s="19"/>
    </row>
    <row r="13" spans="1:17">
      <c r="B13" s="19"/>
      <c r="C13" s="609"/>
      <c r="D13" s="609"/>
      <c r="E13" s="609"/>
      <c r="F13" s="609"/>
      <c r="G13" s="609"/>
      <c r="H13" s="609"/>
      <c r="I13" s="609"/>
      <c r="O13" s="19"/>
      <c r="P13" s="19"/>
    </row>
    <row r="14" spans="1:17">
      <c r="B14" s="19"/>
      <c r="C14" s="609"/>
      <c r="D14" s="609"/>
      <c r="E14" s="609"/>
      <c r="F14" s="609"/>
      <c r="G14" s="609"/>
      <c r="H14" s="609"/>
      <c r="I14" s="609"/>
      <c r="O14" s="19"/>
      <c r="P14" s="19"/>
    </row>
    <row r="15" spans="1:17">
      <c r="B15" s="609"/>
      <c r="C15" s="72"/>
      <c r="D15" s="73"/>
      <c r="E15" s="73"/>
      <c r="F15" s="73"/>
      <c r="G15" s="73"/>
      <c r="H15" s="73"/>
      <c r="I15" s="74"/>
    </row>
    <row r="16" spans="1:17">
      <c r="B16" s="609"/>
      <c r="C16" s="72"/>
      <c r="D16" s="73"/>
      <c r="E16" s="73"/>
      <c r="F16" s="73"/>
      <c r="G16" s="73"/>
      <c r="H16" s="73"/>
      <c r="I16" s="74"/>
    </row>
    <row r="17" spans="2:14" ht="40.5" customHeight="1"/>
    <row r="18" spans="2:14" ht="27.75" customHeight="1" thickBot="1">
      <c r="B18" s="270" t="str">
        <f>+'Ввод данных'!A94&amp;"                                                                                                  "&amp;+K3&amp;" "&amp;+M3</f>
        <v>M3: Контрактные соглашения (СР)                                                                                                   Отчетный период P1</v>
      </c>
      <c r="I18" s="270" t="str">
        <f>+'Ввод данных'!A100&amp;"                                       "&amp;+K3&amp;" "&amp;+M3</f>
        <v>M4: Количество полных отчетов, полученных к установленному сроку                                       Отчетный период P1</v>
      </c>
    </row>
    <row r="19" spans="2:14" ht="193.5" customHeight="1" thickBot="1">
      <c r="B19" s="494" t="s">
        <v>346</v>
      </c>
      <c r="C19" s="934" t="s">
        <v>691</v>
      </c>
      <c r="D19" s="934"/>
      <c r="E19" s="934"/>
      <c r="F19" s="935"/>
      <c r="I19" s="494" t="s">
        <v>353</v>
      </c>
      <c r="J19" s="934" t="s">
        <v>690</v>
      </c>
      <c r="K19" s="934"/>
      <c r="L19" s="934"/>
      <c r="M19" s="935"/>
    </row>
    <row r="20" spans="2:14" ht="27.75" customHeight="1">
      <c r="B20" s="270"/>
    </row>
    <row r="21" spans="2:14" ht="27.75" customHeight="1">
      <c r="B21" s="270"/>
      <c r="I21" s="270"/>
    </row>
    <row r="22" spans="2:14" ht="27.75" customHeight="1">
      <c r="B22" s="270"/>
      <c r="I22" s="270"/>
    </row>
    <row r="23" spans="2:14" ht="27.75" customHeight="1">
      <c r="B23" s="270"/>
    </row>
    <row r="24" spans="2:14">
      <c r="B24" s="26"/>
      <c r="I24" s="27"/>
    </row>
    <row r="25" spans="2:14">
      <c r="N25" s="76"/>
    </row>
    <row r="28" spans="2:14" ht="24.75" customHeight="1">
      <c r="B28" s="936" t="str">
        <f>+'Ввод данных'!A108</f>
        <v>M5: Бюджет и закупки товаров медицинского назначения, медицинского оборудования,  лекарственных средств и фармацевтических препаратов</v>
      </c>
      <c r="C28" s="936"/>
      <c r="D28" s="936"/>
      <c r="E28" s="936"/>
      <c r="F28" s="936"/>
      <c r="I28" s="937" t="str">
        <f>+'Ввод данных'!A121&amp;"                    "&amp;+K3&amp;"  "&amp;+M3</f>
        <v>M6: Разница между текущим и резервным запасами                    Отчетный период  P1</v>
      </c>
      <c r="J28" s="937"/>
      <c r="K28" s="937"/>
      <c r="L28" s="937"/>
      <c r="M28" s="937"/>
    </row>
    <row r="29" spans="2:14" ht="252" customHeight="1">
      <c r="B29" s="947" t="s">
        <v>346</v>
      </c>
      <c r="C29" s="946" t="s">
        <v>354</v>
      </c>
      <c r="D29" s="946"/>
      <c r="E29" s="946"/>
      <c r="F29" s="946"/>
      <c r="G29" s="316"/>
      <c r="H29" s="271"/>
      <c r="I29" s="489" t="s">
        <v>355</v>
      </c>
      <c r="J29" s="939" t="s">
        <v>694</v>
      </c>
      <c r="K29" s="939"/>
      <c r="L29" s="939"/>
      <c r="M29" s="939"/>
    </row>
    <row r="30" spans="2:14" ht="69" customHeight="1" thickBot="1">
      <c r="B30" s="947"/>
      <c r="C30" s="946"/>
      <c r="D30" s="946"/>
      <c r="E30" s="946"/>
      <c r="F30" s="946"/>
      <c r="I30" s="489" t="s">
        <v>353</v>
      </c>
      <c r="J30" s="940" t="s">
        <v>356</v>
      </c>
      <c r="K30" s="940"/>
      <c r="L30" s="940"/>
      <c r="M30" s="940"/>
    </row>
    <row r="31" spans="2:14" ht="102.75">
      <c r="F31" s="249"/>
      <c r="G31" s="249"/>
      <c r="H31" s="249"/>
      <c r="I31" s="490" t="s">
        <v>253</v>
      </c>
      <c r="J31" s="491" t="s">
        <v>357</v>
      </c>
      <c r="K31" s="492" t="s">
        <v>358</v>
      </c>
      <c r="L31" s="492" t="s">
        <v>359</v>
      </c>
      <c r="M31" s="493" t="s">
        <v>360</v>
      </c>
    </row>
    <row r="32" spans="2:14">
      <c r="F32" s="249"/>
      <c r="G32" s="249"/>
      <c r="H32" s="249"/>
      <c r="I32" s="943" t="str">
        <f>+'Ввод данных'!A123</f>
        <v>ВИЧ / СПИД</v>
      </c>
      <c r="J32" s="621" t="s">
        <v>264</v>
      </c>
      <c r="K32" s="621">
        <v>14</v>
      </c>
      <c r="L32" s="621">
        <v>3</v>
      </c>
      <c r="M32" s="622">
        <f t="shared" ref="M32:M43" si="0">K32-L32</f>
        <v>11</v>
      </c>
    </row>
    <row r="33" spans="2:13">
      <c r="F33" s="249"/>
      <c r="G33" s="249"/>
      <c r="H33" s="249"/>
      <c r="I33" s="944"/>
      <c r="J33" s="621" t="s">
        <v>265</v>
      </c>
      <c r="K33" s="621">
        <v>10</v>
      </c>
      <c r="L33" s="621">
        <v>3</v>
      </c>
      <c r="M33" s="622">
        <f t="shared" si="0"/>
        <v>7</v>
      </c>
    </row>
    <row r="34" spans="2:13">
      <c r="F34" s="249"/>
      <c r="G34" s="249"/>
      <c r="H34" s="249"/>
      <c r="I34" s="944"/>
      <c r="J34" s="621" t="s">
        <v>266</v>
      </c>
      <c r="K34" s="621">
        <v>17</v>
      </c>
      <c r="L34" s="621">
        <v>3</v>
      </c>
      <c r="M34" s="622">
        <f t="shared" si="0"/>
        <v>14</v>
      </c>
    </row>
    <row r="35" spans="2:13">
      <c r="F35" s="249"/>
      <c r="G35" s="249"/>
      <c r="H35" s="249"/>
      <c r="I35" s="944"/>
      <c r="J35" s="621" t="s">
        <v>267</v>
      </c>
      <c r="K35" s="621">
        <v>9</v>
      </c>
      <c r="L35" s="621">
        <v>3</v>
      </c>
      <c r="M35" s="622">
        <f t="shared" si="0"/>
        <v>6</v>
      </c>
    </row>
    <row r="36" spans="2:13">
      <c r="F36" s="249"/>
      <c r="G36" s="249"/>
      <c r="H36" s="249"/>
      <c r="I36" s="944"/>
      <c r="J36" s="621" t="s">
        <v>268</v>
      </c>
      <c r="K36" s="621">
        <v>9</v>
      </c>
      <c r="L36" s="621">
        <v>3</v>
      </c>
      <c r="M36" s="622">
        <f t="shared" si="0"/>
        <v>6</v>
      </c>
    </row>
    <row r="37" spans="2:13">
      <c r="F37" s="249"/>
      <c r="G37" s="249"/>
      <c r="H37" s="249"/>
      <c r="I37" s="944"/>
      <c r="J37" s="621" t="s">
        <v>269</v>
      </c>
      <c r="K37" s="621">
        <v>11</v>
      </c>
      <c r="L37" s="621">
        <v>3</v>
      </c>
      <c r="M37" s="622">
        <f t="shared" si="0"/>
        <v>8</v>
      </c>
    </row>
    <row r="38" spans="2:13">
      <c r="F38" s="249"/>
      <c r="G38" s="249"/>
      <c r="H38" s="249"/>
      <c r="I38" s="944"/>
      <c r="J38" s="621" t="s">
        <v>270</v>
      </c>
      <c r="K38" s="621">
        <v>10</v>
      </c>
      <c r="L38" s="621">
        <v>3</v>
      </c>
      <c r="M38" s="622">
        <f t="shared" si="0"/>
        <v>7</v>
      </c>
    </row>
    <row r="39" spans="2:13">
      <c r="F39" s="249"/>
      <c r="G39" s="249"/>
      <c r="H39" s="249"/>
      <c r="I39" s="944"/>
      <c r="J39" s="621" t="s">
        <v>271</v>
      </c>
      <c r="K39" s="621">
        <v>4</v>
      </c>
      <c r="L39" s="621">
        <v>3</v>
      </c>
      <c r="M39" s="622">
        <f t="shared" si="0"/>
        <v>1</v>
      </c>
    </row>
    <row r="40" spans="2:13">
      <c r="B40" s="938" t="str">
        <f>+'Ввод данных'!A118</f>
        <v>* Включает только категории 4 и 5 ПФО (товары медицинского назначения и медицинское оборудование, лекарственные средства и фармацевтические препараты)</v>
      </c>
      <c r="C40" s="938"/>
      <c r="D40" s="938"/>
      <c r="E40" s="938"/>
      <c r="F40" s="249"/>
      <c r="G40" s="249"/>
      <c r="H40" s="249"/>
      <c r="I40" s="944"/>
      <c r="J40" s="621" t="s">
        <v>272</v>
      </c>
      <c r="K40" s="621">
        <v>22</v>
      </c>
      <c r="L40" s="621">
        <v>3</v>
      </c>
      <c r="M40" s="622">
        <f t="shared" si="0"/>
        <v>19</v>
      </c>
    </row>
    <row r="41" spans="2:13">
      <c r="F41" s="249"/>
      <c r="G41" s="249"/>
      <c r="H41" s="249"/>
      <c r="I41" s="944"/>
      <c r="J41" s="621" t="s">
        <v>273</v>
      </c>
      <c r="K41" s="621">
        <v>8</v>
      </c>
      <c r="L41" s="621">
        <v>3</v>
      </c>
      <c r="M41" s="622">
        <f t="shared" si="0"/>
        <v>5</v>
      </c>
    </row>
    <row r="42" spans="2:13">
      <c r="F42" s="249"/>
      <c r="G42" s="249"/>
      <c r="H42" s="249"/>
      <c r="I42" s="944"/>
      <c r="J42" s="621" t="s">
        <v>274</v>
      </c>
      <c r="K42" s="621">
        <v>11</v>
      </c>
      <c r="L42" s="621">
        <v>3</v>
      </c>
      <c r="M42" s="622">
        <f t="shared" si="0"/>
        <v>8</v>
      </c>
    </row>
    <row r="43" spans="2:13">
      <c r="F43" s="249"/>
      <c r="G43" s="249"/>
      <c r="H43" s="249"/>
      <c r="I43" s="944"/>
      <c r="J43" s="621" t="s">
        <v>275</v>
      </c>
      <c r="K43" s="621">
        <v>7</v>
      </c>
      <c r="L43" s="621">
        <v>3</v>
      </c>
      <c r="M43" s="622">
        <f t="shared" si="0"/>
        <v>4</v>
      </c>
    </row>
    <row r="44" spans="2:13" ht="15" customHeight="1">
      <c r="F44" s="249"/>
      <c r="G44" s="249"/>
      <c r="H44" s="249"/>
      <c r="I44" s="944"/>
      <c r="J44" s="621" t="s">
        <v>276</v>
      </c>
      <c r="K44" s="621">
        <v>5</v>
      </c>
      <c r="L44" s="621">
        <v>3</v>
      </c>
      <c r="M44" s="622">
        <f>K44-L44</f>
        <v>2</v>
      </c>
    </row>
    <row r="45" spans="2:13">
      <c r="F45" s="249"/>
      <c r="G45" s="249"/>
      <c r="H45" s="249"/>
      <c r="I45" s="944"/>
      <c r="J45" s="621" t="s">
        <v>277</v>
      </c>
      <c r="K45" s="621">
        <v>5</v>
      </c>
      <c r="L45" s="621">
        <v>3</v>
      </c>
      <c r="M45" s="622">
        <f>K45-L45</f>
        <v>2</v>
      </c>
    </row>
    <row r="46" spans="2:13">
      <c r="F46" s="249"/>
      <c r="G46" s="249"/>
      <c r="H46" s="249"/>
      <c r="I46" s="944"/>
      <c r="J46" s="621" t="s">
        <v>278</v>
      </c>
      <c r="K46" s="621">
        <v>9</v>
      </c>
      <c r="L46" s="621">
        <v>3</v>
      </c>
      <c r="M46" s="622">
        <f t="shared" ref="M46:M73" si="1">K46-L46</f>
        <v>6</v>
      </c>
    </row>
    <row r="47" spans="2:13">
      <c r="F47" s="249"/>
      <c r="G47" s="249"/>
      <c r="H47" s="249"/>
      <c r="I47" s="944"/>
      <c r="J47" s="621" t="s">
        <v>279</v>
      </c>
      <c r="K47" s="621">
        <v>4</v>
      </c>
      <c r="L47" s="621">
        <v>3</v>
      </c>
      <c r="M47" s="622">
        <f t="shared" si="1"/>
        <v>1</v>
      </c>
    </row>
    <row r="48" spans="2:13">
      <c r="F48" s="249"/>
      <c r="G48" s="249"/>
      <c r="H48" s="249"/>
      <c r="I48" s="944"/>
      <c r="J48" s="621" t="s">
        <v>280</v>
      </c>
      <c r="K48" s="621">
        <v>8</v>
      </c>
      <c r="L48" s="621">
        <v>3</v>
      </c>
      <c r="M48" s="622">
        <f t="shared" si="1"/>
        <v>5</v>
      </c>
    </row>
    <row r="49" spans="2:13">
      <c r="F49" s="249"/>
      <c r="G49" s="249"/>
      <c r="H49" s="249"/>
      <c r="I49" s="944"/>
      <c r="J49" s="621" t="s">
        <v>281</v>
      </c>
      <c r="K49" s="621">
        <v>6</v>
      </c>
      <c r="L49" s="621">
        <v>3</v>
      </c>
      <c r="M49" s="622">
        <f t="shared" si="1"/>
        <v>3</v>
      </c>
    </row>
    <row r="50" spans="2:13">
      <c r="F50" s="249"/>
      <c r="G50" s="249"/>
      <c r="H50" s="249"/>
      <c r="I50" s="944"/>
      <c r="J50" s="623" t="s">
        <v>361</v>
      </c>
      <c r="K50" s="621">
        <v>4</v>
      </c>
      <c r="L50" s="621">
        <v>3</v>
      </c>
      <c r="M50" s="622">
        <f t="shared" ref="M50:M52" si="2">K50-L50</f>
        <v>1</v>
      </c>
    </row>
    <row r="51" spans="2:13">
      <c r="F51" s="249"/>
      <c r="G51" s="249"/>
      <c r="H51" s="249"/>
      <c r="I51" s="944"/>
      <c r="J51" s="623" t="s">
        <v>362</v>
      </c>
      <c r="K51" s="624">
        <v>1</v>
      </c>
      <c r="L51" s="621">
        <v>3</v>
      </c>
      <c r="M51" s="622">
        <f t="shared" si="1"/>
        <v>-2</v>
      </c>
    </row>
    <row r="52" spans="2:13">
      <c r="F52" s="249"/>
      <c r="G52" s="249"/>
      <c r="H52" s="249"/>
      <c r="I52" s="944"/>
      <c r="J52" s="623" t="s">
        <v>363</v>
      </c>
      <c r="K52" s="624">
        <v>4</v>
      </c>
      <c r="L52" s="621">
        <v>3</v>
      </c>
      <c r="M52" s="622">
        <f t="shared" si="2"/>
        <v>1</v>
      </c>
    </row>
    <row r="53" spans="2:13">
      <c r="F53" s="249"/>
      <c r="G53" s="249"/>
      <c r="H53" s="249"/>
      <c r="I53" s="945"/>
      <c r="J53" s="623" t="s">
        <v>364</v>
      </c>
      <c r="K53" s="623">
        <v>16</v>
      </c>
      <c r="L53" s="621">
        <v>3</v>
      </c>
      <c r="M53" s="622">
        <f t="shared" si="1"/>
        <v>13</v>
      </c>
    </row>
    <row r="54" spans="2:13">
      <c r="F54" s="19"/>
      <c r="G54" s="19"/>
      <c r="H54" s="19"/>
      <c r="I54" s="941" t="str">
        <f>+'Ввод данных'!A141</f>
        <v>ТБ</v>
      </c>
      <c r="J54" s="625" t="s">
        <v>365</v>
      </c>
      <c r="K54" s="625">
        <v>10.959306650796012</v>
      </c>
      <c r="L54" s="625">
        <v>3</v>
      </c>
      <c r="M54" s="626">
        <f t="shared" si="1"/>
        <v>7.9593066507960124</v>
      </c>
    </row>
    <row r="55" spans="2:13">
      <c r="F55" s="19"/>
      <c r="G55" s="19"/>
      <c r="H55" s="19"/>
      <c r="I55" s="941"/>
      <c r="J55" s="625" t="s">
        <v>366</v>
      </c>
      <c r="K55" s="625">
        <v>20.804131054131055</v>
      </c>
      <c r="L55" s="625">
        <v>3</v>
      </c>
      <c r="M55" s="626">
        <f t="shared" si="1"/>
        <v>17.804131054131055</v>
      </c>
    </row>
    <row r="56" spans="2:13">
      <c r="F56" s="19"/>
      <c r="G56" s="19"/>
      <c r="H56" s="19"/>
      <c r="I56" s="941"/>
      <c r="J56" s="625" t="s">
        <v>284</v>
      </c>
      <c r="K56" s="625">
        <v>44.201250000000002</v>
      </c>
      <c r="L56" s="625">
        <v>3</v>
      </c>
      <c r="M56" s="626">
        <f t="shared" si="1"/>
        <v>41.201250000000002</v>
      </c>
    </row>
    <row r="57" spans="2:13">
      <c r="B57" s="606"/>
      <c r="C57" s="606"/>
      <c r="D57" s="606"/>
      <c r="E57" s="606"/>
      <c r="F57" s="19"/>
      <c r="G57" s="19"/>
      <c r="H57" s="19"/>
      <c r="I57" s="941"/>
      <c r="J57" s="625" t="s">
        <v>285</v>
      </c>
      <c r="K57" s="625">
        <v>8.283950617283951</v>
      </c>
      <c r="L57" s="625">
        <v>3</v>
      </c>
      <c r="M57" s="626">
        <f t="shared" ref="M57" si="3">K57-L57</f>
        <v>5.283950617283951</v>
      </c>
    </row>
    <row r="58" spans="2:13">
      <c r="F58" s="19"/>
      <c r="G58" s="19"/>
      <c r="H58" s="19"/>
      <c r="I58" s="941"/>
      <c r="J58" s="625" t="s">
        <v>286</v>
      </c>
      <c r="K58" s="625">
        <v>20</v>
      </c>
      <c r="L58" s="625">
        <v>3</v>
      </c>
      <c r="M58" s="626">
        <f t="shared" si="1"/>
        <v>17</v>
      </c>
    </row>
    <row r="59" spans="2:13">
      <c r="F59" s="19"/>
      <c r="G59" s="19"/>
      <c r="H59" s="19"/>
      <c r="I59" s="941"/>
      <c r="J59" s="625" t="s">
        <v>287</v>
      </c>
      <c r="K59" s="625">
        <v>6.7379361799816344</v>
      </c>
      <c r="L59" s="625">
        <v>3</v>
      </c>
      <c r="M59" s="626">
        <f t="shared" si="1"/>
        <v>3.7379361799816344</v>
      </c>
    </row>
    <row r="60" spans="2:13">
      <c r="F60" s="19"/>
      <c r="G60" s="19"/>
      <c r="H60" s="19"/>
      <c r="I60" s="941"/>
      <c r="J60" s="625" t="s">
        <v>288</v>
      </c>
      <c r="K60" s="625">
        <v>11.482824427480915</v>
      </c>
      <c r="L60" s="625">
        <v>3</v>
      </c>
      <c r="M60" s="626">
        <f t="shared" si="1"/>
        <v>8.4828244274809155</v>
      </c>
    </row>
    <row r="61" spans="2:13">
      <c r="F61" s="19"/>
      <c r="G61" s="19"/>
      <c r="H61" s="19"/>
      <c r="I61" s="941"/>
      <c r="J61" s="625" t="s">
        <v>289</v>
      </c>
      <c r="K61" s="625">
        <v>17.258432539682541</v>
      </c>
      <c r="L61" s="625">
        <v>3</v>
      </c>
      <c r="M61" s="626">
        <f t="shared" si="1"/>
        <v>14.258432539682541</v>
      </c>
    </row>
    <row r="62" spans="2:13">
      <c r="F62" s="19"/>
      <c r="G62" s="19"/>
      <c r="H62" s="19"/>
      <c r="I62" s="941"/>
      <c r="J62" s="625" t="s">
        <v>290</v>
      </c>
      <c r="K62" s="625">
        <v>14.148825396825396</v>
      </c>
      <c r="L62" s="625">
        <v>3</v>
      </c>
      <c r="M62" s="626">
        <f t="shared" si="1"/>
        <v>11.148825396825396</v>
      </c>
    </row>
    <row r="63" spans="2:13">
      <c r="F63" s="19"/>
      <c r="G63" s="19"/>
      <c r="H63" s="19"/>
      <c r="I63" s="941"/>
      <c r="J63" s="625" t="s">
        <v>367</v>
      </c>
      <c r="K63" s="625">
        <v>22.012458745874586</v>
      </c>
      <c r="L63" s="625">
        <v>3</v>
      </c>
      <c r="M63" s="626">
        <f t="shared" si="1"/>
        <v>19.012458745874586</v>
      </c>
    </row>
    <row r="64" spans="2:13">
      <c r="F64" s="19"/>
      <c r="G64" s="19"/>
      <c r="H64" s="19"/>
      <c r="I64" s="941"/>
      <c r="J64" s="625" t="s">
        <v>292</v>
      </c>
      <c r="K64" s="625">
        <v>21.085373586986488</v>
      </c>
      <c r="L64" s="625">
        <v>3</v>
      </c>
      <c r="M64" s="626">
        <f t="shared" si="1"/>
        <v>18.085373586986488</v>
      </c>
    </row>
    <row r="65" spans="6:13">
      <c r="F65" s="19"/>
      <c r="G65" s="19"/>
      <c r="H65" s="19"/>
      <c r="I65" s="941"/>
      <c r="J65" s="625" t="s">
        <v>293</v>
      </c>
      <c r="K65" s="625">
        <v>16.396290143964563</v>
      </c>
      <c r="L65" s="625">
        <v>3</v>
      </c>
      <c r="M65" s="626">
        <f t="shared" si="1"/>
        <v>13.396290143964563</v>
      </c>
    </row>
    <row r="66" spans="6:13">
      <c r="F66" s="19"/>
      <c r="G66" s="19"/>
      <c r="H66" s="19"/>
      <c r="I66" s="941"/>
      <c r="J66" s="625" t="s">
        <v>294</v>
      </c>
      <c r="K66" s="625">
        <v>15.48250626566416</v>
      </c>
      <c r="L66" s="625">
        <v>3</v>
      </c>
      <c r="M66" s="626">
        <f t="shared" si="1"/>
        <v>12.48250626566416</v>
      </c>
    </row>
    <row r="67" spans="6:13">
      <c r="F67" s="19"/>
      <c r="G67" s="19"/>
      <c r="H67" s="19"/>
      <c r="I67" s="941"/>
      <c r="J67" s="625" t="s">
        <v>295</v>
      </c>
      <c r="K67" s="625">
        <v>4.5577304261645191</v>
      </c>
      <c r="L67" s="625">
        <v>3</v>
      </c>
      <c r="M67" s="626">
        <f t="shared" si="1"/>
        <v>1.5577304261645191</v>
      </c>
    </row>
    <row r="68" spans="6:13">
      <c r="I68" s="941"/>
      <c r="J68" s="625" t="s">
        <v>296</v>
      </c>
      <c r="K68" s="625">
        <v>3.7502415458937199</v>
      </c>
      <c r="L68" s="625">
        <v>3</v>
      </c>
      <c r="M68" s="626">
        <f t="shared" si="1"/>
        <v>0.75024154589371994</v>
      </c>
    </row>
    <row r="69" spans="6:13">
      <c r="I69" s="941"/>
      <c r="J69" s="625" t="s">
        <v>297</v>
      </c>
      <c r="K69" s="625">
        <v>16.75451851851852</v>
      </c>
      <c r="L69" s="625">
        <v>3</v>
      </c>
      <c r="M69" s="626">
        <f t="shared" ref="M69:M71" si="4">K69-L69</f>
        <v>13.75451851851852</v>
      </c>
    </row>
    <row r="70" spans="6:13">
      <c r="I70" s="941"/>
      <c r="J70" s="625" t="s">
        <v>298</v>
      </c>
      <c r="K70" s="625">
        <v>18.879981464318814</v>
      </c>
      <c r="L70" s="625">
        <v>3</v>
      </c>
      <c r="M70" s="626">
        <f t="shared" si="4"/>
        <v>15.879981464318814</v>
      </c>
    </row>
    <row r="71" spans="6:13">
      <c r="I71" s="941"/>
      <c r="J71" s="625" t="s">
        <v>299</v>
      </c>
      <c r="K71" s="627">
        <v>42.056318681318679</v>
      </c>
      <c r="L71" s="627">
        <v>3</v>
      </c>
      <c r="M71" s="628">
        <f t="shared" si="4"/>
        <v>39.056318681318679</v>
      </c>
    </row>
    <row r="72" spans="6:13">
      <c r="I72" s="941"/>
      <c r="J72" s="629" t="s">
        <v>368</v>
      </c>
      <c r="K72" s="625">
        <v>5</v>
      </c>
      <c r="L72" s="625">
        <v>3</v>
      </c>
      <c r="M72" s="626">
        <f t="shared" si="1"/>
        <v>2</v>
      </c>
    </row>
    <row r="73" spans="6:13">
      <c r="I73" s="941"/>
      <c r="J73" s="629" t="s">
        <v>369</v>
      </c>
      <c r="K73" s="625">
        <v>4</v>
      </c>
      <c r="L73" s="625">
        <v>3</v>
      </c>
      <c r="M73" s="626">
        <f t="shared" si="1"/>
        <v>1</v>
      </c>
    </row>
    <row r="74" spans="6:13" ht="15.75" thickBot="1">
      <c r="I74" s="942"/>
      <c r="J74" s="630" t="s">
        <v>370</v>
      </c>
      <c r="K74" s="631">
        <v>5</v>
      </c>
      <c r="L74" s="631">
        <v>3</v>
      </c>
      <c r="M74" s="632">
        <f t="shared" ref="M74" si="5">K74-L74</f>
        <v>2</v>
      </c>
    </row>
  </sheetData>
  <mergeCells count="24">
    <mergeCell ref="D5:K5"/>
    <mergeCell ref="I54:I74"/>
    <mergeCell ref="I32:I53"/>
    <mergeCell ref="C29:F30"/>
    <mergeCell ref="B29:B30"/>
    <mergeCell ref="B2:M2"/>
    <mergeCell ref="C4:D4"/>
    <mergeCell ref="E3:J3"/>
    <mergeCell ref="K3:L3"/>
    <mergeCell ref="E10:F10"/>
    <mergeCell ref="C8:F8"/>
    <mergeCell ref="B7:F7"/>
    <mergeCell ref="D10:D11"/>
    <mergeCell ref="C3:D3"/>
    <mergeCell ref="E4:J4"/>
    <mergeCell ref="K4:L4"/>
    <mergeCell ref="J8:M8"/>
    <mergeCell ref="J19:M19"/>
    <mergeCell ref="B28:F28"/>
    <mergeCell ref="I28:M28"/>
    <mergeCell ref="B40:E40"/>
    <mergeCell ref="J29:M29"/>
    <mergeCell ref="J30:M30"/>
    <mergeCell ref="C19:F19"/>
  </mergeCells>
  <phoneticPr fontId="30" type="noConversion"/>
  <conditionalFormatting sqref="D15:D16">
    <cfRule type="cellIs" dxfId="62" priority="1" stopIfTrue="1" operator="greaterThan">
      <formula>0</formula>
    </cfRule>
  </conditionalFormatting>
  <conditionalFormatting sqref="E15:E16">
    <cfRule type="cellIs" dxfId="61" priority="2" stopIfTrue="1" operator="greaterThan">
      <formula>0</formula>
    </cfRule>
  </conditionalFormatting>
  <conditionalFormatting sqref="F15:H16">
    <cfRule type="cellIs" dxfId="60" priority="3" stopIfTrue="1" operator="greaterThan">
      <formula>0</formula>
    </cfRule>
  </conditionalFormatting>
  <conditionalFormatting sqref="C4:D4">
    <cfRule type="cellIs" dxfId="59" priority="4" stopIfTrue="1" operator="equal">
      <formula>"C"</formula>
    </cfRule>
    <cfRule type="cellIs" dxfId="58" priority="5" stopIfTrue="1" operator="equal">
      <formula>"B2"</formula>
    </cfRule>
    <cfRule type="cellIs" dxfId="57" priority="6" stopIfTrue="1" operator="equal">
      <formula>"B1"</formula>
    </cfRule>
  </conditionalFormatting>
  <dataValidations count="2">
    <dataValidation type="list" allowBlank="1" showInputMessage="1" showErrorMessage="1" sqref="J54:J71">
      <formula1>мва</formula1>
    </dataValidation>
    <dataValidation type="list" allowBlank="1" showInputMessage="1" showErrorMessage="1" sqref="J43:J49">
      <formula1>Medicaments</formula1>
    </dataValidation>
  </dataValidations>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72"/>
  <sheetViews>
    <sheetView showGridLines="0" tabSelected="1" zoomScale="85" zoomScaleNormal="85" workbookViewId="0">
      <selection activeCell="L54" sqref="L54:Q54"/>
    </sheetView>
  </sheetViews>
  <sheetFormatPr defaultColWidth="11" defaultRowHeight="15"/>
  <cols>
    <col min="1" max="1" width="3.42578125" customWidth="1"/>
    <col min="2" max="2" width="11.28515625" customWidth="1"/>
    <col min="3" max="3" width="16.140625" customWidth="1"/>
    <col min="4" max="4" width="26.140625" customWidth="1"/>
    <col min="5" max="5" width="14.42578125" customWidth="1"/>
    <col min="6" max="6" width="20.7109375" customWidth="1"/>
    <col min="7" max="7" width="5.7109375" customWidth="1"/>
    <col min="8" max="8" width="6.28515625" customWidth="1"/>
    <col min="9" max="9" width="6" customWidth="1"/>
    <col min="10" max="10" width="5.5703125" customWidth="1"/>
    <col min="11" max="11" width="21.5703125" customWidth="1"/>
    <col min="12" max="12" width="12" customWidth="1"/>
    <col min="13" max="13" width="5" customWidth="1"/>
    <col min="14" max="14" width="6.5703125" customWidth="1"/>
    <col min="15" max="15" width="4.140625" customWidth="1"/>
    <col min="16" max="16" width="10.7109375" customWidth="1"/>
    <col min="17" max="17" width="39.5703125" customWidth="1"/>
    <col min="18" max="18" width="87.28515625" customWidth="1"/>
    <col min="19" max="19" width="21.42578125" customWidth="1"/>
  </cols>
  <sheetData>
    <row r="1" spans="1:35" ht="26.25" customHeight="1">
      <c r="A1" s="3"/>
      <c r="B1" s="3"/>
      <c r="C1" s="3"/>
      <c r="D1" s="3"/>
      <c r="E1" s="3"/>
      <c r="F1" s="3"/>
      <c r="G1" s="3"/>
      <c r="H1" s="3"/>
      <c r="I1" s="3"/>
      <c r="J1" s="3"/>
      <c r="K1" s="3"/>
      <c r="L1" s="3"/>
      <c r="M1" s="3"/>
      <c r="N1" s="3"/>
      <c r="O1" s="3"/>
      <c r="P1" s="3"/>
    </row>
    <row r="2" spans="1:35" ht="21.75" customHeight="1">
      <c r="A2" s="3"/>
      <c r="B2" s="1035" t="str">
        <f>+"Панель показателей:  "&amp;"  "&amp;IF(+'Ввод данных'!B4="Выберите","",'Ввод данных'!B4&amp;" - ")&amp;IF('Ввод данных'!F6="Выберите","",'Ввод данных'!F6)</f>
        <v>Панель показателей:    Кыргызстан - ВИЧ/СПИД/ТБ</v>
      </c>
      <c r="C2" s="1035"/>
      <c r="D2" s="1035"/>
      <c r="E2" s="1035"/>
      <c r="F2" s="1035"/>
      <c r="G2" s="1035"/>
      <c r="H2" s="1035"/>
      <c r="I2" s="1035"/>
      <c r="J2" s="1035"/>
      <c r="K2" s="1035"/>
      <c r="L2" s="1035"/>
      <c r="M2" s="1035"/>
      <c r="N2" s="1035"/>
      <c r="O2" s="1035"/>
      <c r="P2" s="1035"/>
      <c r="Q2" s="1035"/>
    </row>
    <row r="3" spans="1:35" ht="18.75">
      <c r="A3" s="3"/>
      <c r="B3" s="603">
        <f>+IF('Ввод данных'!F8="Выберите","",'Ввод данных'!F8)</f>
        <v>0</v>
      </c>
      <c r="C3" s="923">
        <f>+IF('Ввод данных'!H8="Выберите","",'Ввод данных'!H8)</f>
        <v>0</v>
      </c>
      <c r="D3" s="923"/>
      <c r="E3" s="922"/>
      <c r="F3" s="922"/>
      <c r="G3" s="922"/>
      <c r="H3" s="922"/>
      <c r="I3" s="1036"/>
      <c r="J3" s="1036"/>
      <c r="K3" s="1036"/>
      <c r="L3" s="3"/>
      <c r="M3" s="3"/>
      <c r="O3" s="920" t="str">
        <f>+'Ввод данных'!A16</f>
        <v>Отчетный период</v>
      </c>
      <c r="P3" s="920"/>
      <c r="Q3" s="170" t="str">
        <f>+'Ввод данных'!B16</f>
        <v>P1</v>
      </c>
    </row>
    <row r="4" spans="1:35" ht="23.25">
      <c r="A4" s="3"/>
      <c r="B4" s="323" t="str">
        <f>+'Ввод данных'!A12</f>
        <v>Последняя оценка:</v>
      </c>
      <c r="C4" s="1037" t="str">
        <f>+IF('Ввод данных'!B12="Выберите","",'Ввод данных'!B12)</f>
        <v>A2</v>
      </c>
      <c r="D4" s="1037"/>
      <c r="E4" s="922" t="str">
        <f>+'Ввод данных'!B8</f>
        <v>ПРООН</v>
      </c>
      <c r="F4" s="922"/>
      <c r="G4" s="922"/>
      <c r="H4" s="922"/>
      <c r="I4" s="922"/>
      <c r="J4" s="922"/>
      <c r="K4" s="922"/>
      <c r="L4" s="922"/>
      <c r="M4" s="3"/>
      <c r="O4" s="250"/>
      <c r="P4" s="603" t="str">
        <f>+'Ввод данных'!C16</f>
        <v>с:</v>
      </c>
      <c r="Q4" s="251">
        <f>+IF(ISBLANK('Ввод данных'!D16),"",'Ввод данных'!D16)</f>
        <v>43282</v>
      </c>
      <c r="Y4" s="67"/>
      <c r="Z4" s="67"/>
      <c r="AA4" s="67"/>
      <c r="AB4" s="67"/>
      <c r="AC4" s="67"/>
    </row>
    <row r="5" spans="1:35" ht="15.75" customHeight="1">
      <c r="A5" s="3"/>
      <c r="B5" s="603"/>
      <c r="C5" s="603"/>
      <c r="D5" s="922" t="str">
        <f>+'Ввод данных'!F4</f>
        <v>«Эффективный контроль за ВИЧ-инфекцией и туберкулезом в Кыргызской Республике»</v>
      </c>
      <c r="E5" s="922"/>
      <c r="F5" s="922"/>
      <c r="G5" s="922"/>
      <c r="H5" s="922"/>
      <c r="I5" s="922"/>
      <c r="J5" s="922"/>
      <c r="K5" s="922"/>
      <c r="L5" s="922"/>
      <c r="M5" s="922"/>
      <c r="N5" s="922"/>
      <c r="P5" s="603" t="str">
        <f>+'Ввод данных'!E16</f>
        <v>до:</v>
      </c>
      <c r="Q5" s="251">
        <f>+IF(ISBLANK('Ввод данных'!F16),"",'Ввод данных'!F16)</f>
        <v>43465</v>
      </c>
      <c r="S5" s="189"/>
      <c r="T5" s="189"/>
      <c r="U5" s="189"/>
      <c r="V5" s="189"/>
      <c r="W5" s="189"/>
      <c r="X5" s="189"/>
      <c r="Y5" s="67"/>
      <c r="Z5" s="67"/>
      <c r="AA5" s="67" t="s">
        <v>371</v>
      </c>
      <c r="AB5" s="67"/>
      <c r="AC5" s="67" t="s">
        <v>372</v>
      </c>
      <c r="AD5" s="189"/>
      <c r="AE5" s="189"/>
      <c r="AF5" s="189"/>
      <c r="AG5" s="189"/>
      <c r="AH5" s="189"/>
      <c r="AI5" s="189"/>
    </row>
    <row r="6" spans="1:35" ht="15.75" customHeight="1">
      <c r="A6" s="3"/>
      <c r="B6" s="603"/>
      <c r="C6" s="603"/>
      <c r="D6" s="605"/>
      <c r="E6" s="970" t="s">
        <v>373</v>
      </c>
      <c r="F6" s="971"/>
      <c r="G6" s="971"/>
      <c r="H6" s="971"/>
      <c r="I6" s="971"/>
      <c r="J6" s="971"/>
      <c r="K6" s="971"/>
      <c r="L6" s="971"/>
      <c r="M6" s="3"/>
      <c r="N6" s="3"/>
      <c r="O6" s="172"/>
      <c r="P6" s="447"/>
      <c r="S6" s="189"/>
      <c r="T6" s="189"/>
      <c r="U6" s="189"/>
      <c r="V6" s="189"/>
      <c r="W6" s="189"/>
      <c r="X6" s="189"/>
      <c r="Y6" s="67"/>
      <c r="Z6" s="67"/>
      <c r="AA6" s="67"/>
      <c r="AB6" s="67"/>
      <c r="AC6" s="67"/>
      <c r="AD6" s="189"/>
      <c r="AE6" s="189"/>
      <c r="AF6" s="189"/>
      <c r="AG6" s="189"/>
      <c r="AH6" s="189"/>
      <c r="AI6" s="189"/>
    </row>
    <row r="7" spans="1:35" ht="3" customHeight="1">
      <c r="A7" s="3"/>
      <c r="B7" s="603"/>
      <c r="C7" s="603"/>
      <c r="D7" s="605"/>
      <c r="E7" s="605"/>
      <c r="F7" s="605"/>
      <c r="G7" s="605"/>
      <c r="H7" s="605"/>
      <c r="I7" s="605"/>
      <c r="J7" s="605"/>
      <c r="K7" s="605"/>
      <c r="L7" s="605"/>
      <c r="M7" s="3"/>
      <c r="N7" s="3"/>
      <c r="O7" s="172"/>
      <c r="P7" s="171"/>
      <c r="Q7" s="171"/>
      <c r="S7" s="189"/>
      <c r="T7" s="189"/>
      <c r="U7" s="189"/>
      <c r="V7" s="189"/>
      <c r="W7" s="189"/>
      <c r="X7" s="189"/>
      <c r="Y7" s="67"/>
      <c r="Z7" s="67"/>
      <c r="AA7" s="67"/>
      <c r="AB7" s="67"/>
      <c r="AC7" s="67"/>
      <c r="AD7" s="189"/>
      <c r="AE7" s="189"/>
      <c r="AF7" s="189"/>
      <c r="AG7" s="189"/>
      <c r="AH7" s="189"/>
      <c r="AI7" s="189"/>
    </row>
    <row r="8" spans="1:35" ht="30.75" customHeight="1" thickBot="1">
      <c r="A8" s="3"/>
      <c r="B8" s="1038" t="s">
        <v>374</v>
      </c>
      <c r="C8" s="1038"/>
      <c r="D8" s="1038"/>
      <c r="E8" s="1038"/>
      <c r="F8" s="1038" t="s">
        <v>45</v>
      </c>
      <c r="G8" s="1038"/>
      <c r="H8" s="1038"/>
      <c r="I8" s="1038"/>
      <c r="J8" s="1038"/>
      <c r="K8" s="1038"/>
      <c r="L8" s="1038" t="s">
        <v>308</v>
      </c>
      <c r="M8" s="1038"/>
      <c r="N8" s="1038"/>
      <c r="O8" s="1038"/>
      <c r="P8" s="1038"/>
      <c r="Q8" s="1038"/>
      <c r="S8" s="189"/>
      <c r="T8" s="189"/>
      <c r="U8" s="189"/>
      <c r="V8" s="189"/>
      <c r="W8" s="189"/>
      <c r="X8" s="189"/>
      <c r="Y8" s="67"/>
      <c r="Z8" s="67"/>
      <c r="AA8" s="67"/>
      <c r="AB8" s="67"/>
      <c r="AC8" s="67"/>
      <c r="AD8" s="189"/>
      <c r="AE8" s="189"/>
      <c r="AF8" s="189"/>
      <c r="AG8" s="189"/>
      <c r="AH8" s="189"/>
      <c r="AI8" s="189"/>
    </row>
    <row r="9" spans="1:35" ht="67.5" customHeight="1" thickBot="1">
      <c r="A9" s="3"/>
      <c r="B9" s="498" t="s">
        <v>375</v>
      </c>
      <c r="C9" s="1039" t="s">
        <v>376</v>
      </c>
      <c r="D9" s="1040"/>
      <c r="E9" s="1041"/>
      <c r="F9" s="499" t="s">
        <v>375</v>
      </c>
      <c r="G9" s="1039" t="s">
        <v>377</v>
      </c>
      <c r="H9" s="1040"/>
      <c r="I9" s="1040"/>
      <c r="J9" s="1040"/>
      <c r="K9" s="1041"/>
      <c r="L9" s="499" t="s">
        <v>375</v>
      </c>
      <c r="M9" s="1039" t="s">
        <v>378</v>
      </c>
      <c r="N9" s="1040"/>
      <c r="O9" s="1040"/>
      <c r="P9" s="1040"/>
      <c r="Q9" s="1041"/>
      <c r="S9" s="504"/>
      <c r="T9" s="189"/>
      <c r="U9" s="189"/>
      <c r="V9" s="189"/>
      <c r="W9" s="189"/>
      <c r="X9" s="189"/>
      <c r="Y9" s="189"/>
      <c r="Z9" s="189"/>
      <c r="AA9" s="189"/>
      <c r="AB9" s="189"/>
      <c r="AC9" s="189"/>
      <c r="AD9" s="189"/>
      <c r="AE9" s="189"/>
      <c r="AF9" s="189"/>
      <c r="AG9" s="189"/>
      <c r="AH9" s="189"/>
      <c r="AI9" s="189"/>
    </row>
    <row r="10" spans="1:35" ht="18.75" customHeight="1">
      <c r="A10" s="3"/>
      <c r="B10" s="603"/>
      <c r="C10" s="603"/>
      <c r="D10" s="605"/>
      <c r="E10" s="605"/>
      <c r="F10" s="605"/>
      <c r="G10" s="605"/>
      <c r="H10" s="605"/>
      <c r="I10" s="605"/>
      <c r="J10" s="605"/>
      <c r="K10" s="605"/>
      <c r="L10" s="605"/>
      <c r="M10" s="3"/>
      <c r="N10" s="3"/>
      <c r="O10" s="172"/>
      <c r="P10" s="171"/>
      <c r="S10" s="189"/>
      <c r="T10" s="189"/>
      <c r="U10" s="189"/>
      <c r="V10" s="189"/>
      <c r="W10" s="189"/>
      <c r="X10" s="189"/>
      <c r="Y10" s="189"/>
      <c r="Z10" s="189"/>
      <c r="AA10" s="189"/>
      <c r="AB10" s="189"/>
      <c r="AC10" s="189"/>
      <c r="AD10" s="189"/>
      <c r="AE10" s="189"/>
      <c r="AF10" s="189"/>
      <c r="AG10" s="189"/>
      <c r="AH10" s="189"/>
      <c r="AI10" s="189"/>
    </row>
    <row r="11" spans="1:35" ht="18.75" customHeight="1">
      <c r="A11" s="3"/>
      <c r="B11" s="603"/>
      <c r="C11" s="603"/>
      <c r="D11" s="605"/>
      <c r="E11" s="605"/>
      <c r="F11" s="605"/>
      <c r="G11" s="605"/>
      <c r="H11" s="605"/>
      <c r="I11" s="605"/>
      <c r="J11" s="605"/>
      <c r="K11" s="605"/>
      <c r="L11" s="605"/>
      <c r="M11" s="3"/>
      <c r="N11" s="3"/>
      <c r="O11" s="172"/>
      <c r="P11" s="171"/>
      <c r="S11" s="189"/>
      <c r="T11" s="189"/>
      <c r="U11" s="189"/>
      <c r="V11" s="189"/>
      <c r="W11" s="189"/>
      <c r="X11" s="189"/>
      <c r="Y11" s="189"/>
      <c r="Z11" s="189"/>
      <c r="AA11" s="189"/>
      <c r="AB11" s="189"/>
      <c r="AC11" s="189"/>
      <c r="AD11" s="189"/>
      <c r="AE11" s="189"/>
      <c r="AF11" s="189"/>
      <c r="AG11" s="189"/>
      <c r="AH11" s="189"/>
      <c r="AI11" s="189"/>
    </row>
    <row r="12" spans="1:35" ht="18.75" customHeight="1">
      <c r="A12" s="3"/>
      <c r="B12" s="603"/>
      <c r="C12" s="603"/>
      <c r="D12" s="605"/>
      <c r="E12" s="605"/>
      <c r="F12" s="605"/>
      <c r="G12" s="605"/>
      <c r="H12" s="605"/>
      <c r="I12" s="605"/>
      <c r="J12" s="605"/>
      <c r="K12" s="605"/>
      <c r="L12" s="605"/>
      <c r="M12" s="3"/>
      <c r="N12" s="3"/>
      <c r="O12" s="172"/>
      <c r="P12" s="171"/>
      <c r="S12" s="189"/>
      <c r="T12" s="189"/>
      <c r="U12" s="189"/>
      <c r="V12" s="189"/>
      <c r="W12" s="189"/>
      <c r="X12" s="189"/>
      <c r="Y12" s="189"/>
      <c r="Z12" s="189"/>
      <c r="AA12" s="189"/>
      <c r="AB12" s="189"/>
      <c r="AC12" s="189"/>
      <c r="AD12" s="189"/>
      <c r="AE12" s="189"/>
      <c r="AF12" s="189"/>
      <c r="AG12" s="189"/>
      <c r="AH12" s="189"/>
      <c r="AI12" s="189"/>
    </row>
    <row r="13" spans="1:35" ht="18.75" customHeight="1">
      <c r="A13" s="3"/>
      <c r="B13" s="603"/>
      <c r="C13" s="603"/>
      <c r="D13" s="605"/>
      <c r="E13" s="605"/>
      <c r="F13" s="605"/>
      <c r="G13" s="605"/>
      <c r="H13" s="605"/>
      <c r="I13" s="605"/>
      <c r="J13" s="605"/>
      <c r="K13" s="605"/>
      <c r="L13" s="605"/>
      <c r="M13" s="3"/>
      <c r="N13" s="3"/>
      <c r="O13" s="172"/>
      <c r="P13" s="171"/>
      <c r="S13" s="189"/>
      <c r="T13" s="189"/>
      <c r="U13" s="189"/>
      <c r="V13" s="189"/>
      <c r="W13" s="189"/>
      <c r="X13" s="189"/>
      <c r="Y13" s="189"/>
      <c r="Z13" s="189"/>
      <c r="AA13" s="189"/>
      <c r="AB13" s="189"/>
      <c r="AC13" s="189"/>
      <c r="AD13" s="189"/>
      <c r="AE13" s="189"/>
      <c r="AF13" s="189"/>
      <c r="AG13" s="189"/>
      <c r="AH13" s="189"/>
      <c r="AI13" s="189"/>
    </row>
    <row r="14" spans="1:35" ht="18.75" customHeight="1">
      <c r="A14" s="3"/>
      <c r="B14" s="603"/>
      <c r="C14" s="603"/>
      <c r="D14" s="605"/>
      <c r="E14" s="605"/>
      <c r="F14" s="605"/>
      <c r="G14" s="605"/>
      <c r="H14" s="605"/>
      <c r="I14" s="605"/>
      <c r="J14" s="605"/>
      <c r="K14" s="605"/>
      <c r="L14" s="605"/>
      <c r="M14" s="3"/>
      <c r="N14" s="3"/>
      <c r="O14" s="172"/>
      <c r="P14" s="171"/>
      <c r="S14" s="189"/>
      <c r="T14" s="189"/>
      <c r="U14" s="189"/>
      <c r="V14" s="189"/>
      <c r="W14" s="189"/>
      <c r="X14" s="189"/>
      <c r="Y14" s="189"/>
      <c r="Z14" s="189"/>
      <c r="AA14" s="189"/>
      <c r="AB14" s="189"/>
      <c r="AC14" s="189"/>
      <c r="AD14" s="189"/>
      <c r="AE14" s="189"/>
      <c r="AF14" s="189"/>
      <c r="AG14" s="189"/>
      <c r="AH14" s="189"/>
      <c r="AI14" s="189"/>
    </row>
    <row r="15" spans="1:35" ht="18.75" customHeight="1">
      <c r="A15" s="3"/>
      <c r="B15" s="603"/>
      <c r="C15" s="603"/>
      <c r="D15" s="605"/>
      <c r="E15" s="605"/>
      <c r="F15" s="605"/>
      <c r="G15" s="605"/>
      <c r="H15" s="605"/>
      <c r="I15" s="605"/>
      <c r="J15" s="605"/>
      <c r="K15" s="605"/>
      <c r="L15" s="605"/>
      <c r="M15" s="3"/>
      <c r="N15" s="3"/>
      <c r="O15" s="172"/>
      <c r="P15" s="171"/>
      <c r="S15" s="189"/>
      <c r="T15" s="189"/>
      <c r="U15" s="189"/>
      <c r="V15" s="189"/>
      <c r="W15" s="189"/>
      <c r="X15" s="189"/>
      <c r="Y15" s="189"/>
      <c r="Z15" s="189"/>
      <c r="AA15" s="189"/>
      <c r="AB15" s="189"/>
      <c r="AC15" s="189"/>
      <c r="AD15" s="189"/>
      <c r="AE15" s="189"/>
      <c r="AF15" s="189"/>
      <c r="AG15" s="189"/>
      <c r="AH15" s="189"/>
      <c r="AI15" s="189"/>
    </row>
    <row r="16" spans="1:35" ht="18.75" customHeight="1">
      <c r="A16" s="3"/>
      <c r="B16" s="603"/>
      <c r="C16" s="603"/>
      <c r="D16" s="605"/>
      <c r="E16" s="605"/>
      <c r="F16" s="605"/>
      <c r="G16" s="605"/>
      <c r="H16" s="605"/>
      <c r="I16" s="605"/>
      <c r="J16" s="605"/>
      <c r="K16" s="605"/>
      <c r="L16" s="605"/>
      <c r="M16" s="3"/>
      <c r="N16" s="3"/>
      <c r="O16" s="172"/>
      <c r="P16" s="171"/>
      <c r="S16" s="189"/>
      <c r="T16" s="189"/>
      <c r="U16" s="189"/>
      <c r="V16" s="189"/>
      <c r="W16" s="189"/>
      <c r="X16" s="189"/>
      <c r="Y16" s="189"/>
      <c r="Z16" s="189"/>
      <c r="AA16" s="189"/>
      <c r="AB16" s="189"/>
      <c r="AC16" s="189"/>
      <c r="AD16" s="189"/>
      <c r="AE16" s="189"/>
      <c r="AF16" s="189"/>
      <c r="AG16" s="189"/>
      <c r="AH16" s="189"/>
      <c r="AI16" s="189"/>
    </row>
    <row r="17" spans="1:35" ht="18.75" customHeight="1">
      <c r="A17" s="3"/>
      <c r="B17" s="603"/>
      <c r="C17" s="603"/>
      <c r="D17" s="605"/>
      <c r="E17" s="605"/>
      <c r="F17" s="605"/>
      <c r="G17" s="605"/>
      <c r="H17" s="605"/>
      <c r="I17" s="605"/>
      <c r="J17" s="605"/>
      <c r="K17" s="605"/>
      <c r="L17" s="605"/>
      <c r="M17" s="3"/>
      <c r="N17" s="3"/>
      <c r="O17" s="172"/>
      <c r="P17" s="171"/>
      <c r="S17" s="189"/>
      <c r="T17" s="189"/>
      <c r="U17" s="189"/>
      <c r="V17" s="189"/>
      <c r="W17" s="189"/>
      <c r="X17" s="189"/>
      <c r="Y17" s="189"/>
      <c r="Z17" s="189"/>
      <c r="AA17" s="189"/>
      <c r="AB17" s="189"/>
      <c r="AC17" s="189"/>
      <c r="AD17" s="189"/>
      <c r="AE17" s="189"/>
      <c r="AF17" s="189"/>
      <c r="AG17" s="189"/>
      <c r="AH17" s="189"/>
      <c r="AI17" s="189"/>
    </row>
    <row r="18" spans="1:35" ht="18.75" customHeight="1">
      <c r="A18" s="3"/>
      <c r="B18" s="603"/>
      <c r="C18" s="603"/>
      <c r="D18" s="605"/>
      <c r="E18" s="605"/>
      <c r="F18" s="605"/>
      <c r="G18" s="605"/>
      <c r="H18" s="605"/>
      <c r="I18" s="605"/>
      <c r="J18" s="605"/>
      <c r="K18" s="605"/>
      <c r="L18" s="605"/>
      <c r="M18" s="3"/>
      <c r="N18" s="3"/>
      <c r="O18" s="172"/>
      <c r="P18" s="171"/>
      <c r="S18" s="189"/>
      <c r="T18" s="189"/>
      <c r="U18" s="189"/>
      <c r="V18" s="189"/>
      <c r="W18" s="189"/>
      <c r="X18" s="189"/>
      <c r="Y18" s="189"/>
      <c r="Z18" s="189"/>
      <c r="AA18" s="189"/>
      <c r="AB18" s="189"/>
      <c r="AC18" s="189"/>
      <c r="AD18" s="189"/>
      <c r="AE18" s="189"/>
      <c r="AF18" s="189"/>
      <c r="AG18" s="189"/>
      <c r="AH18" s="189"/>
      <c r="AI18" s="189"/>
    </row>
    <row r="19" spans="1:35" ht="17.25" customHeight="1">
      <c r="A19" s="3"/>
      <c r="B19" s="603"/>
      <c r="C19" s="603"/>
      <c r="D19" s="605"/>
      <c r="E19" s="605"/>
      <c r="F19" s="605"/>
      <c r="G19" s="605"/>
      <c r="H19" s="605"/>
      <c r="I19" s="605"/>
      <c r="J19" s="605"/>
      <c r="K19" s="605"/>
      <c r="L19" s="605"/>
      <c r="M19" s="3"/>
      <c r="N19" s="3"/>
      <c r="O19" s="172"/>
      <c r="P19" s="171"/>
      <c r="S19" s="189"/>
      <c r="T19" s="189"/>
      <c r="U19" s="189"/>
      <c r="V19" s="189"/>
      <c r="W19" s="189"/>
      <c r="X19" s="189"/>
      <c r="Y19" s="189"/>
      <c r="Z19" s="189"/>
      <c r="AA19" s="189"/>
      <c r="AB19" s="189"/>
      <c r="AC19" s="189"/>
      <c r="AD19" s="189"/>
      <c r="AE19" s="189"/>
      <c r="AF19" s="189"/>
      <c r="AG19" s="189"/>
      <c r="AH19" s="189"/>
      <c r="AI19" s="189"/>
    </row>
    <row r="20" spans="1:35" ht="6" customHeight="1">
      <c r="A20" s="3"/>
      <c r="B20" s="110"/>
      <c r="C20" s="603"/>
      <c r="D20" s="108"/>
      <c r="E20" s="996"/>
      <c r="F20" s="996"/>
      <c r="G20" s="996"/>
      <c r="H20" s="996"/>
      <c r="I20" s="996"/>
      <c r="J20" s="996"/>
      <c r="K20" s="996"/>
      <c r="L20" s="3"/>
      <c r="M20" s="3"/>
      <c r="N20" s="3"/>
      <c r="O20" s="3"/>
      <c r="P20" s="3"/>
      <c r="S20" s="189"/>
      <c r="T20" s="189"/>
      <c r="U20" s="189"/>
      <c r="V20" s="189"/>
      <c r="W20" s="189"/>
      <c r="X20" s="189"/>
      <c r="Y20" s="189"/>
      <c r="Z20" s="189"/>
      <c r="AA20" s="189"/>
      <c r="AB20" s="189"/>
      <c r="AC20" s="189"/>
      <c r="AD20" s="189"/>
      <c r="AE20" s="189"/>
      <c r="AF20" s="189"/>
      <c r="AG20" s="189"/>
      <c r="AH20" s="189"/>
      <c r="AI20" s="189"/>
    </row>
    <row r="21" spans="1:35" ht="45" customHeight="1">
      <c r="A21" s="3"/>
      <c r="B21" s="1042" t="s">
        <v>379</v>
      </c>
      <c r="C21" s="1042"/>
      <c r="D21" s="1042"/>
      <c r="E21" s="612" t="s">
        <v>306</v>
      </c>
      <c r="F21" s="612" t="s">
        <v>331</v>
      </c>
      <c r="G21" s="1033" t="s">
        <v>380</v>
      </c>
      <c r="H21" s="1034"/>
      <c r="I21" s="981" t="s">
        <v>381</v>
      </c>
      <c r="J21" s="982"/>
      <c r="K21" s="448" t="s">
        <v>382</v>
      </c>
      <c r="L21" s="973" t="s">
        <v>383</v>
      </c>
      <c r="M21" s="974"/>
      <c r="N21" s="974"/>
      <c r="O21" s="974"/>
      <c r="P21" s="974"/>
      <c r="Q21" s="975"/>
      <c r="S21" s="61" t="s">
        <v>384</v>
      </c>
      <c r="T21" s="62">
        <v>0</v>
      </c>
      <c r="U21" s="63">
        <v>0.3</v>
      </c>
      <c r="V21" s="63">
        <v>0.6</v>
      </c>
      <c r="W21" s="63">
        <v>0.9</v>
      </c>
      <c r="X21" s="63">
        <v>1</v>
      </c>
      <c r="Y21" s="67"/>
      <c r="Z21" s="67"/>
      <c r="AA21" s="61" t="s">
        <v>384</v>
      </c>
      <c r="AB21" s="62">
        <v>0</v>
      </c>
      <c r="AC21" s="63">
        <v>0.2</v>
      </c>
      <c r="AD21" s="63">
        <v>0.4</v>
      </c>
      <c r="AE21" s="63">
        <v>0.6</v>
      </c>
      <c r="AF21" s="63">
        <v>0.8</v>
      </c>
      <c r="AG21" s="67"/>
      <c r="AH21" s="67"/>
      <c r="AI21" s="67"/>
    </row>
    <row r="22" spans="1:35" ht="79.5" customHeight="1">
      <c r="A22" s="3"/>
      <c r="B22" s="983" t="s">
        <v>374</v>
      </c>
      <c r="C22" s="984"/>
      <c r="D22" s="985"/>
      <c r="E22" s="505" t="s">
        <v>385</v>
      </c>
      <c r="F22" s="505" t="s">
        <v>386</v>
      </c>
      <c r="G22" s="986">
        <v>1.02</v>
      </c>
      <c r="H22" s="987"/>
      <c r="I22" s="987"/>
      <c r="J22" s="987"/>
      <c r="K22" s="988"/>
      <c r="L22" s="962" t="s">
        <v>376</v>
      </c>
      <c r="M22" s="963"/>
      <c r="N22" s="963"/>
      <c r="O22" s="963"/>
      <c r="P22" s="963"/>
      <c r="Q22" s="963"/>
      <c r="S22" s="61" t="s">
        <v>387</v>
      </c>
      <c r="T22" s="64">
        <v>0.3</v>
      </c>
      <c r="U22" s="63">
        <v>0.6</v>
      </c>
      <c r="V22" s="63">
        <v>0.9</v>
      </c>
      <c r="W22" s="63">
        <v>1</v>
      </c>
      <c r="X22" s="63">
        <v>2</v>
      </c>
      <c r="Y22" s="67"/>
      <c r="Z22" s="67"/>
      <c r="AA22" s="61" t="s">
        <v>387</v>
      </c>
      <c r="AB22" s="64">
        <v>0.2</v>
      </c>
      <c r="AC22" s="63">
        <v>0.4</v>
      </c>
      <c r="AD22" s="63">
        <v>0.6</v>
      </c>
      <c r="AE22" s="63">
        <v>0.8</v>
      </c>
      <c r="AF22" s="63">
        <v>1</v>
      </c>
      <c r="AG22" s="67"/>
      <c r="AH22" s="67"/>
      <c r="AI22" s="67"/>
    </row>
    <row r="23" spans="1:35" ht="87" customHeight="1">
      <c r="A23" s="3"/>
      <c r="B23" s="989" t="s">
        <v>45</v>
      </c>
      <c r="C23" s="989"/>
      <c r="D23" s="989"/>
      <c r="E23" s="505" t="s">
        <v>388</v>
      </c>
      <c r="F23" s="505" t="s">
        <v>389</v>
      </c>
      <c r="G23" s="986">
        <v>0.95</v>
      </c>
      <c r="H23" s="987"/>
      <c r="I23" s="987"/>
      <c r="J23" s="987"/>
      <c r="K23" s="988"/>
      <c r="L23" s="962" t="s">
        <v>377</v>
      </c>
      <c r="M23" s="963"/>
      <c r="N23" s="963"/>
      <c r="O23" s="963"/>
      <c r="P23" s="963"/>
      <c r="Q23" s="963"/>
      <c r="S23" s="65"/>
      <c r="T23" s="66" t="str">
        <f>"de "&amp;T21&amp;" a "&amp;T22</f>
        <v>de 0 a 0.3</v>
      </c>
      <c r="U23" s="66" t="str">
        <f>"de "&amp;U21&amp;" a "&amp;U22</f>
        <v>de 0.3 a 0.6</v>
      </c>
      <c r="V23" s="66" t="str">
        <f>"de "&amp;V21&amp;" a "&amp;V22</f>
        <v>de 0.6 a 0.9</v>
      </c>
      <c r="W23" s="66" t="str">
        <f>"de "&amp;W21&amp;" a "&amp;W22</f>
        <v>de 0.9 a 1</v>
      </c>
      <c r="X23" s="66" t="str">
        <f>"de "&amp;X21&amp;" a "&amp;X22</f>
        <v>de 1 a 2</v>
      </c>
      <c r="Y23" s="67"/>
      <c r="Z23" s="67" t="s">
        <v>390</v>
      </c>
      <c r="AA23" s="65" t="s">
        <v>372</v>
      </c>
      <c r="AB23" s="66" t="str">
        <f>"de "&amp;AB21&amp;" a "&amp;AB22</f>
        <v>de 0 a 0.2</v>
      </c>
      <c r="AC23" s="66" t="str">
        <f>"de "&amp;AC21&amp;" a "&amp;AC22</f>
        <v>de 0.2 a 0.4</v>
      </c>
      <c r="AD23" s="66" t="str">
        <f>"de "&amp;AD21&amp;" a "&amp;AD22</f>
        <v>de 0.4 a 0.6</v>
      </c>
      <c r="AE23" s="66" t="str">
        <f>"de "&amp;AE21&amp;" a "&amp;AE22</f>
        <v>de 0.6 a 0.8</v>
      </c>
      <c r="AF23" s="66" t="str">
        <f>"de "&amp;AF21&amp;" a "&amp;AF22</f>
        <v>de 0.8 a 1</v>
      </c>
      <c r="AG23" s="67"/>
      <c r="AH23" s="67"/>
      <c r="AI23" s="67"/>
    </row>
    <row r="24" spans="1:35" ht="87" customHeight="1">
      <c r="A24" s="3"/>
      <c r="B24" s="964" t="s">
        <v>49</v>
      </c>
      <c r="C24" s="965"/>
      <c r="D24" s="966"/>
      <c r="E24" s="452" t="s">
        <v>391</v>
      </c>
      <c r="F24" s="452" t="s">
        <v>392</v>
      </c>
      <c r="G24" s="967">
        <v>1.2</v>
      </c>
      <c r="H24" s="968"/>
      <c r="I24" s="968"/>
      <c r="J24" s="968"/>
      <c r="K24" s="969"/>
      <c r="L24" s="962" t="s">
        <v>393</v>
      </c>
      <c r="M24" s="963"/>
      <c r="N24" s="963"/>
      <c r="O24" s="963"/>
      <c r="P24" s="963"/>
      <c r="Q24" s="963"/>
      <c r="S24" s="65"/>
      <c r="T24" s="66"/>
      <c r="U24" s="66"/>
      <c r="V24" s="66"/>
      <c r="W24" s="66"/>
      <c r="X24" s="66"/>
      <c r="Y24" s="67"/>
      <c r="Z24" s="67"/>
      <c r="AA24" s="65"/>
      <c r="AB24" s="66"/>
      <c r="AC24" s="66"/>
      <c r="AD24" s="66"/>
      <c r="AE24" s="66"/>
      <c r="AF24" s="66"/>
      <c r="AG24" s="67"/>
      <c r="AH24" s="67"/>
      <c r="AI24" s="67"/>
    </row>
    <row r="25" spans="1:35" ht="177.75" customHeight="1">
      <c r="A25" s="3"/>
      <c r="B25" s="1030" t="s">
        <v>52</v>
      </c>
      <c r="C25" s="1031"/>
      <c r="D25" s="1032"/>
      <c r="E25" s="449" t="s">
        <v>394</v>
      </c>
      <c r="F25" s="449" t="s">
        <v>310</v>
      </c>
      <c r="G25" s="986">
        <v>0.92</v>
      </c>
      <c r="H25" s="987"/>
      <c r="I25" s="987"/>
      <c r="J25" s="987"/>
      <c r="K25" s="988"/>
      <c r="L25" s="1029" t="s">
        <v>395</v>
      </c>
      <c r="M25" s="1029"/>
      <c r="N25" s="1029"/>
      <c r="O25" s="1029"/>
      <c r="P25" s="1029"/>
      <c r="Q25" s="1029"/>
      <c r="R25" s="347"/>
      <c r="S25" s="65"/>
      <c r="T25" s="63" t="e">
        <f>IF($K23&gt;T$21,IF($K23&lt;=T$22,$K23,NA()),NA())</f>
        <v>#N/A</v>
      </c>
      <c r="U25" s="63" t="e">
        <f>IF($K23&gt;U$21,IF($K23&lt;=U$22,$K23,NA()),NA())</f>
        <v>#N/A</v>
      </c>
      <c r="V25" s="63" t="e">
        <f>IF($K23&gt;V$21,IF($K23&lt;=V$22,$K23,NA()),NA())</f>
        <v>#N/A</v>
      </c>
      <c r="W25" s="63" t="e">
        <f>IF($K23&gt;W$21,IF($K23&lt;=W$22,$K23,NA()),NA())</f>
        <v>#N/A</v>
      </c>
      <c r="X25" s="63" t="e">
        <f>IF($K23&gt;X$21,IF($K23&lt;=X$22,1,1),NA())</f>
        <v>#N/A</v>
      </c>
      <c r="Y25" s="67"/>
      <c r="Z25" s="168" t="e">
        <v>#REF!</v>
      </c>
      <c r="AA25" s="63" t="e">
        <f>+IF(Z25="A1",1,IF(Z25="A2",0.8,IF(Z25="B1",0.6,IF(Z25="B2",0.4,0.2))))</f>
        <v>#REF!</v>
      </c>
      <c r="AB25" s="63" t="e">
        <f>IF($AA25&gt;AB$21,IF($AA25&lt;=AB$22,$AA25,NA()),NA())</f>
        <v>#REF!</v>
      </c>
      <c r="AC25" s="63" t="e">
        <f t="shared" ref="AC25:AF26" si="0">IF($AA25&gt;AC$21,IF($AA25&lt;=AC$22,$AA25,NA()),NA())</f>
        <v>#REF!</v>
      </c>
      <c r="AD25" s="63" t="e">
        <f t="shared" si="0"/>
        <v>#REF!</v>
      </c>
      <c r="AE25" s="63" t="e">
        <f t="shared" si="0"/>
        <v>#REF!</v>
      </c>
      <c r="AF25" s="63" t="e">
        <f t="shared" si="0"/>
        <v>#REF!</v>
      </c>
      <c r="AG25" s="67"/>
      <c r="AH25" s="67"/>
      <c r="AI25" s="67"/>
    </row>
    <row r="26" spans="1:35" ht="84.75" customHeight="1">
      <c r="A26" s="3"/>
      <c r="B26" s="983" t="s">
        <v>59</v>
      </c>
      <c r="C26" s="984"/>
      <c r="D26" s="985"/>
      <c r="E26" s="450" t="s">
        <v>311</v>
      </c>
      <c r="F26" s="450" t="s">
        <v>312</v>
      </c>
      <c r="G26" s="986">
        <v>0.98</v>
      </c>
      <c r="H26" s="987"/>
      <c r="I26" s="987"/>
      <c r="J26" s="987"/>
      <c r="K26" s="988"/>
      <c r="L26" s="1029" t="s">
        <v>396</v>
      </c>
      <c r="M26" s="1029"/>
      <c r="N26" s="1029"/>
      <c r="O26" s="1029"/>
      <c r="P26" s="1029"/>
      <c r="Q26" s="1029"/>
      <c r="R26" s="504"/>
      <c r="S26" s="65"/>
      <c r="T26" s="63" t="e">
        <f>IF(#REF!&gt;T$21,IF(#REF!&lt;=T$22,#REF!,NA()),NA())</f>
        <v>#REF!</v>
      </c>
      <c r="U26" s="63" t="e">
        <f>IF(#REF!&gt;U$21,IF(#REF!&lt;=U$22,#REF!,NA()),NA())</f>
        <v>#REF!</v>
      </c>
      <c r="V26" s="63" t="e">
        <f>IF(#REF!&gt;V$21,IF(#REF!&lt;=V$22,#REF!,NA()),NA())</f>
        <v>#REF!</v>
      </c>
      <c r="W26" s="63" t="e">
        <f>IF(#REF!&gt;W$21,IF(#REF!&lt;=W$22,#REF!,NA()),NA())</f>
        <v>#REF!</v>
      </c>
      <c r="X26" s="63" t="e">
        <f>IF(#REF!&gt;X$21,IF(#REF!&lt;=X$22,1,NA()),NA())</f>
        <v>#REF!</v>
      </c>
      <c r="Y26" s="67"/>
      <c r="Z26" s="168" t="e">
        <v>#REF!</v>
      </c>
      <c r="AA26" s="63" t="e">
        <f>+IF(Z26="A1",1,IF(Z26="A2",0.8,IF(Z26="B1",0.6,IF(Z26="B2",0.4,0.2))))</f>
        <v>#REF!</v>
      </c>
      <c r="AB26" s="63" t="e">
        <f>IF($AA26&gt;AB$21,IF($AA26&lt;=AB$22,$AA26,NA()),NA())</f>
        <v>#REF!</v>
      </c>
      <c r="AC26" s="63" t="e">
        <f t="shared" si="0"/>
        <v>#REF!</v>
      </c>
      <c r="AD26" s="63" t="e">
        <f t="shared" si="0"/>
        <v>#REF!</v>
      </c>
      <c r="AE26" s="63" t="e">
        <f t="shared" si="0"/>
        <v>#REF!</v>
      </c>
      <c r="AF26" s="63" t="e">
        <f t="shared" si="0"/>
        <v>#REF!</v>
      </c>
      <c r="AG26" s="67"/>
      <c r="AH26" s="67"/>
      <c r="AI26" s="67"/>
    </row>
    <row r="27" spans="1:35" ht="303" customHeight="1">
      <c r="A27" s="3"/>
      <c r="B27" s="983" t="s">
        <v>63</v>
      </c>
      <c r="C27" s="984"/>
      <c r="D27" s="985"/>
      <c r="E27" s="450" t="s">
        <v>313</v>
      </c>
      <c r="F27" s="450" t="s">
        <v>397</v>
      </c>
      <c r="G27" s="986">
        <v>0.88</v>
      </c>
      <c r="H27" s="987"/>
      <c r="I27" s="987"/>
      <c r="J27" s="987"/>
      <c r="K27" s="988"/>
      <c r="L27" s="1029" t="s">
        <v>398</v>
      </c>
      <c r="M27" s="1029"/>
      <c r="N27" s="1029"/>
      <c r="O27" s="1029"/>
      <c r="P27" s="1029"/>
      <c r="Q27" s="1029"/>
      <c r="R27" s="504"/>
      <c r="S27" s="65"/>
      <c r="T27" s="63"/>
      <c r="U27" s="63"/>
      <c r="V27" s="63"/>
      <c r="W27" s="63"/>
      <c r="X27" s="63"/>
      <c r="Y27" s="67"/>
      <c r="Z27" s="168"/>
      <c r="AA27" s="451"/>
      <c r="AB27" s="451"/>
      <c r="AC27" s="451"/>
      <c r="AD27" s="451"/>
      <c r="AE27" s="451"/>
      <c r="AF27" s="451"/>
      <c r="AG27" s="67"/>
      <c r="AH27" s="67"/>
      <c r="AI27" s="67"/>
    </row>
    <row r="28" spans="1:35" ht="84.75" customHeight="1">
      <c r="A28" s="3"/>
      <c r="B28" s="983" t="s">
        <v>70</v>
      </c>
      <c r="C28" s="984"/>
      <c r="D28" s="985"/>
      <c r="E28" s="450" t="s">
        <v>316</v>
      </c>
      <c r="F28" s="450" t="s">
        <v>317</v>
      </c>
      <c r="G28" s="986">
        <v>1.2</v>
      </c>
      <c r="H28" s="987"/>
      <c r="I28" s="987"/>
      <c r="J28" s="987"/>
      <c r="K28" s="988"/>
      <c r="L28" s="956" t="s">
        <v>399</v>
      </c>
      <c r="M28" s="990"/>
      <c r="N28" s="990"/>
      <c r="O28" s="990"/>
      <c r="P28" s="990"/>
      <c r="Q28" s="991"/>
      <c r="R28" s="504"/>
      <c r="S28" s="65"/>
      <c r="T28" s="63" t="e">
        <f t="shared" ref="T28:W29" si="1">IF($K25&gt;T$21,IF($K25&lt;=T$22,$K25,NA()),NA())</f>
        <v>#N/A</v>
      </c>
      <c r="U28" s="63" t="e">
        <f t="shared" si="1"/>
        <v>#N/A</v>
      </c>
      <c r="V28" s="63" t="e">
        <f t="shared" si="1"/>
        <v>#N/A</v>
      </c>
      <c r="W28" s="63" t="e">
        <f t="shared" si="1"/>
        <v>#N/A</v>
      </c>
      <c r="X28" s="63" t="e">
        <f>IF($K25&gt;X$21,IF($K25&lt;=X$22,1,NA()),NA())</f>
        <v>#N/A</v>
      </c>
      <c r="Y28" s="67"/>
      <c r="Z28" s="67"/>
      <c r="AA28" s="67"/>
      <c r="AB28" s="67"/>
      <c r="AC28" s="67"/>
      <c r="AD28" s="67"/>
      <c r="AE28" s="67"/>
      <c r="AF28" s="67"/>
      <c r="AG28" s="67"/>
      <c r="AH28" s="67"/>
      <c r="AI28" s="67"/>
    </row>
    <row r="29" spans="1:35" ht="77.25" customHeight="1">
      <c r="A29" s="3"/>
      <c r="B29" s="964" t="s">
        <v>56</v>
      </c>
      <c r="C29" s="1024"/>
      <c r="D29" s="1025"/>
      <c r="E29" s="452" t="s">
        <v>318</v>
      </c>
      <c r="F29" s="452" t="s">
        <v>319</v>
      </c>
      <c r="G29" s="1007">
        <v>1.17</v>
      </c>
      <c r="H29" s="1008"/>
      <c r="I29" s="1008"/>
      <c r="J29" s="1008"/>
      <c r="K29" s="1009"/>
      <c r="L29" s="956" t="s">
        <v>400</v>
      </c>
      <c r="M29" s="957"/>
      <c r="N29" s="957"/>
      <c r="O29" s="957"/>
      <c r="P29" s="957"/>
      <c r="Q29" s="958"/>
      <c r="R29" s="504"/>
      <c r="S29" s="65"/>
      <c r="T29" s="63" t="e">
        <f t="shared" si="1"/>
        <v>#N/A</v>
      </c>
      <c r="U29" s="63" t="e">
        <f t="shared" si="1"/>
        <v>#N/A</v>
      </c>
      <c r="V29" s="63" t="e">
        <f t="shared" si="1"/>
        <v>#N/A</v>
      </c>
      <c r="W29" s="63" t="e">
        <f t="shared" si="1"/>
        <v>#N/A</v>
      </c>
      <c r="X29" s="63" t="e">
        <f>IF($K26&gt;X$21,IF($K26&lt;=X$22,1,NA()),NA())</f>
        <v>#N/A</v>
      </c>
      <c r="Y29" s="67"/>
      <c r="Z29" s="67"/>
      <c r="AA29" s="67"/>
      <c r="AB29" s="67"/>
      <c r="AC29" s="67"/>
      <c r="AD29" s="67"/>
      <c r="AE29" s="67"/>
      <c r="AF29" s="67"/>
      <c r="AG29" s="67"/>
      <c r="AH29" s="67"/>
      <c r="AI29" s="67"/>
    </row>
    <row r="30" spans="1:35" ht="57.75" customHeight="1">
      <c r="A30" s="3"/>
      <c r="B30" s="964" t="s">
        <v>67</v>
      </c>
      <c r="C30" s="1024"/>
      <c r="D30" s="1025"/>
      <c r="E30" s="452" t="s">
        <v>320</v>
      </c>
      <c r="F30" s="452" t="s">
        <v>321</v>
      </c>
      <c r="G30" s="1007">
        <v>0.99</v>
      </c>
      <c r="H30" s="1008"/>
      <c r="I30" s="1008"/>
      <c r="J30" s="1008"/>
      <c r="K30" s="1009"/>
      <c r="L30" s="956" t="s">
        <v>401</v>
      </c>
      <c r="M30" s="957"/>
      <c r="N30" s="957"/>
      <c r="O30" s="957"/>
      <c r="P30" s="957"/>
      <c r="Q30" s="958"/>
      <c r="R30" s="504"/>
      <c r="S30" s="65"/>
      <c r="T30" s="63"/>
      <c r="U30" s="63"/>
      <c r="V30" s="63"/>
      <c r="W30" s="63"/>
      <c r="X30" s="63"/>
      <c r="Y30" s="67"/>
      <c r="Z30" s="67"/>
      <c r="AA30" s="67"/>
      <c r="AB30" s="67"/>
      <c r="AC30" s="67"/>
      <c r="AD30" s="67"/>
      <c r="AE30" s="67"/>
      <c r="AF30" s="67"/>
      <c r="AG30" s="67"/>
      <c r="AH30" s="67"/>
      <c r="AI30" s="67"/>
    </row>
    <row r="31" spans="1:35" ht="62.25" customHeight="1">
      <c r="A31" s="3"/>
      <c r="B31" s="964" t="s">
        <v>73</v>
      </c>
      <c r="C31" s="965"/>
      <c r="D31" s="966"/>
      <c r="E31" s="452" t="s">
        <v>322</v>
      </c>
      <c r="F31" s="452" t="s">
        <v>323</v>
      </c>
      <c r="G31" s="1026">
        <v>1.2</v>
      </c>
      <c r="H31" s="1027"/>
      <c r="I31" s="1027"/>
      <c r="J31" s="1027"/>
      <c r="K31" s="1028"/>
      <c r="L31" s="956" t="s">
        <v>402</v>
      </c>
      <c r="M31" s="957"/>
      <c r="N31" s="957"/>
      <c r="O31" s="957"/>
      <c r="P31" s="957"/>
      <c r="Q31" s="958"/>
      <c r="R31" s="504"/>
      <c r="S31" s="65"/>
      <c r="T31" s="63"/>
      <c r="U31" s="63"/>
      <c r="V31" s="63"/>
      <c r="W31" s="63"/>
      <c r="X31" s="63"/>
      <c r="Y31" s="67"/>
      <c r="Z31" s="67"/>
      <c r="AA31" s="67"/>
      <c r="AB31" s="67"/>
      <c r="AC31" s="67"/>
      <c r="AD31" s="67"/>
      <c r="AE31" s="67"/>
      <c r="AF31" s="67"/>
      <c r="AG31" s="67"/>
      <c r="AH31" s="67"/>
      <c r="AI31" s="67"/>
    </row>
    <row r="32" spans="1:35" ht="79.5" customHeight="1">
      <c r="A32" s="3"/>
      <c r="B32" s="964" t="s">
        <v>324</v>
      </c>
      <c r="C32" s="965"/>
      <c r="D32" s="966"/>
      <c r="E32" s="449">
        <v>0.95</v>
      </c>
      <c r="F32" s="449">
        <v>0.96</v>
      </c>
      <c r="G32" s="967">
        <v>1.01</v>
      </c>
      <c r="H32" s="968"/>
      <c r="I32" s="968"/>
      <c r="J32" s="968"/>
      <c r="K32" s="969"/>
      <c r="L32" s="962" t="s">
        <v>403</v>
      </c>
      <c r="M32" s="963"/>
      <c r="N32" s="963"/>
      <c r="O32" s="963"/>
      <c r="P32" s="963"/>
      <c r="Q32" s="963"/>
      <c r="R32" s="504"/>
      <c r="S32" s="65"/>
      <c r="T32" s="63" t="e">
        <f t="shared" ref="T32:W33" si="2">IF($K28&gt;T$21,IF($K28&lt;=T$22,$K28,NA()),NA())</f>
        <v>#N/A</v>
      </c>
      <c r="U32" s="63" t="e">
        <f t="shared" si="2"/>
        <v>#N/A</v>
      </c>
      <c r="V32" s="63" t="e">
        <f t="shared" si="2"/>
        <v>#N/A</v>
      </c>
      <c r="W32" s="63" t="e">
        <f t="shared" si="2"/>
        <v>#N/A</v>
      </c>
      <c r="X32" s="63" t="e">
        <f>IF($K28&gt;X$21,IF($K28&lt;=X$22,1,NA()),NA())</f>
        <v>#N/A</v>
      </c>
      <c r="Y32" s="67"/>
      <c r="Z32" s="67"/>
      <c r="AA32" s="67"/>
      <c r="AB32" s="67"/>
      <c r="AC32" s="67"/>
      <c r="AD32" s="67"/>
      <c r="AE32" s="67"/>
      <c r="AF32" s="67"/>
      <c r="AG32" s="67"/>
      <c r="AH32" s="67"/>
      <c r="AI32" s="67"/>
    </row>
    <row r="33" spans="1:35" ht="89.25" customHeight="1">
      <c r="A33" s="3"/>
      <c r="B33" s="964" t="s">
        <v>79</v>
      </c>
      <c r="C33" s="965"/>
      <c r="D33" s="966"/>
      <c r="E33" s="449">
        <v>0.9</v>
      </c>
      <c r="F33" s="449">
        <v>0.93</v>
      </c>
      <c r="G33" s="967">
        <v>1.03</v>
      </c>
      <c r="H33" s="968"/>
      <c r="I33" s="968"/>
      <c r="J33" s="968"/>
      <c r="K33" s="969"/>
      <c r="L33" s="962" t="s">
        <v>404</v>
      </c>
      <c r="M33" s="963"/>
      <c r="N33" s="963"/>
      <c r="O33" s="963"/>
      <c r="P33" s="963"/>
      <c r="Q33" s="963"/>
      <c r="R33" s="504"/>
      <c r="S33" s="65"/>
      <c r="T33" s="63" t="e">
        <f t="shared" si="2"/>
        <v>#N/A</v>
      </c>
      <c r="U33" s="63" t="e">
        <f t="shared" si="2"/>
        <v>#N/A</v>
      </c>
      <c r="V33" s="63" t="e">
        <f t="shared" si="2"/>
        <v>#N/A</v>
      </c>
      <c r="W33" s="63" t="e">
        <f t="shared" si="2"/>
        <v>#N/A</v>
      </c>
      <c r="X33" s="63" t="e">
        <f>IF($K29&gt;X$21,IF($K29&lt;=X$22,1,NA()),NA())</f>
        <v>#N/A</v>
      </c>
      <c r="Y33" s="67"/>
      <c r="Z33" s="67"/>
      <c r="AA33" s="67"/>
      <c r="AB33" s="67"/>
      <c r="AC33" s="67"/>
      <c r="AD33" s="67"/>
      <c r="AE33" s="67"/>
      <c r="AF33" s="67"/>
      <c r="AG33" s="67"/>
      <c r="AH33" s="67"/>
      <c r="AI33" s="67"/>
    </row>
    <row r="34" spans="1:35" ht="69.75" customHeight="1">
      <c r="A34" s="3"/>
      <c r="B34" s="964" t="s">
        <v>83</v>
      </c>
      <c r="C34" s="965"/>
      <c r="D34" s="966"/>
      <c r="E34" s="449">
        <v>0.95</v>
      </c>
      <c r="F34" s="449">
        <v>0.98</v>
      </c>
      <c r="G34" s="967">
        <v>1.03</v>
      </c>
      <c r="H34" s="968"/>
      <c r="I34" s="968"/>
      <c r="J34" s="968"/>
      <c r="K34" s="969"/>
      <c r="L34" s="962" t="s">
        <v>405</v>
      </c>
      <c r="M34" s="963"/>
      <c r="N34" s="963"/>
      <c r="O34" s="963"/>
      <c r="P34" s="963"/>
      <c r="Q34" s="963"/>
      <c r="R34" s="504"/>
      <c r="S34" s="65"/>
      <c r="T34" s="63" t="e">
        <f>IF(#REF!&gt;T$21,IF(#REF!&lt;=T$22,#REF!,NA()),NA())</f>
        <v>#REF!</v>
      </c>
      <c r="U34" s="63" t="e">
        <f>IF(#REF!&gt;U$21,IF(#REF!&lt;=U$22,#REF!,NA()),NA())</f>
        <v>#REF!</v>
      </c>
      <c r="V34" s="63" t="e">
        <f>IF(#REF!&gt;V$21,IF(#REF!&lt;=V$22,#REF!,NA()),NA())</f>
        <v>#REF!</v>
      </c>
      <c r="W34" s="63" t="e">
        <f>IF(#REF!&gt;W$21,IF(#REF!&lt;=W$22,#REF!,NA()),NA())</f>
        <v>#REF!</v>
      </c>
      <c r="X34" s="63" t="e">
        <f>IF(#REF!&gt;X$21,IF(#REF!&lt;=X$22,1,NA()),NA())</f>
        <v>#REF!</v>
      </c>
      <c r="Y34" s="67"/>
      <c r="Z34" s="67"/>
      <c r="AA34" s="67"/>
      <c r="AB34" s="67"/>
      <c r="AC34" s="67"/>
      <c r="AD34" s="67"/>
      <c r="AE34" s="67"/>
      <c r="AF34" s="67"/>
      <c r="AG34" s="67"/>
      <c r="AH34" s="67"/>
      <c r="AI34" s="67"/>
    </row>
    <row r="35" spans="1:35" ht="18.75">
      <c r="E35" s="610"/>
      <c r="F35" s="970" t="s">
        <v>406</v>
      </c>
      <c r="G35" s="971"/>
      <c r="H35" s="971"/>
      <c r="I35" s="971"/>
      <c r="J35" s="971"/>
      <c r="K35" s="971"/>
      <c r="L35" s="971"/>
      <c r="M35" s="971"/>
    </row>
    <row r="36" spans="1:35" ht="30" customHeight="1" thickBot="1">
      <c r="A36" s="3"/>
      <c r="B36" s="980" t="str">
        <f>+'Ввод данных'!A208</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C36" s="980"/>
      <c r="D36" s="980"/>
      <c r="E36" s="980"/>
      <c r="F36" s="980" t="str">
        <f>+'Ввод данных'!A210</f>
        <v xml:space="preserve">MDR TB-2: Количество бактериологически подтвержденных зарегистрированных ЛУ-ТБ случаев (РУ-ТБ и/или МЛУ-ТБ)		</v>
      </c>
      <c r="G36" s="980"/>
      <c r="H36" s="980"/>
      <c r="I36" s="980"/>
      <c r="J36" s="980"/>
      <c r="K36" s="980"/>
      <c r="L36" s="980" t="str">
        <f>+'Ввод данных'!A212</f>
        <v xml:space="preserve">MDR TB-3: Количество случаев с РУ/МЛУ ТБ, начавших лечение препаратами второго ряда		</v>
      </c>
      <c r="M36" s="980"/>
      <c r="N36" s="980"/>
      <c r="O36" s="980"/>
      <c r="P36" s="980"/>
      <c r="Q36" s="980"/>
      <c r="S36" s="189"/>
      <c r="T36" s="189"/>
      <c r="U36" s="189"/>
      <c r="V36" s="189"/>
      <c r="W36" s="189"/>
      <c r="X36" s="189"/>
      <c r="Y36" s="67"/>
      <c r="Z36" s="67"/>
      <c r="AA36" s="67"/>
      <c r="AB36" s="67"/>
      <c r="AC36" s="67"/>
      <c r="AD36" s="189"/>
      <c r="AE36" s="189"/>
      <c r="AF36" s="189"/>
      <c r="AG36" s="189"/>
      <c r="AH36" s="189"/>
      <c r="AI36" s="189"/>
    </row>
    <row r="37" spans="1:35" ht="50.25" customHeight="1" thickBot="1">
      <c r="A37" s="3"/>
      <c r="B37" s="495" t="s">
        <v>346</v>
      </c>
      <c r="C37" s="959" t="s">
        <v>407</v>
      </c>
      <c r="D37" s="960"/>
      <c r="E37" s="961"/>
      <c r="F37" s="500" t="s">
        <v>346</v>
      </c>
      <c r="G37" s="959" t="s">
        <v>408</v>
      </c>
      <c r="H37" s="960"/>
      <c r="I37" s="960"/>
      <c r="J37" s="960"/>
      <c r="K37" s="961"/>
      <c r="L37" s="500" t="s">
        <v>346</v>
      </c>
      <c r="M37" s="959" t="s">
        <v>409</v>
      </c>
      <c r="N37" s="960"/>
      <c r="O37" s="960"/>
      <c r="P37" s="960"/>
      <c r="Q37" s="972"/>
      <c r="S37" s="189"/>
      <c r="T37" s="189"/>
      <c r="U37" s="189"/>
      <c r="V37" s="189"/>
      <c r="W37" s="189"/>
      <c r="X37" s="189"/>
      <c r="Y37" s="189"/>
      <c r="Z37" s="189"/>
      <c r="AA37" s="189"/>
      <c r="AB37" s="189"/>
      <c r="AC37" s="189"/>
      <c r="AD37" s="189"/>
      <c r="AE37" s="189"/>
      <c r="AF37" s="189"/>
      <c r="AG37" s="189"/>
      <c r="AH37" s="189"/>
      <c r="AI37" s="189"/>
    </row>
    <row r="38" spans="1:35" ht="18.75" customHeight="1">
      <c r="A38" s="3"/>
      <c r="B38" s="603"/>
      <c r="C38" s="603"/>
      <c r="D38" s="605"/>
      <c r="E38" s="605"/>
      <c r="F38" s="605"/>
      <c r="G38" s="605"/>
      <c r="H38" s="605"/>
      <c r="I38" s="605"/>
      <c r="J38" s="605"/>
      <c r="K38" s="605"/>
      <c r="L38" s="605"/>
      <c r="M38" s="3"/>
      <c r="N38" s="3"/>
      <c r="O38" s="172"/>
      <c r="P38" s="171"/>
      <c r="S38" s="189"/>
      <c r="T38" s="189"/>
      <c r="U38" s="189"/>
      <c r="V38" s="189"/>
      <c r="W38" s="189"/>
      <c r="X38" s="189"/>
      <c r="Y38" s="189"/>
      <c r="Z38" s="189"/>
      <c r="AA38" s="189"/>
      <c r="AB38" s="189"/>
      <c r="AC38" s="189"/>
      <c r="AD38" s="189"/>
      <c r="AE38" s="189"/>
      <c r="AF38" s="189"/>
      <c r="AG38" s="189"/>
      <c r="AH38" s="189"/>
      <c r="AI38" s="189"/>
    </row>
    <row r="39" spans="1:35" ht="18.75" customHeight="1">
      <c r="A39" s="3"/>
      <c r="B39" s="603"/>
      <c r="C39" s="603"/>
      <c r="D39" s="605"/>
      <c r="E39" s="605"/>
      <c r="F39" s="605"/>
      <c r="G39" s="605"/>
      <c r="H39" s="605"/>
      <c r="I39" s="605"/>
      <c r="J39" s="605"/>
      <c r="K39" s="605"/>
      <c r="L39" s="605"/>
      <c r="M39" s="3"/>
      <c r="N39" s="3"/>
      <c r="O39" s="172"/>
      <c r="P39" s="171"/>
      <c r="S39" s="189"/>
      <c r="T39" s="189"/>
      <c r="U39" s="189"/>
      <c r="V39" s="189"/>
      <c r="W39" s="189"/>
      <c r="X39" s="189"/>
      <c r="Y39" s="189"/>
      <c r="Z39" s="189"/>
      <c r="AA39" s="189"/>
      <c r="AB39" s="189"/>
      <c r="AC39" s="189"/>
      <c r="AD39" s="189"/>
      <c r="AE39" s="189"/>
      <c r="AF39" s="189"/>
      <c r="AG39" s="189"/>
      <c r="AH39" s="189"/>
      <c r="AI39" s="189"/>
    </row>
    <row r="40" spans="1:35" ht="18.75" customHeight="1">
      <c r="A40" s="3"/>
      <c r="B40" s="603"/>
      <c r="C40" s="603"/>
      <c r="D40" s="605"/>
      <c r="E40" s="605"/>
      <c r="F40" s="605"/>
      <c r="G40" s="605"/>
      <c r="H40" s="605"/>
      <c r="I40" s="605"/>
      <c r="J40" s="605"/>
      <c r="K40" s="605"/>
      <c r="L40" s="605"/>
      <c r="M40" s="3"/>
      <c r="N40" s="3"/>
      <c r="O40" s="172"/>
      <c r="P40" s="171"/>
      <c r="S40" s="189"/>
      <c r="T40" s="189"/>
      <c r="U40" s="189"/>
      <c r="V40" s="189"/>
      <c r="W40" s="189"/>
      <c r="X40" s="189"/>
      <c r="Y40" s="189"/>
      <c r="Z40" s="189"/>
      <c r="AA40" s="189"/>
      <c r="AB40" s="189"/>
      <c r="AC40" s="189"/>
      <c r="AD40" s="189"/>
      <c r="AE40" s="189"/>
      <c r="AF40" s="189"/>
      <c r="AG40" s="189"/>
      <c r="AH40" s="189"/>
      <c r="AI40" s="189"/>
    </row>
    <row r="41" spans="1:35" ht="18.75" customHeight="1">
      <c r="A41" s="3"/>
      <c r="B41" s="603"/>
      <c r="C41" s="603"/>
      <c r="D41" s="605"/>
      <c r="E41" s="605"/>
      <c r="F41" s="605"/>
      <c r="G41" s="605"/>
      <c r="H41" s="605"/>
      <c r="I41" s="605"/>
      <c r="J41" s="605"/>
      <c r="K41" s="605"/>
      <c r="L41" s="605"/>
      <c r="M41" s="3"/>
      <c r="N41" s="3"/>
      <c r="O41" s="172"/>
      <c r="P41" s="171"/>
      <c r="S41" s="189"/>
      <c r="T41" s="189"/>
      <c r="U41" s="189"/>
      <c r="V41" s="189"/>
      <c r="W41" s="189"/>
      <c r="X41" s="189"/>
      <c r="Y41" s="189"/>
      <c r="Z41" s="189"/>
      <c r="AA41" s="189"/>
      <c r="AB41" s="189"/>
      <c r="AC41" s="189"/>
      <c r="AD41" s="189"/>
      <c r="AE41" s="189"/>
      <c r="AF41" s="189"/>
      <c r="AG41" s="189"/>
      <c r="AH41" s="189"/>
      <c r="AI41" s="189"/>
    </row>
    <row r="42" spans="1:35" ht="18.75" customHeight="1">
      <c r="A42" s="3"/>
      <c r="B42" s="603"/>
      <c r="C42" s="603"/>
      <c r="D42" s="605"/>
      <c r="E42" s="605"/>
      <c r="F42" s="605"/>
      <c r="G42" s="605"/>
      <c r="H42" s="605"/>
      <c r="I42" s="605"/>
      <c r="J42" s="605"/>
      <c r="K42" s="605"/>
      <c r="L42" s="605"/>
      <c r="M42" s="3"/>
      <c r="N42" s="3"/>
      <c r="O42" s="172"/>
      <c r="P42" s="171"/>
      <c r="S42" s="189"/>
      <c r="T42" s="189"/>
      <c r="U42" s="189"/>
      <c r="V42" s="189"/>
      <c r="W42" s="189"/>
      <c r="X42" s="189"/>
      <c r="Y42" s="189"/>
      <c r="Z42" s="189"/>
      <c r="AA42" s="189"/>
      <c r="AB42" s="189"/>
      <c r="AC42" s="189"/>
      <c r="AD42" s="189"/>
      <c r="AE42" s="189"/>
      <c r="AF42" s="189"/>
      <c r="AG42" s="189"/>
      <c r="AH42" s="189"/>
      <c r="AI42" s="189"/>
    </row>
    <row r="43" spans="1:35" ht="18.75" customHeight="1">
      <c r="A43" s="3"/>
      <c r="B43" s="603"/>
      <c r="C43" s="603"/>
      <c r="D43" s="605"/>
      <c r="E43" s="605"/>
      <c r="F43" s="605"/>
      <c r="G43" s="605"/>
      <c r="H43" s="605"/>
      <c r="I43" s="605"/>
      <c r="J43" s="605"/>
      <c r="K43" s="605"/>
      <c r="L43" s="605"/>
      <c r="M43" s="3"/>
      <c r="N43" s="3"/>
      <c r="O43" s="172"/>
      <c r="P43" s="171"/>
      <c r="S43" s="189"/>
      <c r="T43" s="189"/>
      <c r="U43" s="189"/>
      <c r="V43" s="189"/>
      <c r="W43" s="189"/>
      <c r="X43" s="189"/>
      <c r="Y43" s="189"/>
      <c r="Z43" s="189"/>
      <c r="AA43" s="189"/>
      <c r="AB43" s="189"/>
      <c r="AC43" s="189"/>
      <c r="AD43" s="189"/>
      <c r="AE43" s="189"/>
      <c r="AF43" s="189"/>
      <c r="AG43" s="189"/>
      <c r="AH43" s="189"/>
      <c r="AI43" s="189"/>
    </row>
    <row r="44" spans="1:35" ht="18.75" customHeight="1">
      <c r="A44" s="3"/>
      <c r="B44" s="603"/>
      <c r="C44" s="603"/>
      <c r="D44" s="605"/>
      <c r="E44" s="605"/>
      <c r="F44" s="605"/>
      <c r="G44" s="605"/>
      <c r="H44" s="605"/>
      <c r="I44" s="605"/>
      <c r="J44" s="605"/>
      <c r="K44" s="605"/>
      <c r="L44" s="605"/>
      <c r="M44" s="3"/>
      <c r="N44" s="3"/>
      <c r="O44" s="172"/>
      <c r="P44" s="171"/>
      <c r="S44" s="189"/>
      <c r="T44" s="189"/>
      <c r="U44" s="189"/>
      <c r="V44" s="189"/>
      <c r="W44" s="189"/>
      <c r="X44" s="189"/>
      <c r="Y44" s="189"/>
      <c r="Z44" s="189"/>
      <c r="AA44" s="189"/>
      <c r="AB44" s="189"/>
      <c r="AC44" s="189"/>
      <c r="AD44" s="189"/>
      <c r="AE44" s="189"/>
      <c r="AF44" s="189"/>
      <c r="AG44" s="189"/>
      <c r="AH44" s="189"/>
      <c r="AI44" s="189"/>
    </row>
    <row r="45" spans="1:35" ht="18.75" customHeight="1">
      <c r="A45" s="3"/>
      <c r="B45" s="603"/>
      <c r="C45" s="603"/>
      <c r="D45" s="605"/>
      <c r="E45" s="605"/>
      <c r="F45" s="605"/>
      <c r="G45" s="605"/>
      <c r="H45" s="605"/>
      <c r="I45" s="605"/>
      <c r="J45" s="605"/>
      <c r="K45" s="605"/>
      <c r="L45" s="605"/>
      <c r="M45" s="3"/>
      <c r="N45" s="3"/>
      <c r="O45" s="172"/>
      <c r="P45" s="171"/>
      <c r="S45" s="189"/>
      <c r="T45" s="189"/>
      <c r="U45" s="189"/>
      <c r="V45" s="189"/>
      <c r="W45" s="189"/>
      <c r="X45" s="189"/>
      <c r="Y45" s="189"/>
      <c r="Z45" s="189"/>
      <c r="AA45" s="189"/>
      <c r="AB45" s="189"/>
      <c r="AC45" s="189"/>
      <c r="AD45" s="189"/>
      <c r="AE45" s="189"/>
      <c r="AF45" s="189"/>
      <c r="AG45" s="189"/>
      <c r="AH45" s="189"/>
      <c r="AI45" s="189"/>
    </row>
    <row r="46" spans="1:35" ht="18.75" customHeight="1">
      <c r="A46" s="3"/>
      <c r="B46" s="603"/>
      <c r="C46" s="603"/>
      <c r="D46" s="605"/>
      <c r="E46" s="605"/>
      <c r="F46" s="605"/>
      <c r="G46" s="605"/>
      <c r="H46" s="605"/>
      <c r="I46" s="605"/>
      <c r="J46" s="605"/>
      <c r="K46" s="605"/>
      <c r="L46" s="605"/>
      <c r="M46" s="3"/>
      <c r="N46" s="3"/>
      <c r="O46" s="172"/>
      <c r="P46" s="171"/>
      <c r="S46" s="189"/>
      <c r="T46" s="189"/>
      <c r="U46" s="189"/>
      <c r="V46" s="189"/>
      <c r="W46" s="189"/>
      <c r="X46" s="189"/>
      <c r="Y46" s="189"/>
      <c r="Z46" s="189"/>
      <c r="AA46" s="189"/>
      <c r="AB46" s="189"/>
      <c r="AC46" s="189"/>
      <c r="AD46" s="189"/>
      <c r="AE46" s="189"/>
      <c r="AF46" s="189"/>
      <c r="AG46" s="189"/>
      <c r="AH46" s="189"/>
      <c r="AI46" s="189"/>
    </row>
    <row r="47" spans="1:35" ht="17.25" customHeight="1">
      <c r="A47" s="3"/>
      <c r="B47" s="603"/>
      <c r="C47" s="603"/>
      <c r="D47" s="605"/>
      <c r="E47" s="605"/>
      <c r="F47" s="605"/>
      <c r="G47" s="605"/>
      <c r="H47" s="605"/>
      <c r="I47" s="605"/>
      <c r="J47" s="605"/>
      <c r="K47" s="605"/>
      <c r="L47" s="605"/>
      <c r="M47" s="3"/>
      <c r="N47" s="3"/>
      <c r="O47" s="172"/>
      <c r="P47" s="171"/>
      <c r="S47" s="189"/>
      <c r="T47" s="189"/>
      <c r="U47" s="189"/>
      <c r="V47" s="189"/>
      <c r="W47" s="189"/>
      <c r="X47" s="189"/>
      <c r="Y47" s="189"/>
      <c r="Z47" s="189"/>
      <c r="AA47" s="189"/>
      <c r="AB47" s="189"/>
      <c r="AC47" s="189"/>
      <c r="AD47" s="189"/>
      <c r="AE47" s="189"/>
      <c r="AF47" s="189"/>
      <c r="AG47" s="189"/>
      <c r="AH47" s="189"/>
      <c r="AI47" s="189"/>
    </row>
    <row r="48" spans="1:35" ht="6" customHeight="1">
      <c r="A48" s="3"/>
      <c r="B48" s="110"/>
      <c r="C48" s="603"/>
      <c r="D48" s="108"/>
      <c r="E48" s="996"/>
      <c r="F48" s="996"/>
      <c r="G48" s="996"/>
      <c r="H48" s="996"/>
      <c r="I48" s="996"/>
      <c r="J48" s="996"/>
      <c r="K48" s="996"/>
      <c r="L48" s="3"/>
      <c r="M48" s="3"/>
      <c r="N48" s="3"/>
      <c r="O48" s="3"/>
      <c r="P48" s="3"/>
      <c r="S48" s="189"/>
      <c r="T48" s="189"/>
      <c r="U48" s="189"/>
      <c r="V48" s="189"/>
      <c r="W48" s="189"/>
      <c r="X48" s="189"/>
      <c r="Y48" s="189"/>
      <c r="Z48" s="189"/>
      <c r="AA48" s="189"/>
      <c r="AB48" s="189"/>
      <c r="AC48" s="189"/>
      <c r="AD48" s="189"/>
      <c r="AE48" s="189"/>
      <c r="AF48" s="189"/>
      <c r="AG48" s="189"/>
      <c r="AH48" s="189"/>
      <c r="AI48" s="189"/>
    </row>
    <row r="49" spans="1:35" ht="50.25" customHeight="1">
      <c r="A49" s="3"/>
      <c r="B49" s="997" t="s">
        <v>379</v>
      </c>
      <c r="C49" s="997"/>
      <c r="D49" s="997"/>
      <c r="E49" s="332" t="s">
        <v>306</v>
      </c>
      <c r="F49" s="332" t="s">
        <v>331</v>
      </c>
      <c r="G49" s="992" t="s">
        <v>380</v>
      </c>
      <c r="H49" s="993"/>
      <c r="I49" s="994" t="s">
        <v>381</v>
      </c>
      <c r="J49" s="995"/>
      <c r="K49" s="339" t="s">
        <v>382</v>
      </c>
      <c r="L49" s="973" t="s">
        <v>410</v>
      </c>
      <c r="M49" s="974"/>
      <c r="N49" s="974"/>
      <c r="O49" s="974"/>
      <c r="P49" s="974"/>
      <c r="Q49" s="975"/>
      <c r="S49" s="61" t="s">
        <v>384</v>
      </c>
      <c r="T49" s="62">
        <v>0</v>
      </c>
      <c r="U49" s="63">
        <v>0.3</v>
      </c>
      <c r="V49" s="63">
        <v>0.6</v>
      </c>
      <c r="W49" s="63">
        <v>0.9</v>
      </c>
      <c r="X49" s="63">
        <v>1</v>
      </c>
      <c r="Y49" s="67"/>
      <c r="Z49" s="67"/>
      <c r="AA49" s="61" t="s">
        <v>384</v>
      </c>
      <c r="AB49" s="62">
        <v>0</v>
      </c>
      <c r="AC49" s="63">
        <v>0.2</v>
      </c>
      <c r="AD49" s="63">
        <v>0.4</v>
      </c>
      <c r="AE49" s="63">
        <v>0.6</v>
      </c>
      <c r="AF49" s="63">
        <v>0.8</v>
      </c>
      <c r="AG49" s="67"/>
      <c r="AH49" s="67"/>
      <c r="AI49" s="67"/>
    </row>
    <row r="50" spans="1:35" ht="75.75" customHeight="1">
      <c r="A50" s="3"/>
      <c r="B50" s="998" t="str">
        <f>+'Ввод данных'!A208</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C50" s="999"/>
      <c r="D50" s="1000"/>
      <c r="E50" s="333">
        <v>3500</v>
      </c>
      <c r="F50" s="334" t="s">
        <v>411</v>
      </c>
      <c r="G50" s="977">
        <v>0.91</v>
      </c>
      <c r="H50" s="978"/>
      <c r="I50" s="978"/>
      <c r="J50" s="978"/>
      <c r="K50" s="979"/>
      <c r="L50" s="976" t="s">
        <v>412</v>
      </c>
      <c r="M50" s="976"/>
      <c r="N50" s="976"/>
      <c r="O50" s="976"/>
      <c r="P50" s="976"/>
      <c r="Q50" s="976"/>
      <c r="S50" s="61" t="s">
        <v>387</v>
      </c>
      <c r="T50" s="64">
        <v>0.3</v>
      </c>
      <c r="U50" s="63">
        <v>0.6</v>
      </c>
      <c r="V50" s="63">
        <v>0.9</v>
      </c>
      <c r="W50" s="63">
        <v>1</v>
      </c>
      <c r="X50" s="63">
        <v>2</v>
      </c>
      <c r="Y50" s="67"/>
      <c r="Z50" s="67"/>
      <c r="AA50" s="61" t="s">
        <v>387</v>
      </c>
      <c r="AB50" s="64">
        <v>0.2</v>
      </c>
      <c r="AC50" s="63">
        <v>0.4</v>
      </c>
      <c r="AD50" s="63">
        <v>0.6</v>
      </c>
      <c r="AE50" s="63">
        <v>0.8</v>
      </c>
      <c r="AF50" s="63">
        <v>1</v>
      </c>
      <c r="AG50" s="67"/>
      <c r="AH50" s="67"/>
      <c r="AI50" s="67"/>
    </row>
    <row r="51" spans="1:35" ht="73.5" customHeight="1">
      <c r="A51" s="3"/>
      <c r="B51" s="998" t="str">
        <f>+'Ввод данных'!A210</f>
        <v xml:space="preserve">MDR TB-2: Количество бактериологически подтвержденных зарегистрированных ЛУ-ТБ случаев (РУ-ТБ и/или МЛУ-ТБ)		</v>
      </c>
      <c r="C51" s="999"/>
      <c r="D51" s="1000"/>
      <c r="E51" s="333">
        <v>700</v>
      </c>
      <c r="F51" s="334" t="s">
        <v>413</v>
      </c>
      <c r="G51" s="1010">
        <v>1.21</v>
      </c>
      <c r="H51" s="1011"/>
      <c r="I51" s="1011"/>
      <c r="J51" s="1011"/>
      <c r="K51" s="1012"/>
      <c r="L51" s="976" t="s">
        <v>414</v>
      </c>
      <c r="M51" s="976"/>
      <c r="N51" s="976"/>
      <c r="O51" s="976"/>
      <c r="P51" s="976"/>
      <c r="Q51" s="976"/>
      <c r="S51" s="65"/>
      <c r="T51" s="66" t="str">
        <f>"de "&amp;T49&amp;" a "&amp;T50</f>
        <v>de 0 a 0.3</v>
      </c>
      <c r="U51" s="66" t="str">
        <f>"de "&amp;U49&amp;" a "&amp;U50</f>
        <v>de 0.3 a 0.6</v>
      </c>
      <c r="AH51" s="67"/>
      <c r="AI51" s="67"/>
    </row>
    <row r="52" spans="1:35" ht="67.5" customHeight="1">
      <c r="A52" s="3"/>
      <c r="B52" s="1001" t="str">
        <f>+'Ввод данных'!A212</f>
        <v xml:space="preserve">MDR TB-3: Количество случаев с РУ/МЛУ ТБ, начавших лечение препаратами второго ряда		</v>
      </c>
      <c r="C52" s="999"/>
      <c r="D52" s="1000"/>
      <c r="E52" s="333">
        <v>700</v>
      </c>
      <c r="F52" s="333">
        <v>671</v>
      </c>
      <c r="G52" s="977">
        <v>0.96</v>
      </c>
      <c r="H52" s="978"/>
      <c r="I52" s="978"/>
      <c r="J52" s="978"/>
      <c r="K52" s="979"/>
      <c r="L52" s="976" t="s">
        <v>415</v>
      </c>
      <c r="M52" s="976"/>
      <c r="N52" s="976"/>
      <c r="O52" s="976"/>
      <c r="P52" s="976"/>
      <c r="Q52" s="976"/>
      <c r="S52" s="65"/>
      <c r="T52" s="63" t="e">
        <f>IF($K50&gt;T$49,IF($K50&lt;=T$50,$K50,NA()),NA())</f>
        <v>#N/A</v>
      </c>
      <c r="U52" s="63" t="e">
        <f>IF($K50&gt;U$49,IF($K50&lt;=U$50,$K50,NA()),NA())</f>
        <v>#N/A</v>
      </c>
      <c r="AH52" s="67"/>
      <c r="AI52" s="67"/>
    </row>
    <row r="53" spans="1:35" ht="158.25" customHeight="1">
      <c r="A53" s="3"/>
      <c r="B53" s="1001" t="str">
        <f>+'Ввод данных'!A214</f>
        <v>MDR TB-7: Процент подтвержденных МЛУ-ТБ случаев, протестированных на чувствительность к фторхинолонам и инъекционным препаратам второго ряда</v>
      </c>
      <c r="C53" s="1002"/>
      <c r="D53" s="1003"/>
      <c r="E53" s="404">
        <v>0.55000000000000004</v>
      </c>
      <c r="F53" s="334" t="s">
        <v>416</v>
      </c>
      <c r="G53" s="977">
        <v>0.95</v>
      </c>
      <c r="H53" s="978"/>
      <c r="I53" s="978"/>
      <c r="J53" s="978"/>
      <c r="K53" s="979"/>
      <c r="L53" s="976" t="s">
        <v>417</v>
      </c>
      <c r="M53" s="976"/>
      <c r="N53" s="976"/>
      <c r="O53" s="976"/>
      <c r="P53" s="976"/>
      <c r="Q53" s="976"/>
      <c r="S53" s="65"/>
      <c r="T53" s="63"/>
      <c r="U53" s="63"/>
      <c r="AH53" s="67"/>
      <c r="AI53" s="67"/>
    </row>
    <row r="54" spans="1:35" ht="119.25" customHeight="1">
      <c r="A54" s="3"/>
      <c r="B54" s="1014" t="str">
        <f>+'Ввод данных'!A216</f>
        <v xml:space="preserve">MDR TB-8: Количество случаев ШЛУ ТБ, взятых на лечение		</v>
      </c>
      <c r="C54" s="1015"/>
      <c r="D54" s="1016"/>
      <c r="E54" s="335">
        <v>42</v>
      </c>
      <c r="F54" s="338" t="s">
        <v>418</v>
      </c>
      <c r="G54" s="977">
        <v>1.07</v>
      </c>
      <c r="H54" s="978"/>
      <c r="I54" s="978"/>
      <c r="J54" s="978"/>
      <c r="K54" s="979"/>
      <c r="L54" s="976" t="s">
        <v>419</v>
      </c>
      <c r="M54" s="976"/>
      <c r="N54" s="976"/>
      <c r="O54" s="976"/>
      <c r="P54" s="976"/>
      <c r="Q54" s="976"/>
      <c r="AH54" s="67"/>
      <c r="AI54" s="67"/>
    </row>
    <row r="55" spans="1:35" ht="98.25" customHeight="1">
      <c r="A55" s="3"/>
      <c r="B55" s="1014" t="str">
        <f>+'Ввод данных'!A218</f>
        <v xml:space="preserve">Процент и количество пациентов с симптомами или подозрениями на ТБ, обследованных методом Xpert MTB/RIF и подтвержденным активным ТБ  </v>
      </c>
      <c r="C55" s="1015"/>
      <c r="D55" s="1016"/>
      <c r="E55" s="336" t="s">
        <v>420</v>
      </c>
      <c r="F55" s="337" t="s">
        <v>421</v>
      </c>
      <c r="G55" s="1017">
        <v>1.03</v>
      </c>
      <c r="H55" s="1018"/>
      <c r="I55" s="1018"/>
      <c r="J55" s="1018"/>
      <c r="K55" s="1019"/>
      <c r="L55" s="976" t="s">
        <v>422</v>
      </c>
      <c r="M55" s="976"/>
      <c r="N55" s="976"/>
      <c r="O55" s="976"/>
      <c r="P55" s="976"/>
      <c r="Q55" s="976"/>
      <c r="AH55" s="67"/>
      <c r="AI55" s="67"/>
    </row>
    <row r="56" spans="1:35" ht="22.5" customHeight="1">
      <c r="A56" s="3"/>
      <c r="B56" s="1023"/>
      <c r="C56" s="1023"/>
      <c r="D56" s="1023"/>
      <c r="E56" s="1023"/>
      <c r="F56" s="1022"/>
      <c r="G56" s="1022"/>
      <c r="H56" s="1022"/>
      <c r="I56" s="1022"/>
      <c r="J56" s="1022"/>
      <c r="K56" s="1022"/>
      <c r="L56" s="1006"/>
      <c r="M56" s="1006"/>
      <c r="N56" s="1006"/>
      <c r="O56" s="1006"/>
      <c r="P56" s="1006"/>
      <c r="AH56" s="67"/>
      <c r="AI56" s="67"/>
    </row>
    <row r="57" spans="1:35" ht="22.5" customHeight="1">
      <c r="A57" s="3"/>
      <c r="B57" s="1020"/>
      <c r="C57" s="1020"/>
      <c r="D57" s="1020"/>
      <c r="E57" s="1021"/>
      <c r="F57" s="1004"/>
      <c r="G57" s="1005"/>
      <c r="H57" s="1005"/>
      <c r="I57" s="1005"/>
      <c r="J57" s="1005"/>
      <c r="K57" s="1021"/>
      <c r="L57" s="1004"/>
      <c r="M57" s="1005"/>
      <c r="N57" s="1005"/>
      <c r="O57" s="1005"/>
      <c r="P57" s="1005"/>
      <c r="Y57" s="67"/>
      <c r="Z57" s="67"/>
      <c r="AA57" s="67"/>
      <c r="AB57" s="67"/>
      <c r="AC57" s="67"/>
      <c r="AD57" s="67"/>
      <c r="AE57" s="67"/>
      <c r="AF57" s="67"/>
      <c r="AG57" s="67"/>
      <c r="AH57" s="67"/>
      <c r="AI57" s="67"/>
    </row>
    <row r="58" spans="1:35">
      <c r="A58" s="3"/>
      <c r="B58" s="190"/>
      <c r="C58" s="190"/>
      <c r="D58" s="190"/>
      <c r="E58" s="190"/>
      <c r="F58" s="190"/>
      <c r="G58" s="190"/>
      <c r="H58" s="191"/>
      <c r="I58" s="190"/>
      <c r="J58" s="190"/>
      <c r="K58" s="190"/>
      <c r="L58" s="190"/>
      <c r="M58" s="190"/>
      <c r="N58" s="190"/>
      <c r="O58" s="190"/>
      <c r="P58" s="190"/>
      <c r="Y58" s="67"/>
      <c r="Z58" s="67"/>
      <c r="AA58" s="67"/>
      <c r="AB58" s="67"/>
      <c r="AC58" s="67"/>
      <c r="AD58" s="67"/>
      <c r="AE58" s="67"/>
      <c r="AF58" s="67"/>
      <c r="AG58" s="67"/>
      <c r="AH58" s="67"/>
      <c r="AI58" s="67"/>
    </row>
    <row r="59" spans="1:35">
      <c r="A59" s="3"/>
      <c r="B59" s="1013"/>
      <c r="C59" s="1013"/>
      <c r="D59" s="1013"/>
      <c r="E59" s="1013"/>
      <c r="F59" s="1013"/>
      <c r="G59" s="1013"/>
      <c r="H59" s="1013"/>
      <c r="I59" s="1013"/>
      <c r="J59" s="1013"/>
      <c r="K59" s="1013"/>
      <c r="L59" s="190"/>
      <c r="M59" s="190"/>
      <c r="N59" s="190"/>
      <c r="O59" s="190"/>
      <c r="P59" s="190"/>
      <c r="Y59" s="67"/>
      <c r="Z59" s="67"/>
      <c r="AA59" s="67"/>
      <c r="AB59" s="67"/>
      <c r="AC59" s="67"/>
      <c r="AD59" s="67"/>
      <c r="AE59" s="67"/>
      <c r="AF59" s="67"/>
      <c r="AG59" s="67"/>
      <c r="AH59" s="67"/>
      <c r="AI59" s="67"/>
    </row>
    <row r="60" spans="1:35">
      <c r="A60" s="3"/>
      <c r="B60" s="1013"/>
      <c r="C60" s="1013"/>
      <c r="D60" s="1013"/>
      <c r="E60" s="1013"/>
      <c r="F60" s="1013"/>
      <c r="G60" s="1013"/>
      <c r="H60" s="1013"/>
      <c r="I60" s="1013"/>
      <c r="J60" s="1013"/>
      <c r="K60" s="1013"/>
      <c r="L60" s="190"/>
      <c r="M60" s="190"/>
      <c r="N60" s="190"/>
      <c r="O60" s="190"/>
      <c r="P60" s="190"/>
      <c r="S60" s="67"/>
      <c r="T60" s="67"/>
      <c r="U60" s="67"/>
      <c r="V60" s="67"/>
      <c r="W60" s="67"/>
      <c r="X60" s="67"/>
      <c r="Y60" s="67"/>
      <c r="Z60" s="67"/>
      <c r="AA60" s="67"/>
      <c r="AB60" s="67"/>
      <c r="AC60" s="67"/>
      <c r="AD60" s="67"/>
      <c r="AE60" s="67"/>
      <c r="AF60" s="67"/>
      <c r="AG60" s="67"/>
      <c r="AH60" s="67"/>
      <c r="AI60" s="67"/>
    </row>
    <row r="61" spans="1:35">
      <c r="A61" s="3"/>
      <c r="B61" s="3"/>
      <c r="C61" s="3"/>
      <c r="D61" s="3"/>
      <c r="E61" s="3"/>
      <c r="F61" s="3"/>
      <c r="G61" s="3"/>
      <c r="H61" s="3"/>
      <c r="I61" s="90"/>
      <c r="J61" s="90"/>
      <c r="K61" s="90"/>
      <c r="L61" s="3"/>
      <c r="M61" s="3"/>
      <c r="N61" s="3"/>
      <c r="O61" s="3"/>
      <c r="P61" s="3"/>
      <c r="S61" s="67"/>
      <c r="T61" s="67"/>
      <c r="U61" s="67"/>
      <c r="V61" s="67"/>
      <c r="W61" s="67"/>
      <c r="X61" s="67"/>
      <c r="Y61" s="67"/>
      <c r="Z61" s="67"/>
      <c r="AA61" s="67"/>
      <c r="AB61" s="67"/>
      <c r="AC61" s="67"/>
      <c r="AD61" s="67"/>
      <c r="AE61" s="67"/>
      <c r="AF61" s="67"/>
      <c r="AG61" s="67"/>
      <c r="AH61" s="67"/>
      <c r="AI61" s="67"/>
    </row>
    <row r="62" spans="1:35">
      <c r="A62" s="3"/>
      <c r="B62" s="3"/>
      <c r="C62" s="3"/>
      <c r="D62" s="3"/>
      <c r="E62" s="3"/>
      <c r="F62" s="3"/>
      <c r="G62" s="3"/>
      <c r="H62" s="3"/>
      <c r="I62" s="117"/>
      <c r="J62" s="118"/>
      <c r="K62" s="118"/>
      <c r="L62" s="3"/>
      <c r="M62" s="3"/>
      <c r="N62" s="3"/>
      <c r="O62" s="3"/>
      <c r="P62" s="3"/>
      <c r="S62" s="67"/>
      <c r="T62" s="67"/>
      <c r="U62" s="67"/>
      <c r="V62" s="67"/>
      <c r="W62" s="67"/>
      <c r="X62" s="67"/>
      <c r="Y62" s="67"/>
      <c r="Z62" s="67"/>
      <c r="AA62" s="67"/>
      <c r="AB62" s="67"/>
      <c r="AC62" s="67"/>
      <c r="AD62" s="67"/>
      <c r="AE62" s="67"/>
      <c r="AF62" s="67"/>
      <c r="AG62" s="67"/>
      <c r="AH62" s="67"/>
      <c r="AI62" s="67"/>
    </row>
    <row r="63" spans="1:35">
      <c r="A63" s="3"/>
      <c r="B63" s="3"/>
      <c r="C63" s="3"/>
      <c r="D63" s="3"/>
      <c r="E63" s="3"/>
      <c r="F63" s="3"/>
      <c r="G63" s="3"/>
      <c r="H63" s="3"/>
      <c r="I63" s="119"/>
      <c r="J63" s="120"/>
      <c r="K63" s="92"/>
      <c r="L63" s="3"/>
      <c r="M63" s="3"/>
      <c r="N63" s="3"/>
      <c r="O63" s="3"/>
      <c r="P63" s="3"/>
      <c r="S63" s="67"/>
      <c r="T63" s="67"/>
      <c r="U63" s="67"/>
      <c r="V63" s="67"/>
      <c r="W63" s="67"/>
      <c r="X63" s="67"/>
      <c r="Y63" s="67"/>
      <c r="Z63" s="67"/>
      <c r="AA63" s="67"/>
      <c r="AB63" s="67"/>
      <c r="AC63" s="67"/>
      <c r="AD63" s="67"/>
      <c r="AE63" s="67"/>
      <c r="AF63" s="67"/>
      <c r="AG63" s="67"/>
      <c r="AH63" s="67"/>
      <c r="AI63" s="67"/>
    </row>
    <row r="64" spans="1:35">
      <c r="A64" s="3"/>
      <c r="B64" s="3"/>
      <c r="C64" s="3"/>
      <c r="D64" s="3"/>
      <c r="E64" s="3"/>
      <c r="F64" s="3"/>
      <c r="G64" s="3"/>
      <c r="H64" s="3"/>
      <c r="I64" s="121"/>
      <c r="J64" s="120"/>
      <c r="K64" s="92"/>
      <c r="L64" s="3"/>
      <c r="M64" s="3"/>
      <c r="N64" s="3"/>
      <c r="O64" s="3"/>
      <c r="P64" s="3"/>
      <c r="S64" s="67"/>
      <c r="T64" s="67"/>
      <c r="U64" s="67"/>
      <c r="V64" s="67"/>
      <c r="W64" s="67"/>
      <c r="X64" s="67"/>
      <c r="Y64" s="67"/>
      <c r="Z64" s="67"/>
      <c r="AA64" s="67"/>
      <c r="AB64" s="67"/>
      <c r="AC64" s="67"/>
      <c r="AD64" s="67"/>
      <c r="AE64" s="67"/>
      <c r="AF64" s="67"/>
      <c r="AG64" s="67"/>
      <c r="AH64" s="67"/>
      <c r="AI64" s="67"/>
    </row>
    <row r="65" spans="1:35">
      <c r="A65" s="3"/>
      <c r="B65" s="3"/>
      <c r="C65" s="3"/>
      <c r="D65" s="3"/>
      <c r="E65" s="3"/>
      <c r="F65" s="3"/>
      <c r="G65" s="3"/>
      <c r="H65" s="3"/>
      <c r="I65" s="119"/>
      <c r="J65" s="120"/>
      <c r="K65" s="92"/>
      <c r="L65" s="3"/>
      <c r="M65" s="3"/>
      <c r="N65" s="3"/>
      <c r="O65" s="3"/>
      <c r="P65" s="3"/>
      <c r="S65" s="67"/>
      <c r="T65" s="67"/>
      <c r="U65" s="67"/>
      <c r="V65" s="67"/>
      <c r="W65" s="67"/>
      <c r="X65" s="67"/>
      <c r="Y65" s="67"/>
      <c r="Z65" s="67"/>
      <c r="AA65" s="67"/>
      <c r="AB65" s="67"/>
      <c r="AC65" s="67"/>
      <c r="AD65" s="67"/>
      <c r="AE65" s="67"/>
      <c r="AF65" s="67"/>
      <c r="AG65" s="67"/>
      <c r="AH65" s="67"/>
      <c r="AI65" s="67"/>
    </row>
    <row r="66" spans="1:35">
      <c r="A66" s="3"/>
      <c r="B66" s="3"/>
      <c r="C66" s="3"/>
      <c r="D66" s="3"/>
      <c r="E66" s="3"/>
      <c r="F66" s="3"/>
      <c r="G66" s="3"/>
      <c r="H66" s="3"/>
      <c r="I66" s="3"/>
      <c r="J66" s="3"/>
      <c r="K66" s="3"/>
      <c r="L66" s="3"/>
      <c r="M66" s="3"/>
      <c r="N66" s="3"/>
      <c r="O66" s="3"/>
      <c r="P66" s="3"/>
      <c r="S66" s="67"/>
      <c r="T66" s="67"/>
      <c r="U66" s="67"/>
      <c r="V66" s="67"/>
      <c r="W66" s="67"/>
      <c r="X66" s="67"/>
      <c r="Y66" s="67"/>
      <c r="Z66" s="67"/>
      <c r="AA66" s="67"/>
      <c r="AB66" s="67"/>
      <c r="AC66" s="67"/>
      <c r="AD66" s="67"/>
      <c r="AE66" s="67"/>
      <c r="AF66" s="67"/>
      <c r="AG66" s="67"/>
      <c r="AH66" s="67"/>
      <c r="AI66" s="67"/>
    </row>
    <row r="67" spans="1:35">
      <c r="A67" s="3"/>
      <c r="B67" s="3"/>
      <c r="C67" s="3"/>
      <c r="D67" s="3"/>
      <c r="E67" s="3"/>
      <c r="F67" s="3"/>
      <c r="G67" s="3"/>
      <c r="H67" s="3"/>
      <c r="I67" s="3"/>
      <c r="J67" s="3"/>
      <c r="K67" s="3"/>
      <c r="L67" s="3"/>
      <c r="M67" s="3"/>
      <c r="N67" s="3"/>
      <c r="O67" s="3"/>
      <c r="P67" s="3"/>
      <c r="S67" s="67"/>
      <c r="T67" s="67"/>
      <c r="U67" s="67"/>
      <c r="V67" s="67"/>
      <c r="W67" s="67"/>
      <c r="X67" s="67"/>
      <c r="Y67" s="67"/>
      <c r="Z67" s="67"/>
      <c r="AA67" s="67"/>
      <c r="AB67" s="67"/>
      <c r="AC67" s="67"/>
      <c r="AD67" s="67"/>
      <c r="AE67" s="67"/>
      <c r="AF67" s="67"/>
      <c r="AG67" s="67"/>
      <c r="AH67" s="67"/>
      <c r="AI67" s="67"/>
    </row>
    <row r="68" spans="1:35">
      <c r="A68" s="3"/>
      <c r="B68" s="3"/>
      <c r="C68" s="3"/>
      <c r="D68" s="3"/>
      <c r="E68" s="3"/>
      <c r="F68" s="3"/>
      <c r="G68" s="3"/>
      <c r="H68" s="3"/>
      <c r="I68" s="3"/>
      <c r="J68" s="3"/>
      <c r="K68" s="3"/>
      <c r="L68" s="3"/>
      <c r="M68" s="3"/>
      <c r="N68" s="3"/>
      <c r="O68" s="3"/>
      <c r="P68" s="3"/>
      <c r="S68" s="60"/>
      <c r="T68" s="60"/>
      <c r="U68" s="60"/>
      <c r="V68" s="60"/>
      <c r="W68" s="60"/>
      <c r="X68" s="60"/>
      <c r="Y68" s="60"/>
      <c r="Z68" s="60"/>
      <c r="AA68" s="60"/>
      <c r="AB68" s="60"/>
    </row>
    <row r="69" spans="1:35">
      <c r="S69" s="60"/>
      <c r="T69" s="60"/>
      <c r="U69" s="60"/>
      <c r="V69" s="60"/>
      <c r="W69" s="60"/>
      <c r="X69" s="60"/>
      <c r="Y69" s="60"/>
      <c r="Z69" s="60"/>
      <c r="AA69" s="60"/>
      <c r="AB69" s="60"/>
    </row>
    <row r="70" spans="1:35">
      <c r="S70" s="60"/>
      <c r="T70" s="60"/>
      <c r="U70" s="60"/>
      <c r="V70" s="60"/>
      <c r="W70" s="60"/>
      <c r="X70" s="60"/>
      <c r="Y70" s="60"/>
      <c r="Z70" s="60"/>
      <c r="AA70" s="60"/>
      <c r="AB70" s="60"/>
    </row>
    <row r="71" spans="1:35">
      <c r="S71" s="60"/>
      <c r="T71" s="60"/>
      <c r="U71" s="60"/>
      <c r="V71" s="60"/>
      <c r="W71" s="60"/>
      <c r="X71" s="60"/>
      <c r="Y71" s="60"/>
      <c r="Z71" s="60"/>
      <c r="AA71" s="60"/>
      <c r="AB71" s="60"/>
    </row>
    <row r="72" spans="1:35">
      <c r="S72" s="60"/>
      <c r="T72" s="60"/>
      <c r="U72" s="60"/>
      <c r="V72" s="60"/>
      <c r="W72" s="60"/>
      <c r="X72" s="60"/>
      <c r="Y72" s="60"/>
      <c r="Z72" s="60"/>
      <c r="AA72" s="60"/>
      <c r="AB72" s="60"/>
    </row>
  </sheetData>
  <mergeCells count="97">
    <mergeCell ref="B2:Q2"/>
    <mergeCell ref="O3:P3"/>
    <mergeCell ref="D5:N5"/>
    <mergeCell ref="L36:Q36"/>
    <mergeCell ref="E3:K3"/>
    <mergeCell ref="C4:D4"/>
    <mergeCell ref="E6:L6"/>
    <mergeCell ref="B8:E8"/>
    <mergeCell ref="F8:K8"/>
    <mergeCell ref="L8:Q8"/>
    <mergeCell ref="C9:E9"/>
    <mergeCell ref="G9:K9"/>
    <mergeCell ref="M9:Q9"/>
    <mergeCell ref="E20:K20"/>
    <mergeCell ref="B24:D24"/>
    <mergeCell ref="B21:D21"/>
    <mergeCell ref="G28:K28"/>
    <mergeCell ref="L27:Q27"/>
    <mergeCell ref="B28:D28"/>
    <mergeCell ref="B25:D25"/>
    <mergeCell ref="G21:H21"/>
    <mergeCell ref="G25:K25"/>
    <mergeCell ref="L25:Q25"/>
    <mergeCell ref="B26:D26"/>
    <mergeCell ref="G26:K26"/>
    <mergeCell ref="L26:Q26"/>
    <mergeCell ref="G24:K24"/>
    <mergeCell ref="L24:Q24"/>
    <mergeCell ref="B27:D27"/>
    <mergeCell ref="G27:K27"/>
    <mergeCell ref="B29:D29"/>
    <mergeCell ref="B31:D31"/>
    <mergeCell ref="G29:K29"/>
    <mergeCell ref="B30:D30"/>
    <mergeCell ref="G31:K31"/>
    <mergeCell ref="L29:Q29"/>
    <mergeCell ref="G30:K30"/>
    <mergeCell ref="L30:Q30"/>
    <mergeCell ref="G51:K51"/>
    <mergeCell ref="B59:D60"/>
    <mergeCell ref="E59:G60"/>
    <mergeCell ref="H59:K60"/>
    <mergeCell ref="B54:D54"/>
    <mergeCell ref="B55:D55"/>
    <mergeCell ref="G54:K54"/>
    <mergeCell ref="G55:K55"/>
    <mergeCell ref="B57:E57"/>
    <mergeCell ref="F57:K57"/>
    <mergeCell ref="F56:K56"/>
    <mergeCell ref="B56:E56"/>
    <mergeCell ref="B52:D52"/>
    <mergeCell ref="B51:D51"/>
    <mergeCell ref="G52:K52"/>
    <mergeCell ref="B53:D53"/>
    <mergeCell ref="L57:P57"/>
    <mergeCell ref="L50:Q50"/>
    <mergeCell ref="L51:Q51"/>
    <mergeCell ref="L52:Q52"/>
    <mergeCell ref="L56:P56"/>
    <mergeCell ref="L54:Q54"/>
    <mergeCell ref="L53:Q53"/>
    <mergeCell ref="G53:K53"/>
    <mergeCell ref="G49:H49"/>
    <mergeCell ref="I49:J49"/>
    <mergeCell ref="E48:K48"/>
    <mergeCell ref="B49:D49"/>
    <mergeCell ref="B50:D50"/>
    <mergeCell ref="L49:Q49"/>
    <mergeCell ref="L55:Q55"/>
    <mergeCell ref="G50:K50"/>
    <mergeCell ref="C3:D3"/>
    <mergeCell ref="E4:L4"/>
    <mergeCell ref="B36:E36"/>
    <mergeCell ref="F36:K36"/>
    <mergeCell ref="I21:J21"/>
    <mergeCell ref="L21:Q21"/>
    <mergeCell ref="B22:D22"/>
    <mergeCell ref="G22:K22"/>
    <mergeCell ref="L22:Q22"/>
    <mergeCell ref="B23:D23"/>
    <mergeCell ref="G23:K23"/>
    <mergeCell ref="L23:Q23"/>
    <mergeCell ref="L28:Q28"/>
    <mergeCell ref="L31:Q31"/>
    <mergeCell ref="C37:E37"/>
    <mergeCell ref="G37:K37"/>
    <mergeCell ref="L32:Q32"/>
    <mergeCell ref="B34:D34"/>
    <mergeCell ref="G34:K34"/>
    <mergeCell ref="L34:Q34"/>
    <mergeCell ref="F35:M35"/>
    <mergeCell ref="M37:Q37"/>
    <mergeCell ref="B33:D33"/>
    <mergeCell ref="G33:K33"/>
    <mergeCell ref="L33:Q33"/>
    <mergeCell ref="G32:K32"/>
    <mergeCell ref="B32:D32"/>
  </mergeCells>
  <phoneticPr fontId="30" type="noConversion"/>
  <conditionalFormatting sqref="C4:D4">
    <cfRule type="cellIs" dxfId="56" priority="251" stopIfTrue="1" operator="equal">
      <formula>"C"</formula>
    </cfRule>
    <cfRule type="cellIs" dxfId="55" priority="252" stopIfTrue="1" operator="equal">
      <formula>"B2"</formula>
    </cfRule>
    <cfRule type="cellIs" dxfId="54" priority="253" stopIfTrue="1" operator="equal">
      <formula>"B1"</formula>
    </cfRule>
  </conditionalFormatting>
  <conditionalFormatting sqref="G51:G55">
    <cfRule type="cellIs" dxfId="53" priority="79" stopIfTrue="1" operator="between">
      <formula>0</formula>
      <formula>0.599</formula>
    </cfRule>
    <cfRule type="cellIs" dxfId="52" priority="80" stopIfTrue="1" operator="between">
      <formula>0.6</formula>
      <formula>0.899</formula>
    </cfRule>
    <cfRule type="cellIs" dxfId="51" priority="81" stopIfTrue="1" operator="greaterThanOrEqual">
      <formula>0.9</formula>
    </cfRule>
  </conditionalFormatting>
  <conditionalFormatting sqref="G50">
    <cfRule type="cellIs" dxfId="50" priority="73" stopIfTrue="1" operator="between">
      <formula>0</formula>
      <formula>0.599</formula>
    </cfRule>
    <cfRule type="cellIs" dxfId="49" priority="74" stopIfTrue="1" operator="between">
      <formula>0.6</formula>
      <formula>0.899</formula>
    </cfRule>
    <cfRule type="cellIs" dxfId="48" priority="75" stopIfTrue="1" operator="greaterThanOrEqual">
      <formula>0.9</formula>
    </cfRule>
  </conditionalFormatting>
  <conditionalFormatting sqref="G50:K50">
    <cfRule type="cellIs" dxfId="47" priority="70" stopIfTrue="1" operator="greaterThan">
      <formula>0.9</formula>
    </cfRule>
    <cfRule type="cellIs" dxfId="46" priority="71" stopIfTrue="1" operator="between">
      <formula>0.6</formula>
      <formula>0.89</formula>
    </cfRule>
    <cfRule type="cellIs" dxfId="45" priority="72" stopIfTrue="1" operator="lessThan">
      <formula>0.59</formula>
    </cfRule>
  </conditionalFormatting>
  <conditionalFormatting sqref="G51:K55">
    <cfRule type="cellIs" dxfId="44" priority="76" stopIfTrue="1" operator="greaterThan">
      <formula>0.9</formula>
    </cfRule>
    <cfRule type="cellIs" dxfId="43" priority="77" stopIfTrue="1" operator="between">
      <formula>0.6</formula>
      <formula>0.89</formula>
    </cfRule>
    <cfRule type="cellIs" dxfId="42" priority="78" stopIfTrue="1" operator="lessThan">
      <formula>0.59</formula>
    </cfRule>
  </conditionalFormatting>
  <conditionalFormatting sqref="G22 G25">
    <cfRule type="cellIs" dxfId="41" priority="67" stopIfTrue="1" operator="between">
      <formula>0</formula>
      <formula>0.599</formula>
    </cfRule>
    <cfRule type="cellIs" dxfId="40" priority="68" stopIfTrue="1" operator="between">
      <formula>0.6</formula>
      <formula>0.899</formula>
    </cfRule>
    <cfRule type="cellIs" dxfId="39" priority="69" stopIfTrue="1" operator="greaterThanOrEqual">
      <formula>0.9</formula>
    </cfRule>
  </conditionalFormatting>
  <conditionalFormatting sqref="G33">
    <cfRule type="cellIs" dxfId="38" priority="64" stopIfTrue="1" operator="between">
      <formula>0</formula>
      <formula>0.599</formula>
    </cfRule>
    <cfRule type="cellIs" dxfId="37" priority="65" stopIfTrue="1" operator="between">
      <formula>0.6</formula>
      <formula>0.899</formula>
    </cfRule>
    <cfRule type="cellIs" dxfId="36" priority="66" stopIfTrue="1" operator="greaterThanOrEqual">
      <formula>0.9</formula>
    </cfRule>
  </conditionalFormatting>
  <conditionalFormatting sqref="G23">
    <cfRule type="cellIs" dxfId="35" priority="58" stopIfTrue="1" operator="between">
      <formula>0</formula>
      <formula>0.599</formula>
    </cfRule>
    <cfRule type="cellIs" dxfId="34" priority="59" stopIfTrue="1" operator="between">
      <formula>0.6</formula>
      <formula>0.899</formula>
    </cfRule>
    <cfRule type="cellIs" dxfId="33" priority="60" stopIfTrue="1" operator="greaterThanOrEqual">
      <formula>0.9</formula>
    </cfRule>
  </conditionalFormatting>
  <conditionalFormatting sqref="G26">
    <cfRule type="cellIs" dxfId="32" priority="52" stopIfTrue="1" operator="between">
      <formula>0</formula>
      <formula>0.599</formula>
    </cfRule>
    <cfRule type="cellIs" dxfId="31" priority="53" stopIfTrue="1" operator="between">
      <formula>0.6</formula>
      <formula>0.899</formula>
    </cfRule>
    <cfRule type="cellIs" dxfId="30" priority="54" stopIfTrue="1" operator="greaterThanOrEqual">
      <formula>0.9</formula>
    </cfRule>
  </conditionalFormatting>
  <conditionalFormatting sqref="G27">
    <cfRule type="cellIs" dxfId="29" priority="49" stopIfTrue="1" operator="between">
      <formula>0</formula>
      <formula>0.599</formula>
    </cfRule>
    <cfRule type="cellIs" dxfId="28" priority="50" stopIfTrue="1" operator="between">
      <formula>0.6</formula>
      <formula>0.899</formula>
    </cfRule>
    <cfRule type="cellIs" dxfId="27" priority="51" stopIfTrue="1" operator="greaterThanOrEqual">
      <formula>0.9</formula>
    </cfRule>
  </conditionalFormatting>
  <conditionalFormatting sqref="G28">
    <cfRule type="cellIs" dxfId="26" priority="46" stopIfTrue="1" operator="between">
      <formula>0</formula>
      <formula>0.599</formula>
    </cfRule>
    <cfRule type="cellIs" dxfId="25" priority="47" stopIfTrue="1" operator="between">
      <formula>0.6</formula>
      <formula>0.899</formula>
    </cfRule>
    <cfRule type="cellIs" dxfId="24" priority="48" stopIfTrue="1" operator="greaterThanOrEqual">
      <formula>0.9</formula>
    </cfRule>
  </conditionalFormatting>
  <conditionalFormatting sqref="G29">
    <cfRule type="cellIs" dxfId="23" priority="43" stopIfTrue="1" operator="between">
      <formula>0</formula>
      <formula>0.599</formula>
    </cfRule>
    <cfRule type="cellIs" dxfId="22" priority="44" stopIfTrue="1" operator="between">
      <formula>0.6</formula>
      <formula>0.899</formula>
    </cfRule>
    <cfRule type="cellIs" dxfId="21" priority="45" stopIfTrue="1" operator="greaterThanOrEqual">
      <formula>0.9</formula>
    </cfRule>
  </conditionalFormatting>
  <conditionalFormatting sqref="G31">
    <cfRule type="cellIs" dxfId="20" priority="40" stopIfTrue="1" operator="between">
      <formula>0</formula>
      <formula>0.599</formula>
    </cfRule>
    <cfRule type="cellIs" dxfId="19" priority="41" stopIfTrue="1" operator="between">
      <formula>0.6</formula>
      <formula>0.899</formula>
    </cfRule>
    <cfRule type="cellIs" dxfId="18" priority="42" stopIfTrue="1" operator="greaterThanOrEqual">
      <formula>0.9</formula>
    </cfRule>
  </conditionalFormatting>
  <conditionalFormatting sqref="G32">
    <cfRule type="cellIs" dxfId="17" priority="37" stopIfTrue="1" operator="between">
      <formula>0</formula>
      <formula>0.599</formula>
    </cfRule>
    <cfRule type="cellIs" dxfId="16" priority="38" stopIfTrue="1" operator="between">
      <formula>0.6</formula>
      <formula>0.899</formula>
    </cfRule>
    <cfRule type="cellIs" dxfId="15" priority="39" stopIfTrue="1" operator="greaterThanOrEqual">
      <formula>0.9</formula>
    </cfRule>
  </conditionalFormatting>
  <conditionalFormatting sqref="G30">
    <cfRule type="cellIs" dxfId="14" priority="31" stopIfTrue="1" operator="between">
      <formula>0</formula>
      <formula>0.599</formula>
    </cfRule>
    <cfRule type="cellIs" dxfId="13" priority="32" stopIfTrue="1" operator="between">
      <formula>0.6</formula>
      <formula>0.899</formula>
    </cfRule>
    <cfRule type="cellIs" dxfId="12" priority="33" stopIfTrue="1" operator="greaterThanOrEqual">
      <formula>0.9</formula>
    </cfRule>
  </conditionalFormatting>
  <conditionalFormatting sqref="G34">
    <cfRule type="cellIs" dxfId="11" priority="7" stopIfTrue="1" operator="between">
      <formula>0</formula>
      <formula>0.599</formula>
    </cfRule>
    <cfRule type="cellIs" dxfId="10" priority="8" stopIfTrue="1" operator="between">
      <formula>0.6</formula>
      <formula>0.899</formula>
    </cfRule>
    <cfRule type="cellIs" dxfId="9" priority="9" stopIfTrue="1" operator="greaterThanOrEqual">
      <formula>0.9</formula>
    </cfRule>
  </conditionalFormatting>
  <conditionalFormatting sqref="G24">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Q42"/>
  <sheetViews>
    <sheetView showGridLines="0" topLeftCell="A22" zoomScale="90" zoomScaleNormal="90" workbookViewId="0">
      <selection activeCell="D35" sqref="D35:G35"/>
    </sheetView>
  </sheetViews>
  <sheetFormatPr defaultColWidth="9.140625" defaultRowHeight="11.25"/>
  <cols>
    <col min="1" max="1" width="1.140625" style="28" customWidth="1"/>
    <col min="2" max="2" width="19.28515625" style="28" customWidth="1"/>
    <col min="3" max="3" width="1.140625" style="28" customWidth="1"/>
    <col min="4" max="4" width="17.140625" style="28" customWidth="1"/>
    <col min="5" max="5" width="17.5703125" style="28" customWidth="1"/>
    <col min="6" max="6" width="9.7109375" style="28" customWidth="1"/>
    <col min="7" max="7" width="13" style="28" customWidth="1"/>
    <col min="8" max="8" width="4.28515625" style="28" customWidth="1"/>
    <col min="9" max="9" width="15.85546875" style="28" customWidth="1"/>
    <col min="10" max="10" width="3.5703125" style="28" customWidth="1"/>
    <col min="11" max="11" width="7.5703125" style="29" customWidth="1"/>
    <col min="12" max="12" width="16.7109375" style="28" customWidth="1"/>
    <col min="13" max="13" width="12" style="28" customWidth="1"/>
    <col min="14" max="14" width="5.42578125" style="28" customWidth="1"/>
    <col min="15" max="15" width="2.5703125" style="28" customWidth="1"/>
    <col min="16" max="16384" width="9.140625" style="28"/>
  </cols>
  <sheetData>
    <row r="1" spans="1:17" ht="38.25" customHeight="1">
      <c r="A1" s="122"/>
      <c r="B1" s="122"/>
      <c r="C1" s="122"/>
      <c r="D1" s="122"/>
      <c r="E1" s="122"/>
      <c r="F1" s="122"/>
      <c r="G1" s="122"/>
      <c r="H1" s="122"/>
      <c r="I1" s="122"/>
      <c r="J1" s="122"/>
      <c r="K1" s="123"/>
      <c r="L1" s="122"/>
      <c r="M1" s="122"/>
      <c r="N1" s="122"/>
    </row>
    <row r="2" spans="1:17" customFormat="1" ht="27.75" customHeight="1">
      <c r="A2" s="3"/>
      <c r="B2" s="1035" t="str">
        <f>+"Панель показателей:  "&amp;"  "&amp;IF(+'Ввод данных'!B4="Выберите","",'Ввод данных'!B4&amp;" - ")&amp;IF('Ввод данных'!F6="Выберите","",'Ввод данных'!F6)</f>
        <v>Панель показателей:    Кыргызстан - ВИЧ/СПИД/ТБ</v>
      </c>
      <c r="C2" s="1035"/>
      <c r="D2" s="1035"/>
      <c r="E2" s="1035"/>
      <c r="F2" s="1035"/>
      <c r="G2" s="1035"/>
      <c r="H2" s="1035"/>
      <c r="I2" s="1035"/>
      <c r="J2" s="1035"/>
      <c r="K2" s="1035"/>
      <c r="L2" s="1035"/>
      <c r="M2" s="1035"/>
      <c r="N2" s="1035"/>
      <c r="O2" s="1035"/>
      <c r="P2" s="1035"/>
      <c r="Q2" s="1035"/>
    </row>
    <row r="3" spans="1:17" customFormat="1" ht="18.75">
      <c r="A3" s="3"/>
      <c r="B3" s="603">
        <f>+IF('Ввод данных'!F8="Выберите","",'Ввод данных'!F8)</f>
        <v>0</v>
      </c>
      <c r="C3" s="923"/>
      <c r="D3" s="923"/>
      <c r="E3" s="1036"/>
      <c r="F3" s="1036"/>
      <c r="G3" s="1036"/>
      <c r="H3" s="1036"/>
      <c r="I3" s="1036"/>
      <c r="J3" s="1036"/>
      <c r="K3" s="1036"/>
      <c r="L3" s="603" t="str">
        <f>+'Ввод данных'!A16</f>
        <v>Отчетный период</v>
      </c>
      <c r="M3" s="170" t="str">
        <f>+'Ввод данных'!B16</f>
        <v>P1</v>
      </c>
      <c r="N3" s="170"/>
      <c r="O3" s="28"/>
    </row>
    <row r="4" spans="1:17" customFormat="1" ht="15">
      <c r="A4" s="3"/>
      <c r="B4" s="320" t="str">
        <f>+'Ввод данных'!A12</f>
        <v>Последняя оценка:</v>
      </c>
      <c r="C4" s="1037" t="str">
        <f>+IF('Ввод данных'!B12="Выберите","",'Ввод данных'!B12)</f>
        <v>A2</v>
      </c>
      <c r="D4" s="1037"/>
      <c r="E4" s="922" t="str">
        <f>+'Ввод данных'!B8</f>
        <v>ПРООН</v>
      </c>
      <c r="F4" s="922"/>
      <c r="G4" s="922"/>
      <c r="H4" s="922"/>
      <c r="I4" s="922"/>
      <c r="J4" s="922"/>
      <c r="K4" s="922"/>
      <c r="L4" s="603" t="str">
        <f>+'Ввод данных'!C16</f>
        <v>с:</v>
      </c>
      <c r="M4" s="171">
        <f>+IF(ISBLANK('Ввод данных'!D16),"",'Ввод данных'!D16)</f>
        <v>43282</v>
      </c>
      <c r="N4" s="171"/>
      <c r="O4" s="28"/>
    </row>
    <row r="5" spans="1:17" customFormat="1" ht="18.75" customHeight="1">
      <c r="A5" s="3"/>
      <c r="B5" s="603"/>
      <c r="C5" s="603"/>
      <c r="D5" s="108"/>
      <c r="E5" s="949"/>
      <c r="F5" s="949"/>
      <c r="G5" s="949"/>
      <c r="H5" s="949"/>
      <c r="I5" s="949"/>
      <c r="J5" s="949"/>
      <c r="K5" s="949"/>
      <c r="L5" s="603" t="str">
        <f>+'Ввод данных'!E16</f>
        <v>до:</v>
      </c>
      <c r="M5" s="171">
        <f>+IF(ISBLANK('Ввод данных'!F16),"",'Ввод данных'!F16)</f>
        <v>43465</v>
      </c>
      <c r="N5" s="171"/>
    </row>
    <row r="6" spans="1:17" customFormat="1" ht="22.5" customHeight="1">
      <c r="A6" s="3"/>
      <c r="B6" s="111"/>
      <c r="C6" s="112"/>
      <c r="D6" s="113"/>
      <c r="E6" s="1078" t="s">
        <v>423</v>
      </c>
      <c r="F6" s="1078"/>
      <c r="G6" s="1078"/>
      <c r="H6" s="1078"/>
      <c r="I6" s="1078"/>
      <c r="J6" s="1078"/>
      <c r="K6" s="1078"/>
      <c r="L6" s="2"/>
      <c r="M6" s="2"/>
      <c r="N6" s="2"/>
    </row>
    <row r="7" spans="1:17" s="30" customFormat="1" ht="4.5" customHeight="1">
      <c r="A7" s="124"/>
      <c r="B7" s="125"/>
      <c r="C7" s="125"/>
      <c r="D7" s="125"/>
      <c r="E7" s="125"/>
      <c r="F7" s="125"/>
      <c r="G7" s="125"/>
      <c r="H7" s="125"/>
      <c r="I7" s="125"/>
      <c r="J7" s="125"/>
      <c r="K7" s="125"/>
      <c r="L7" s="126"/>
      <c r="M7" s="126"/>
      <c r="N7" s="127"/>
    </row>
    <row r="8" spans="1:17" s="30" customFormat="1" ht="21" customHeight="1" thickBot="1">
      <c r="A8" s="124"/>
      <c r="B8" s="1068" t="s">
        <v>424</v>
      </c>
      <c r="C8" s="1068"/>
      <c r="D8" s="1068"/>
      <c r="E8" s="1068"/>
      <c r="F8" s="1068"/>
      <c r="G8" s="1068"/>
      <c r="H8" s="1068"/>
      <c r="I8" s="1068"/>
      <c r="J8" s="1068"/>
      <c r="K8" s="1068"/>
      <c r="L8" s="1068"/>
      <c r="M8" s="1068"/>
      <c r="N8" s="1068"/>
    </row>
    <row r="9" spans="1:17" s="30" customFormat="1" ht="3.75" customHeight="1" thickBot="1">
      <c r="A9" s="124"/>
      <c r="B9" s="125"/>
      <c r="C9" s="125"/>
      <c r="D9" s="125"/>
      <c r="E9" s="125"/>
      <c r="F9" s="125"/>
      <c r="G9" s="125"/>
      <c r="H9" s="125"/>
      <c r="I9" s="125"/>
      <c r="J9" s="125"/>
      <c r="K9" s="125"/>
      <c r="L9" s="126"/>
      <c r="M9" s="126"/>
      <c r="N9" s="127"/>
    </row>
    <row r="10" spans="1:17" s="31" customFormat="1" ht="25.5" customHeight="1" thickBot="1">
      <c r="A10" s="128"/>
      <c r="B10" s="1090" t="s">
        <v>1</v>
      </c>
      <c r="C10" s="1091"/>
      <c r="D10" s="1079" t="s">
        <v>425</v>
      </c>
      <c r="E10" s="1080"/>
      <c r="F10" s="1080"/>
      <c r="G10" s="1081"/>
      <c r="H10" s="131"/>
      <c r="I10" s="1079" t="s">
        <v>423</v>
      </c>
      <c r="J10" s="1080"/>
      <c r="K10" s="1080"/>
      <c r="L10" s="1080"/>
      <c r="M10" s="1080"/>
      <c r="N10" s="1081"/>
    </row>
    <row r="11" spans="1:17" s="31" customFormat="1" ht="28.5" customHeight="1">
      <c r="A11" s="128"/>
      <c r="B11" s="290" t="s">
        <v>426</v>
      </c>
      <c r="C11" s="148"/>
      <c r="D11" s="1084" t="str">
        <f>IF(ISBLANK(Финансирование!C9),"",(Финансирование!C9))</f>
        <v xml:space="preserve">ГФ в июле и октябре 2018 г. произвел выплату двумя траншами на общую сумму 9 283 289$, что превышает бюджет отчетного периода на 20% в виду предварительного запроса от ОР на проведение закупок из будущего периода в отчетном. </v>
      </c>
      <c r="E11" s="1085"/>
      <c r="F11" s="1085"/>
      <c r="G11" s="1086"/>
      <c r="H11" s="154"/>
      <c r="I11" s="1092"/>
      <c r="J11" s="1093"/>
      <c r="K11" s="1093"/>
      <c r="L11" s="1093"/>
      <c r="M11" s="1093"/>
      <c r="N11" s="1094"/>
    </row>
    <row r="12" spans="1:17" s="31" customFormat="1" ht="27.75" customHeight="1">
      <c r="A12" s="128"/>
      <c r="B12" s="291" t="s">
        <v>427</v>
      </c>
      <c r="C12" s="149"/>
      <c r="D12" s="1103" t="str">
        <f>IF(ISBLANK(Финансирование!C23),"",(Финансирование!C23))</f>
        <v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v>
      </c>
      <c r="E12" s="1103"/>
      <c r="F12" s="1103"/>
      <c r="G12" s="1104"/>
      <c r="H12" s="154"/>
      <c r="I12" s="1100"/>
      <c r="J12" s="1101"/>
      <c r="K12" s="1101"/>
      <c r="L12" s="1101"/>
      <c r="M12" s="1101"/>
      <c r="N12" s="1102"/>
    </row>
    <row r="13" spans="1:17" s="31" customFormat="1" ht="26.25" customHeight="1">
      <c r="A13" s="128"/>
      <c r="B13" s="291" t="s">
        <v>428</v>
      </c>
      <c r="C13" s="149"/>
      <c r="D13" s="1069" t="str">
        <f>IF(ISBLANK(Финансирование!K9),"",(Финансирование!K9))</f>
        <v xml:space="preserve">В отчетном периоде ГФ произвел выплату в полном объеме бюджета периода и сверх бюджета на 20% в виду предварительного запроса от ОР на проведение закупок из бюджета будущего периода в текущем.
Расходы ОП составили 5 559 757$, включая сумму финансовых обязательств, в основном, по закупкам товаров медицинского назначения и медицинского оборудования, лекарственных средств и фармацевтических препаратов  на 31 декабря 2018 в  3 328 247$. Итого за весь период гранта было освоено 85% выделлных средств на ОП. В текущем периоде ПРООН произвел выплаты 39 СП  в срок на общую сумму в 1 045 893$ по запросу от СП в рамках подписанных Соглашений и бюджетов. </v>
      </c>
      <c r="E13" s="1070"/>
      <c r="F13" s="1070"/>
      <c r="G13" s="1099"/>
      <c r="H13" s="154"/>
      <c r="I13" s="1100"/>
      <c r="J13" s="1101"/>
      <c r="K13" s="1101"/>
      <c r="L13" s="1101"/>
      <c r="M13" s="1101"/>
      <c r="N13" s="1102"/>
    </row>
    <row r="14" spans="1:17" s="31" customFormat="1" ht="28.5" customHeight="1" thickBot="1">
      <c r="A14" s="128"/>
      <c r="B14" s="292" t="s">
        <v>429</v>
      </c>
      <c r="C14" s="150"/>
      <c r="D14" s="1082" t="str">
        <f>IF(ISBLANK(Финансирование!K23),"",(Финансирование!K23))</f>
        <v xml:space="preserve">В отчетном периоде ОП подготовил и направил ИОР/ЗПС в ГФ и офис МАФ в установленные сроки. Платеж от ГФ на отчетный период был получен  в  июле и октябре 2018 согласно графика платежей ГФ. </v>
      </c>
      <c r="E14" s="1082"/>
      <c r="F14" s="1082"/>
      <c r="G14" s="1083"/>
      <c r="H14" s="154"/>
      <c r="I14" s="1087"/>
      <c r="J14" s="1088"/>
      <c r="K14" s="1088"/>
      <c r="L14" s="1088"/>
      <c r="M14" s="1088"/>
      <c r="N14" s="1089"/>
    </row>
    <row r="15" spans="1:17" s="31" customFormat="1" ht="4.5" customHeight="1">
      <c r="A15" s="128"/>
      <c r="B15" s="151"/>
      <c r="C15" s="152"/>
      <c r="D15" s="153"/>
      <c r="E15" s="153"/>
      <c r="F15" s="153"/>
      <c r="G15" s="153"/>
      <c r="H15" s="154"/>
      <c r="I15" s="155"/>
      <c r="J15" s="155"/>
      <c r="K15" s="155"/>
      <c r="L15" s="155"/>
      <c r="M15" s="155"/>
      <c r="N15" s="155"/>
      <c r="O15" s="69"/>
    </row>
    <row r="16" spans="1:17" s="30" customFormat="1" ht="21" customHeight="1" thickBot="1">
      <c r="A16" s="124"/>
      <c r="B16" s="1068" t="s">
        <v>430</v>
      </c>
      <c r="C16" s="1068"/>
      <c r="D16" s="1068"/>
      <c r="E16" s="1068"/>
      <c r="F16" s="1068"/>
      <c r="G16" s="1068"/>
      <c r="H16" s="1068"/>
      <c r="I16" s="1068"/>
      <c r="J16" s="1068"/>
      <c r="K16" s="1068"/>
      <c r="L16" s="1068"/>
      <c r="M16" s="1068"/>
      <c r="N16" s="1068"/>
    </row>
    <row r="17" spans="1:15" s="31" customFormat="1" ht="3.75" customHeight="1" thickBot="1">
      <c r="A17" s="128"/>
      <c r="B17" s="137"/>
      <c r="C17" s="138"/>
      <c r="D17" s="139"/>
      <c r="E17" s="140"/>
      <c r="F17" s="141"/>
      <c r="G17" s="141"/>
      <c r="H17" s="142"/>
      <c r="I17" s="143"/>
      <c r="J17" s="144"/>
      <c r="K17" s="133"/>
      <c r="L17" s="134"/>
      <c r="M17" s="135"/>
      <c r="N17" s="136"/>
    </row>
    <row r="18" spans="1:15" s="31" customFormat="1" ht="22.5" customHeight="1" thickBot="1">
      <c r="A18" s="128"/>
      <c r="B18" s="1091" t="s">
        <v>17</v>
      </c>
      <c r="C18" s="1095"/>
      <c r="D18" s="1109" t="s">
        <v>425</v>
      </c>
      <c r="E18" s="1110"/>
      <c r="F18" s="1110"/>
      <c r="G18" s="1111"/>
      <c r="H18" s="131"/>
      <c r="I18" s="1105" t="s">
        <v>423</v>
      </c>
      <c r="J18" s="1106"/>
      <c r="K18" s="1106"/>
      <c r="L18" s="1106"/>
      <c r="M18" s="1107"/>
      <c r="N18" s="1108"/>
    </row>
    <row r="19" spans="1:15" s="31" customFormat="1" ht="48.75" customHeight="1">
      <c r="A19" s="128"/>
      <c r="B19" s="293" t="s">
        <v>431</v>
      </c>
      <c r="C19" s="156"/>
      <c r="D19" s="1112" t="str">
        <f>IF(ISBLANK(Управление!C8),"",(Управление!C8))</f>
        <v xml:space="preserve">По обоим компонентам предварительных условий (ПУ) нет согласно письму от ГФ по результатам работы за 1-е полугодие 2018 года.  </v>
      </c>
      <c r="E19" s="1113"/>
      <c r="F19" s="1113"/>
      <c r="G19" s="1114"/>
      <c r="H19" s="157"/>
      <c r="I19" s="1115"/>
      <c r="J19" s="1116"/>
      <c r="K19" s="1116"/>
      <c r="L19" s="1116"/>
      <c r="M19" s="1116"/>
      <c r="N19" s="1117"/>
    </row>
    <row r="20" spans="1:15" ht="30.75" customHeight="1">
      <c r="A20" s="122"/>
      <c r="B20" s="294" t="s">
        <v>432</v>
      </c>
      <c r="C20" s="158"/>
      <c r="D20" s="1069" t="str">
        <f>IF(ISBLANK(Управление!J8),"",(Управление!J8))</f>
        <v>По ВИЧ\ТБ  гранту всего 22  штатных позиции, из них 4 - по компоненту ВИЧ,  2 - по компоненту ТБ.,  оставшиеся  16   относятся к обоим компонентам.  Все 22 штатных позиции заполнены.</v>
      </c>
      <c r="E20" s="1070"/>
      <c r="F20" s="1070"/>
      <c r="G20" s="1071"/>
      <c r="H20" s="157"/>
      <c r="I20" s="1072"/>
      <c r="J20" s="1073"/>
      <c r="K20" s="1073"/>
      <c r="L20" s="1073"/>
      <c r="M20" s="1073"/>
      <c r="N20" s="1074"/>
      <c r="O20" s="32"/>
    </row>
    <row r="21" spans="1:15" ht="31.5" customHeight="1">
      <c r="A21" s="122"/>
      <c r="B21" s="295" t="s">
        <v>433</v>
      </c>
      <c r="C21" s="158"/>
      <c r="D21" s="1069" t="e">
        <f>IF(ISBLANK(Управление!#REF!),"",(Управление!#REF!))</f>
        <v>#REF!</v>
      </c>
      <c r="E21" s="1070"/>
      <c r="F21" s="1070"/>
      <c r="G21" s="1071"/>
      <c r="H21" s="157"/>
      <c r="I21" s="1072"/>
      <c r="J21" s="1073"/>
      <c r="K21" s="1073"/>
      <c r="L21" s="1073"/>
      <c r="M21" s="1073"/>
      <c r="N21" s="1074"/>
      <c r="O21" s="32"/>
    </row>
    <row r="22" spans="1:15" ht="34.5" customHeight="1">
      <c r="A22" s="122"/>
      <c r="B22" s="295" t="s">
        <v>434</v>
      </c>
      <c r="C22" s="158"/>
      <c r="D22" s="1069" t="e">
        <f>IF(ISBLANK(Управление!#REF!),"",(Управление!#REF!))</f>
        <v>#REF!</v>
      </c>
      <c r="E22" s="1070"/>
      <c r="F22" s="1070"/>
      <c r="G22" s="1071"/>
      <c r="H22" s="157"/>
      <c r="I22" s="1072"/>
      <c r="J22" s="1073"/>
      <c r="K22" s="1073"/>
      <c r="L22" s="1073"/>
      <c r="M22" s="1073"/>
      <c r="N22" s="1074"/>
      <c r="O22" s="32"/>
    </row>
    <row r="23" spans="1:15" ht="33.75" customHeight="1">
      <c r="A23" s="122"/>
      <c r="B23" s="295" t="s">
        <v>435</v>
      </c>
      <c r="C23" s="158"/>
      <c r="D23" s="1069" t="str">
        <f>IF(ISBLANK(Управление!C29),"",(Управление!C29))</f>
        <v>Медикаменты и ИМН закуплены согласно потребности на 2018 год. В расчетах потребности учтены текущий запас, ожидаемые поставки и наличие бюджета</v>
      </c>
      <c r="E23" s="1070"/>
      <c r="F23" s="1070"/>
      <c r="G23" s="1071"/>
      <c r="H23" s="157"/>
      <c r="I23" s="1072"/>
      <c r="J23" s="1073"/>
      <c r="K23" s="1073"/>
      <c r="L23" s="1073"/>
      <c r="M23" s="1073"/>
      <c r="N23" s="1074"/>
      <c r="O23" s="32"/>
    </row>
    <row r="24" spans="1:15" ht="39.75" customHeight="1" thickBot="1">
      <c r="A24" s="122"/>
      <c r="B24" s="296" t="s">
        <v>436</v>
      </c>
      <c r="C24" s="159"/>
      <c r="D24" s="1065" t="str">
        <f>IF(ISBLANK(Управление!J29),"",(Управление!J29))</f>
        <v xml:space="preserve">Запас ПТП 2-го ряда составляет в среднем от 6-20 месяцев, за исключением некоторых препаратов. Ситуация большого запаса и наоборот меньше 6 месяцев, связано с переходным периодом на новые режимы, согласно новым рекомендациям ВОЗ. Согласно, плану перехода использование Амикацина постепенно будет увеличиваться, после того как капреомицин и канамицин уйдет из схем лечения, а также ежемесячный расход деламанида уже с января 2019 года будет увеличиваться, так как закуплен для 84 пациента, с ежемесячным набором по 7 больных в месяц, в то время как в 2018 году был закуплен для 36 больных с ежемесячным набором по 3 пациента. В среднем расчетная потребность 2019 года на ожидаемые случаи по Quan TB составляет 4000-4500 таблеток в месяц, следовательно, существующий остаток имеется в запасе 13 месяцев.
Препараты, запас у которых меньше 6-ти месяцев (Амоксиклав, Имипенем/Циластатин, Этамбутол, ПАСК), объясняется тем, что в последних расчетах для закупок, препараты не вышли к заказу, так как уже осуществлялись согласно рекомендациям ВОЗ(группа С), а также фактическому проценту использования в индивидуальных режимах, следовательно будет постепенное уменьшение ежемесячного расхода. Однако, на сегодняшний день резко увеличился расход клофаземина. Одной из причин увеличения потребности Cfz стало, набор на эмпирические схемы, в состав которого входит клофазимин. Эмпирические схемы появились, для того, чтобы отойти от стандартных режимов, так как по плану перехода, набор должен был остановиться в марте 2018 года. На эмпирические режимы набираются все подтвержденные TB до получения результатов ТЛЧ.  В связи с этим был произведён расчет на закуп и отправлен запрос на поставку в срочном порядке.  Относительно тестов и картриджей, в 2019 году ожидается вторая поставка Деломанид и Циклосерин.
</v>
      </c>
      <c r="E24" s="1066"/>
      <c r="F24" s="1066"/>
      <c r="G24" s="1067"/>
      <c r="H24" s="157"/>
      <c r="I24" s="1096"/>
      <c r="J24" s="1097"/>
      <c r="K24" s="1097"/>
      <c r="L24" s="1097"/>
      <c r="M24" s="1097"/>
      <c r="N24" s="1098"/>
      <c r="O24" s="32"/>
    </row>
    <row r="25" spans="1:15" ht="4.5" customHeight="1">
      <c r="A25" s="124"/>
      <c r="B25" s="129"/>
      <c r="C25" s="130"/>
      <c r="D25" s="145"/>
      <c r="E25" s="146"/>
      <c r="F25" s="147"/>
      <c r="G25" s="147"/>
      <c r="H25" s="131"/>
      <c r="I25" s="146"/>
      <c r="J25" s="132"/>
      <c r="K25" s="133"/>
      <c r="L25" s="134"/>
      <c r="M25" s="135"/>
      <c r="N25" s="136"/>
      <c r="O25" s="32"/>
    </row>
    <row r="26" spans="1:15" s="30" customFormat="1" ht="21" customHeight="1" thickBot="1">
      <c r="A26" s="124"/>
      <c r="B26" s="1068" t="s">
        <v>437</v>
      </c>
      <c r="C26" s="1068"/>
      <c r="D26" s="1068"/>
      <c r="E26" s="1068"/>
      <c r="F26" s="1068"/>
      <c r="G26" s="1068"/>
      <c r="H26" s="1068"/>
      <c r="I26" s="1068"/>
      <c r="J26" s="1068"/>
      <c r="K26" s="1068"/>
      <c r="L26" s="1068"/>
      <c r="M26" s="1068"/>
      <c r="N26" s="1068"/>
    </row>
    <row r="27" spans="1:15" ht="3.75" customHeight="1" thickBot="1">
      <c r="A27" s="124"/>
      <c r="B27" s="129"/>
      <c r="C27" s="130"/>
      <c r="D27" s="145"/>
      <c r="E27" s="146"/>
      <c r="F27" s="147"/>
      <c r="G27" s="147"/>
      <c r="H27" s="131"/>
      <c r="I27" s="146"/>
      <c r="J27" s="132"/>
      <c r="K27" s="133"/>
      <c r="L27" s="134"/>
      <c r="M27" s="135"/>
      <c r="N27" s="136"/>
      <c r="O27" s="32"/>
    </row>
    <row r="28" spans="1:15" ht="21.75" customHeight="1" thickBot="1">
      <c r="A28" s="122"/>
      <c r="B28" s="1090" t="s">
        <v>438</v>
      </c>
      <c r="C28" s="1095"/>
      <c r="D28" s="1046" t="s">
        <v>425</v>
      </c>
      <c r="E28" s="1047"/>
      <c r="F28" s="1047"/>
      <c r="G28" s="1048"/>
      <c r="H28" s="131"/>
      <c r="I28" s="1046" t="s">
        <v>423</v>
      </c>
      <c r="J28" s="1047"/>
      <c r="K28" s="1047"/>
      <c r="L28" s="1047"/>
      <c r="M28" s="1047"/>
      <c r="N28" s="1048"/>
      <c r="O28" s="32"/>
    </row>
    <row r="29" spans="1:15" ht="29.25" customHeight="1">
      <c r="A29" s="122"/>
      <c r="B29" s="297" t="s">
        <v>439</v>
      </c>
      <c r="C29" s="160"/>
      <c r="D29" s="1052" t="str">
        <f>IF(ISBLANK(Программа!C37),"",(Программа!C37))</f>
        <v xml:space="preserve">Согласно НЦФ, регистрируемое количество случаев ТБ традиционно снижается во 2-3 квартале в связи с внешней миграцией. </v>
      </c>
      <c r="E29" s="1053"/>
      <c r="F29" s="1053"/>
      <c r="G29" s="1054"/>
      <c r="H29" s="157"/>
      <c r="I29" s="1075"/>
      <c r="J29" s="1076"/>
      <c r="K29" s="1076"/>
      <c r="L29" s="1076"/>
      <c r="M29" s="1076"/>
      <c r="N29" s="1077"/>
      <c r="O29" s="32"/>
    </row>
    <row r="30" spans="1:15" ht="21.95" customHeight="1">
      <c r="A30" s="122"/>
      <c r="B30" s="298" t="s">
        <v>440</v>
      </c>
      <c r="C30" s="161"/>
      <c r="D30" s="1064" t="str">
        <f>IF(ISBLANK(Программа!G37),"",(Программа!G37))</f>
        <v>Данные индикатор перевыполнен в связи с тем, что НЦФ усилила работу по активному поиску случаев среди ранее леченных случаев ТБ</v>
      </c>
      <c r="E30" s="1050"/>
      <c r="F30" s="1050"/>
      <c r="G30" s="1051"/>
      <c r="H30" s="157"/>
      <c r="I30" s="1055"/>
      <c r="J30" s="1056"/>
      <c r="K30" s="1056"/>
      <c r="L30" s="1056"/>
      <c r="M30" s="1056"/>
      <c r="N30" s="1057"/>
      <c r="O30" s="32"/>
    </row>
    <row r="31" spans="1:15" ht="21.95" customHeight="1">
      <c r="A31" s="122"/>
      <c r="B31" s="298" t="s">
        <v>441</v>
      </c>
      <c r="C31" s="161"/>
      <c r="D31" s="1064" t="str">
        <f>IF(ISBLANK(Программа!M37),"",(Программа!M37))</f>
        <v xml:space="preserve">В течение отчетного периода 689 РУ/МЛУ/ШЛУ ТБ больных начали лечение препаратами второго ряда, из них 671 бактериологически подтвержденных и 18 клинически диагностированных. Из 671  45 больных начали лечение в пенитенциарном секторе и 626 - в гражданском секторе. </v>
      </c>
      <c r="E31" s="1050"/>
      <c r="F31" s="1050"/>
      <c r="G31" s="1051"/>
      <c r="H31" s="157"/>
      <c r="I31" s="1055"/>
      <c r="J31" s="1056"/>
      <c r="K31" s="1056"/>
      <c r="L31" s="1056"/>
      <c r="M31" s="1056"/>
      <c r="N31" s="1057"/>
      <c r="O31" s="32"/>
    </row>
    <row r="32" spans="1:15" ht="21.95" customHeight="1">
      <c r="A32" s="122"/>
      <c r="B32" s="299" t="s">
        <v>135</v>
      </c>
      <c r="C32" s="161"/>
      <c r="D32" s="1049" t="str">
        <f>IF(ISBLANK(Программа!L50),"",(Программа!L50))</f>
        <v>Данные включают 3062 случая ТБ, зарегистрированных в гражданском секторе, и 129 ТБ случаев, зарегистрированных в пенитенциарной системе. В отчетном периоде отмечено незначительное снижение уровня регистрации случаев ТБ, особенно в малых областях, тогда как в Чуйской области высокий уровень выполнения данного индикатора. Такая ситуация объясняется прежде всего внутренней миграцией из малых областей в г.Бишкек и Чуйскую область, и внешней миграцией, в связи с чем выявление и регистрация традиционно снижаются в летние месяцы и увеличиваются в зимние месяцы, когда мигранты возвращаются домой. </v>
      </c>
      <c r="E32" s="1050"/>
      <c r="F32" s="1050"/>
      <c r="G32" s="1051"/>
      <c r="H32" s="157"/>
      <c r="I32" s="1055"/>
      <c r="J32" s="1056"/>
      <c r="K32" s="1056"/>
      <c r="L32" s="1056"/>
      <c r="M32" s="1056"/>
      <c r="N32" s="1057"/>
      <c r="O32" s="32"/>
    </row>
    <row r="33" spans="1:15" ht="42.75" customHeight="1">
      <c r="A33" s="122"/>
      <c r="B33" s="299" t="s">
        <v>150</v>
      </c>
      <c r="C33" s="161"/>
      <c r="D33" s="1049" t="str">
        <f>IF(ISBLANK(Программа!L51),"",(Программа!L51))</f>
        <v>Данный индикатор был перевыполнен благодаря решению НЦФ, закрепленному в Указании НЦФ от 4 апреля 2018 года, об активном поиске случаев среди ранее леченых больных РУ/МЛУ/ШЛУ ТБ. Данные включают все лабораторно подтвержденные случаи РУ/МЛУ/ШЛУ ТБ, зарегистрированные в отчетный период. 45 случаев были зарегистрированы в пенитенциарном секторе, 802 случая - в гражданском секторе. </v>
      </c>
      <c r="E33" s="1050"/>
      <c r="F33" s="1050"/>
      <c r="G33" s="1051"/>
      <c r="H33" s="157"/>
      <c r="I33" s="1061"/>
      <c r="J33" s="1062"/>
      <c r="K33" s="1062"/>
      <c r="L33" s="1062"/>
      <c r="M33" s="1062"/>
      <c r="N33" s="1063"/>
      <c r="O33" s="32"/>
    </row>
    <row r="34" spans="1:15" ht="21.95" customHeight="1">
      <c r="A34" s="122"/>
      <c r="B34" s="299" t="s">
        <v>151</v>
      </c>
      <c r="C34" s="161"/>
      <c r="D34" s="1049" t="str">
        <f>IF(ISBLANK(Программа!L52),"",(Программа!L52))</f>
        <v>В течение отчетного периода 689 РУ/МЛУ/ШЛУ ТБ больных начали лечение препаратами второго ряда, из них 671 бактериологически подтвержденных и 18 клинически диагностированных. Таким образом индикатор выполнен на 96%: 671 случай из запланированных 700. Это число включает 45 случаев в пенитенциарном секторе и 626 - в гражданском секторе. Охват лечением составил 80% (671 из  847 зарегистрированных в отчетный период).  Разница объясняется тем, что некоторые из ранее леченных больных, имеющих в прошлом неудачный опыт лечения, отказываются от нового курса лечения. Районные фтизиатры и кейс-менеджеры продолжают работу по мотивации к лечению среди этих больных. </v>
      </c>
      <c r="E34" s="1050"/>
      <c r="F34" s="1050"/>
      <c r="G34" s="1051"/>
      <c r="H34" s="157"/>
      <c r="I34" s="1055"/>
      <c r="J34" s="1056"/>
      <c r="K34" s="1056"/>
      <c r="L34" s="1056"/>
      <c r="M34" s="1056"/>
      <c r="N34" s="1057"/>
      <c r="O34" s="32"/>
    </row>
    <row r="35" spans="1:15" ht="27.75" customHeight="1">
      <c r="A35" s="122"/>
      <c r="B35" s="299" t="s">
        <v>152</v>
      </c>
      <c r="C35" s="196"/>
      <c r="D35" s="1049" t="e">
        <f>IF(ISBLANK(Программа!#REF!),"",(Программа!#REF!))</f>
        <v>#REF!</v>
      </c>
      <c r="E35" s="1050"/>
      <c r="F35" s="1050"/>
      <c r="G35" s="1051"/>
      <c r="H35" s="157"/>
      <c r="I35" s="1055"/>
      <c r="J35" s="1056"/>
      <c r="K35" s="1056"/>
      <c r="L35" s="1056"/>
      <c r="M35" s="1056"/>
      <c r="N35" s="1057"/>
      <c r="O35" s="32"/>
    </row>
    <row r="36" spans="1:15" ht="21.95" customHeight="1">
      <c r="A36" s="122"/>
      <c r="B36" s="299" t="s">
        <v>153</v>
      </c>
      <c r="C36" s="196"/>
      <c r="D36" s="1049" t="str">
        <f>IF(ISBLANK(Программа!L54),"",(Программа!L54))</f>
        <v>Доступность новых противотуберкулезных препаратов и индивидуальных режимов лечения оказывает существенное влияние на охват лечением больных с ШЛУ ТБ, начиная с 2017 года количество ШЛУ больных на лечении заметно увеличилось. Согласно НЦФ, 45 ШЛУ больных начали лечение во 2-3 квартале 2018 года. </v>
      </c>
      <c r="E36" s="1050"/>
      <c r="F36" s="1050"/>
      <c r="G36" s="1051"/>
      <c r="H36" s="157"/>
      <c r="I36" s="1055"/>
      <c r="J36" s="1056"/>
      <c r="K36" s="1056"/>
      <c r="L36" s="1056"/>
      <c r="M36" s="1056"/>
      <c r="N36" s="1057"/>
      <c r="O36" s="32"/>
    </row>
    <row r="37" spans="1:15" ht="21.95" customHeight="1">
      <c r="A37" s="122"/>
      <c r="B37" s="299" t="s">
        <v>154</v>
      </c>
      <c r="C37" s="196"/>
      <c r="D37" s="1049" t="str">
        <f>IF(ISBLANK(Программа!L55),"",(Программа!L55))</f>
        <v>В течение отчетного периода 2956 ТБ случаев были протестированы на ВИЧ и имеют запись в ТБ регистре из  3191 новых случаев и рецидивов, зарегистрированных в стране в этот же период. </v>
      </c>
      <c r="E37" s="1050"/>
      <c r="F37" s="1050"/>
      <c r="G37" s="1051"/>
      <c r="H37" s="157"/>
      <c r="I37" s="1055"/>
      <c r="J37" s="1056"/>
      <c r="K37" s="1056"/>
      <c r="L37" s="1056"/>
      <c r="M37" s="1056"/>
      <c r="N37" s="1057"/>
      <c r="O37" s="32"/>
    </row>
    <row r="38" spans="1:15" ht="21.95" customHeight="1">
      <c r="A38" s="122"/>
      <c r="B38" s="299" t="s">
        <v>155</v>
      </c>
      <c r="C38" s="196"/>
      <c r="D38" s="1049" t="e">
        <f>IF(ISBLANK(Программа!#REF!),"",(Программа!#REF!))</f>
        <v>#REF!</v>
      </c>
      <c r="E38" s="1050"/>
      <c r="F38" s="1050"/>
      <c r="G38" s="1051"/>
      <c r="H38" s="157"/>
      <c r="I38" s="1055"/>
      <c r="J38" s="1056"/>
      <c r="K38" s="1056"/>
      <c r="L38" s="1056"/>
      <c r="M38" s="1056"/>
      <c r="N38" s="1057"/>
      <c r="O38" s="32"/>
    </row>
    <row r="39" spans="1:15" ht="21.95" customHeight="1">
      <c r="A39" s="122"/>
      <c r="B39" s="299" t="s">
        <v>156</v>
      </c>
      <c r="C39" s="196"/>
      <c r="D39" s="1049" t="e">
        <f>IF(ISBLANK(Программа!#REF!),"",(Программа!#REF!))</f>
        <v>#REF!</v>
      </c>
      <c r="E39" s="1050"/>
      <c r="F39" s="1050"/>
      <c r="G39" s="1051"/>
      <c r="H39" s="157"/>
      <c r="I39" s="1055"/>
      <c r="J39" s="1056"/>
      <c r="K39" s="1056"/>
      <c r="L39" s="1056"/>
      <c r="M39" s="1056"/>
      <c r="N39" s="1057"/>
      <c r="O39" s="32"/>
    </row>
    <row r="40" spans="1:15" ht="21.95" customHeight="1">
      <c r="A40" s="122"/>
      <c r="B40" s="299" t="s">
        <v>157</v>
      </c>
      <c r="C40" s="196"/>
      <c r="D40" s="1049" t="e">
        <f>IF(ISBLANK(Программа!#REF!),"",(Программа!#REF!))</f>
        <v>#REF!</v>
      </c>
      <c r="E40" s="1050"/>
      <c r="F40" s="1050"/>
      <c r="G40" s="1051"/>
      <c r="H40" s="157"/>
      <c r="I40" s="1055"/>
      <c r="J40" s="1056"/>
      <c r="K40" s="1056"/>
      <c r="L40" s="1056"/>
      <c r="M40" s="1056"/>
      <c r="N40" s="1057"/>
      <c r="O40" s="32"/>
    </row>
    <row r="41" spans="1:15" ht="21.95" customHeight="1" thickBot="1">
      <c r="A41" s="122"/>
      <c r="B41" s="331" t="s">
        <v>158</v>
      </c>
      <c r="C41" s="162"/>
      <c r="D41" s="1043" t="e">
        <f>IF(ISBLANK(Программа!#REF!),"",(Программа!#REF!))</f>
        <v>#REF!</v>
      </c>
      <c r="E41" s="1044"/>
      <c r="F41" s="1044"/>
      <c r="G41" s="1045"/>
      <c r="H41" s="157"/>
      <c r="I41" s="1058"/>
      <c r="J41" s="1059"/>
      <c r="K41" s="1059"/>
      <c r="L41" s="1059"/>
      <c r="M41" s="1059"/>
      <c r="N41" s="1060"/>
      <c r="O41" s="32"/>
    </row>
    <row r="42" spans="1:15" ht="14.25">
      <c r="A42" s="122"/>
      <c r="B42" s="163"/>
      <c r="C42" s="163"/>
      <c r="D42" s="164"/>
      <c r="E42" s="122"/>
      <c r="F42" s="163"/>
      <c r="G42" s="163"/>
      <c r="H42" s="122"/>
      <c r="I42" s="165"/>
      <c r="J42" s="122"/>
      <c r="K42" s="166"/>
      <c r="L42" s="166"/>
      <c r="M42" s="166"/>
      <c r="N42" s="166"/>
      <c r="O42" s="32"/>
    </row>
  </sheetData>
  <sheetProtection password="CFC9" sheet="1"/>
  <mergeCells count="65">
    <mergeCell ref="I39:N39"/>
    <mergeCell ref="D13:G13"/>
    <mergeCell ref="I12:N12"/>
    <mergeCell ref="D12:G12"/>
    <mergeCell ref="I13:N13"/>
    <mergeCell ref="I18:N18"/>
    <mergeCell ref="D18:G18"/>
    <mergeCell ref="I20:N20"/>
    <mergeCell ref="D19:G19"/>
    <mergeCell ref="D21:G21"/>
    <mergeCell ref="D20:G20"/>
    <mergeCell ref="I19:N19"/>
    <mergeCell ref="D38:G38"/>
    <mergeCell ref="D37:G37"/>
    <mergeCell ref="D36:G36"/>
    <mergeCell ref="D33:G33"/>
    <mergeCell ref="D39:G39"/>
    <mergeCell ref="E6:K6"/>
    <mergeCell ref="B8:N8"/>
    <mergeCell ref="I10:N10"/>
    <mergeCell ref="B16:N16"/>
    <mergeCell ref="D14:G14"/>
    <mergeCell ref="D11:G11"/>
    <mergeCell ref="I14:N14"/>
    <mergeCell ref="B10:C10"/>
    <mergeCell ref="D10:G10"/>
    <mergeCell ref="I11:N11"/>
    <mergeCell ref="B18:C18"/>
    <mergeCell ref="B28:C28"/>
    <mergeCell ref="I24:N24"/>
    <mergeCell ref="I32:N32"/>
    <mergeCell ref="D22:G22"/>
    <mergeCell ref="B2:Q2"/>
    <mergeCell ref="E5:K5"/>
    <mergeCell ref="E3:K3"/>
    <mergeCell ref="C4:D4"/>
    <mergeCell ref="E4:K4"/>
    <mergeCell ref="C3:D3"/>
    <mergeCell ref="D23:G23"/>
    <mergeCell ref="I21:N21"/>
    <mergeCell ref="I22:N22"/>
    <mergeCell ref="I23:N23"/>
    <mergeCell ref="I29:N29"/>
    <mergeCell ref="D30:G30"/>
    <mergeCell ref="D32:G32"/>
    <mergeCell ref="D24:G24"/>
    <mergeCell ref="I30:N30"/>
    <mergeCell ref="I31:N31"/>
    <mergeCell ref="B26:N26"/>
    <mergeCell ref="D41:G41"/>
    <mergeCell ref="I28:N28"/>
    <mergeCell ref="D40:G40"/>
    <mergeCell ref="D34:G34"/>
    <mergeCell ref="D29:G29"/>
    <mergeCell ref="D28:G28"/>
    <mergeCell ref="I34:N34"/>
    <mergeCell ref="D35:G35"/>
    <mergeCell ref="I41:N41"/>
    <mergeCell ref="I35:N35"/>
    <mergeCell ref="I36:N36"/>
    <mergeCell ref="I37:N37"/>
    <mergeCell ref="I38:N38"/>
    <mergeCell ref="I40:N40"/>
    <mergeCell ref="I33:N33"/>
    <mergeCell ref="D31:G3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B4" zoomScaleNormal="110" zoomScaleSheetLayoutView="100" workbookViewId="0">
      <selection activeCell="B14" sqref="B14:E15"/>
    </sheetView>
  </sheetViews>
  <sheetFormatPr defaultColWidth="11" defaultRowHeight="15"/>
  <cols>
    <col min="1" max="1" width="8.8554687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918" t="str">
        <f>+"Панель показателей:  "&amp;"  "&amp;IF(+'Ввод данных'!B4="Выберите","",'Ввод данных'!B4&amp;" - ")&amp;IF('Ввод данных'!F6="Выберите","",'Ввод данных'!F6)</f>
        <v>Панель показателей:    Кыргызстан - ВИЧ/СПИД/ТБ</v>
      </c>
      <c r="C2" s="918"/>
      <c r="D2" s="918"/>
      <c r="E2" s="918"/>
      <c r="F2" s="918"/>
      <c r="G2" s="918"/>
      <c r="H2" s="918"/>
      <c r="I2" s="918"/>
      <c r="J2" s="918"/>
      <c r="K2" s="918"/>
      <c r="L2" s="918"/>
    </row>
    <row r="3" spans="1:13">
      <c r="B3" s="607">
        <f>+IF('Ввод данных'!F8="Выберите","",'Ввод данных'!F8)</f>
        <v>0</v>
      </c>
      <c r="C3" s="1147"/>
      <c r="D3" s="1147"/>
      <c r="E3" s="949"/>
      <c r="F3" s="949"/>
      <c r="G3" s="949"/>
      <c r="H3" s="949"/>
      <c r="I3" s="949"/>
      <c r="J3" s="950" t="str">
        <f>+'Ввод данных'!A16</f>
        <v>Отчетный период</v>
      </c>
      <c r="K3" s="950"/>
      <c r="L3" s="170" t="str">
        <f>+'Ввод данных'!B16</f>
        <v>P1</v>
      </c>
      <c r="M3" s="78"/>
    </row>
    <row r="4" spans="1:13">
      <c r="B4" s="321" t="str">
        <f>+'Ввод данных'!A12</f>
        <v>Последняя оценка:</v>
      </c>
      <c r="C4" s="1142" t="str">
        <f>+IF('Ввод данных'!B12="Выберите","",'Ввод данных'!B12)</f>
        <v>A2</v>
      </c>
      <c r="D4" s="1142"/>
      <c r="E4" s="949" t="str">
        <f>+'Ввод данных'!B8</f>
        <v>ПРООН</v>
      </c>
      <c r="F4" s="949"/>
      <c r="G4" s="949"/>
      <c r="H4" s="949"/>
      <c r="I4" s="949"/>
      <c r="J4" s="950" t="str">
        <f>+'Ввод данных'!C16</f>
        <v>с:</v>
      </c>
      <c r="K4" s="1145"/>
      <c r="L4" s="171">
        <f>+IF(ISBLANK('Ввод данных'!D16),"",'Ввод данных'!D16)</f>
        <v>43282</v>
      </c>
    </row>
    <row r="5" spans="1:13" ht="18.75" customHeight="1">
      <c r="B5" s="607"/>
      <c r="C5" s="607"/>
      <c r="D5" s="949"/>
      <c r="E5" s="949"/>
      <c r="F5" s="949"/>
      <c r="G5" s="949"/>
      <c r="H5" s="949"/>
      <c r="I5" s="949"/>
      <c r="J5" s="949"/>
      <c r="K5" s="607" t="str">
        <f>+'Ввод данных'!E16</f>
        <v>до:</v>
      </c>
      <c r="L5" s="171">
        <f>+IF(ISBLANK('Ввод данных'!F16),"",'Ввод данных'!F16)</f>
        <v>43465</v>
      </c>
    </row>
    <row r="6" spans="1:13" ht="18.75">
      <c r="B6" s="22"/>
      <c r="C6" s="607"/>
      <c r="D6" s="23"/>
      <c r="E6" s="1146" t="s">
        <v>442</v>
      </c>
      <c r="F6" s="1146"/>
      <c r="G6" s="1146"/>
      <c r="H6" s="1146"/>
      <c r="I6" s="1146"/>
    </row>
    <row r="7" spans="1:13" ht="18.75">
      <c r="E7" s="614"/>
      <c r="F7" s="614"/>
      <c r="G7" s="614"/>
      <c r="H7" s="614"/>
      <c r="I7" s="614"/>
    </row>
    <row r="8" spans="1:13" s="30" customFormat="1" ht="21" customHeight="1" thickBot="1">
      <c r="B8" s="70" t="s">
        <v>443</v>
      </c>
      <c r="C8" s="70"/>
      <c r="D8" s="70"/>
      <c r="E8" s="70"/>
      <c r="F8" s="70"/>
      <c r="G8" s="70"/>
      <c r="H8" s="70"/>
      <c r="I8" s="70"/>
      <c r="J8" s="70"/>
      <c r="K8" s="70"/>
      <c r="L8" s="70"/>
    </row>
    <row r="9" spans="1:13" ht="6" customHeight="1">
      <c r="B9" s="68"/>
    </row>
    <row r="10" spans="1:13">
      <c r="B10" s="1152"/>
      <c r="C10" s="1153"/>
      <c r="D10" s="1153"/>
      <c r="E10" s="1153"/>
      <c r="F10" s="1153"/>
      <c r="G10" s="1153"/>
      <c r="H10" s="1153"/>
      <c r="I10" s="1153"/>
      <c r="J10" s="1153"/>
      <c r="K10" s="1153"/>
      <c r="L10" s="1154"/>
    </row>
    <row r="11" spans="1:13">
      <c r="B11" s="1155"/>
      <c r="C11" s="1156"/>
      <c r="D11" s="1156"/>
      <c r="E11" s="1156"/>
      <c r="F11" s="1156"/>
      <c r="G11" s="1156"/>
      <c r="H11" s="1156"/>
      <c r="I11" s="1156"/>
      <c r="J11" s="1156"/>
      <c r="K11" s="1156"/>
      <c r="L11" s="1157"/>
    </row>
    <row r="12" spans="1:13" ht="15.75" thickBot="1"/>
    <row r="13" spans="1:13" ht="26.25" customHeight="1" thickBot="1">
      <c r="B13" s="1148" t="s">
        <v>444</v>
      </c>
      <c r="C13" s="1149"/>
      <c r="D13" s="1149"/>
      <c r="E13" s="1123"/>
      <c r="F13" s="71"/>
      <c r="G13" s="1218" t="s">
        <v>445</v>
      </c>
      <c r="H13" s="1158"/>
      <c r="I13" s="1158"/>
      <c r="J13" s="613" t="s">
        <v>446</v>
      </c>
      <c r="K13" s="1158" t="s">
        <v>447</v>
      </c>
      <c r="L13" s="1159"/>
    </row>
    <row r="14" spans="1:13">
      <c r="A14" s="1209" t="s">
        <v>197</v>
      </c>
      <c r="B14" s="1150"/>
      <c r="C14" s="1150"/>
      <c r="D14" s="1150"/>
      <c r="E14" s="1151"/>
      <c r="F14" s="43"/>
      <c r="G14" s="1212"/>
      <c r="H14" s="1213"/>
      <c r="I14" s="1213"/>
      <c r="J14" s="1221"/>
      <c r="K14" s="1138"/>
      <c r="L14" s="1139"/>
    </row>
    <row r="15" spans="1:13" ht="32.25" customHeight="1">
      <c r="A15" s="1210"/>
      <c r="B15" s="1150"/>
      <c r="C15" s="1150"/>
      <c r="D15" s="1150"/>
      <c r="E15" s="1151"/>
      <c r="F15" s="43"/>
      <c r="G15" s="1189"/>
      <c r="H15" s="1190"/>
      <c r="I15" s="1190"/>
      <c r="J15" s="1161"/>
      <c r="K15" s="1140"/>
      <c r="L15" s="1141"/>
    </row>
    <row r="16" spans="1:13">
      <c r="A16" s="1210"/>
      <c r="B16" s="1150"/>
      <c r="C16" s="1150"/>
      <c r="D16" s="1150"/>
      <c r="E16" s="1151"/>
      <c r="F16" s="43"/>
      <c r="G16" s="1189"/>
      <c r="H16" s="1190"/>
      <c r="I16" s="1190"/>
      <c r="J16" s="1160"/>
      <c r="K16" s="1143"/>
      <c r="L16" s="1144"/>
    </row>
    <row r="17" spans="1:12" ht="78.75" customHeight="1">
      <c r="A17" s="1210"/>
      <c r="B17" s="1150"/>
      <c r="C17" s="1150"/>
      <c r="D17" s="1150"/>
      <c r="E17" s="1151"/>
      <c r="F17" s="43"/>
      <c r="G17" s="1189"/>
      <c r="H17" s="1190"/>
      <c r="I17" s="1190"/>
      <c r="J17" s="1161"/>
      <c r="K17" s="1140"/>
      <c r="L17" s="1141"/>
    </row>
    <row r="18" spans="1:12">
      <c r="A18" s="1210"/>
      <c r="B18" s="1150"/>
      <c r="C18" s="1150"/>
      <c r="D18" s="1150"/>
      <c r="E18" s="1151"/>
      <c r="F18" s="43"/>
      <c r="G18" s="1214"/>
      <c r="H18" s="1215"/>
      <c r="I18" s="1216"/>
      <c r="J18" s="1160"/>
      <c r="K18" s="1143"/>
      <c r="L18" s="1144"/>
    </row>
    <row r="19" spans="1:12" ht="30.75" customHeight="1">
      <c r="A19" s="1210"/>
      <c r="B19" s="1150"/>
      <c r="C19" s="1150"/>
      <c r="D19" s="1150"/>
      <c r="E19" s="1151"/>
      <c r="F19" s="43"/>
      <c r="G19" s="1196"/>
      <c r="H19" s="1197"/>
      <c r="I19" s="1217"/>
      <c r="J19" s="1161"/>
      <c r="K19" s="1140"/>
      <c r="L19" s="1141"/>
    </row>
    <row r="20" spans="1:12">
      <c r="A20" s="1210"/>
      <c r="B20" s="1150"/>
      <c r="C20" s="1150"/>
      <c r="D20" s="1150"/>
      <c r="E20" s="1151"/>
      <c r="F20" s="43"/>
      <c r="G20" s="1189"/>
      <c r="H20" s="1190"/>
      <c r="I20" s="1190"/>
      <c r="J20" s="1160"/>
      <c r="K20" s="1143"/>
      <c r="L20" s="1144"/>
    </row>
    <row r="21" spans="1:12" ht="45.75" customHeight="1">
      <c r="A21" s="1210"/>
      <c r="B21" s="1150"/>
      <c r="C21" s="1150"/>
      <c r="D21" s="1150"/>
      <c r="E21" s="1151"/>
      <c r="F21" s="43"/>
      <c r="G21" s="1189"/>
      <c r="H21" s="1190"/>
      <c r="I21" s="1190"/>
      <c r="J21" s="1161"/>
      <c r="K21" s="1140"/>
      <c r="L21" s="1141"/>
    </row>
    <row r="22" spans="1:12">
      <c r="A22" s="1210"/>
      <c r="B22" s="1150"/>
      <c r="C22" s="1150"/>
      <c r="D22" s="1150"/>
      <c r="E22" s="1151"/>
      <c r="F22" s="43"/>
      <c r="G22" s="1189"/>
      <c r="H22" s="1190"/>
      <c r="I22" s="1190"/>
      <c r="J22" s="1220"/>
      <c r="K22" s="1161"/>
      <c r="L22" s="1219"/>
    </row>
    <row r="23" spans="1:12" ht="34.5" customHeight="1">
      <c r="A23" s="1210"/>
      <c r="B23" s="1150"/>
      <c r="C23" s="1150"/>
      <c r="D23" s="1150"/>
      <c r="E23" s="1151"/>
      <c r="F23" s="43"/>
      <c r="G23" s="1189"/>
      <c r="H23" s="1190"/>
      <c r="I23" s="1190"/>
      <c r="J23" s="1213"/>
      <c r="K23" s="1161"/>
      <c r="L23" s="1219"/>
    </row>
    <row r="24" spans="1:12" ht="15" customHeight="1">
      <c r="A24" s="1210"/>
      <c r="B24" s="1150"/>
      <c r="C24" s="1150"/>
      <c r="D24" s="1150"/>
      <c r="E24" s="1151"/>
      <c r="F24" s="43"/>
      <c r="G24" s="1189"/>
      <c r="H24" s="1190"/>
      <c r="I24" s="1190"/>
      <c r="J24" s="1160"/>
      <c r="K24" s="1124"/>
      <c r="L24" s="1125"/>
    </row>
    <row r="25" spans="1:12" ht="30" customHeight="1" thickBot="1">
      <c r="A25" s="1211"/>
      <c r="B25" s="1204"/>
      <c r="C25" s="1204"/>
      <c r="D25" s="1204"/>
      <c r="E25" s="1205"/>
      <c r="F25" s="43"/>
      <c r="G25" s="1191"/>
      <c r="H25" s="1192"/>
      <c r="I25" s="1192"/>
      <c r="J25" s="1184"/>
      <c r="K25" s="1126"/>
      <c r="L25" s="1127"/>
    </row>
    <row r="27" spans="1:12" ht="18.75" customHeight="1">
      <c r="D27" s="584"/>
      <c r="E27" s="315" t="s">
        <v>448</v>
      </c>
      <c r="F27" s="315"/>
      <c r="G27" s="315"/>
      <c r="H27" s="315"/>
      <c r="I27" s="315"/>
    </row>
    <row r="28" spans="1:12" ht="6" customHeight="1">
      <c r="E28" s="614"/>
      <c r="F28" s="614"/>
      <c r="G28" s="614"/>
      <c r="H28" s="614"/>
      <c r="I28" s="614"/>
    </row>
    <row r="29" spans="1:12" s="30" customFormat="1" ht="21" customHeight="1" thickBot="1">
      <c r="B29" s="70" t="s">
        <v>449</v>
      </c>
      <c r="C29" s="70"/>
      <c r="D29" s="70"/>
      <c r="E29" s="70"/>
      <c r="F29" s="70"/>
      <c r="G29" s="70"/>
      <c r="H29" s="70"/>
      <c r="I29" s="70"/>
      <c r="J29" s="70"/>
      <c r="K29" s="70"/>
      <c r="L29" s="70"/>
    </row>
    <row r="30" spans="1:12" ht="6" customHeight="1" thickBot="1">
      <c r="B30" s="68"/>
    </row>
    <row r="31" spans="1:12" ht="21.75" customHeight="1" thickBot="1">
      <c r="B31" s="1148" t="s">
        <v>445</v>
      </c>
      <c r="C31" s="1149"/>
      <c r="D31" s="1149"/>
      <c r="E31" s="1123"/>
      <c r="F31" s="71"/>
      <c r="G31" s="1148" t="s">
        <v>450</v>
      </c>
      <c r="H31" s="1149"/>
      <c r="I31" s="1188"/>
      <c r="J31" s="613" t="s">
        <v>451</v>
      </c>
      <c r="K31" s="1122" t="s">
        <v>447</v>
      </c>
      <c r="L31" s="1123"/>
    </row>
    <row r="32" spans="1:12" ht="14.25" customHeight="1">
      <c r="A32" s="1185" t="s">
        <v>452</v>
      </c>
      <c r="B32" s="1193"/>
      <c r="C32" s="1194"/>
      <c r="D32" s="1194"/>
      <c r="E32" s="1195"/>
      <c r="F32" s="43"/>
      <c r="G32" s="1206"/>
      <c r="H32" s="1207"/>
      <c r="I32" s="1208"/>
      <c r="J32" s="1120"/>
      <c r="K32" s="1138"/>
      <c r="L32" s="1139"/>
    </row>
    <row r="33" spans="1:12" ht="30" customHeight="1">
      <c r="A33" s="1186"/>
      <c r="B33" s="1196"/>
      <c r="C33" s="1197"/>
      <c r="D33" s="1197"/>
      <c r="E33" s="1198"/>
      <c r="F33" s="43"/>
      <c r="G33" s="1180"/>
      <c r="H33" s="1181"/>
      <c r="I33" s="1182"/>
      <c r="J33" s="1121"/>
      <c r="K33" s="1140"/>
      <c r="L33" s="1141"/>
    </row>
    <row r="34" spans="1:12">
      <c r="A34" s="1186"/>
      <c r="B34" s="1173"/>
      <c r="C34" s="1174"/>
      <c r="D34" s="1174"/>
      <c r="E34" s="1144"/>
      <c r="F34" s="43"/>
      <c r="G34" s="1177"/>
      <c r="H34" s="1178"/>
      <c r="I34" s="1179"/>
      <c r="J34" s="1183"/>
      <c r="K34" s="1128"/>
      <c r="L34" s="1129"/>
    </row>
    <row r="35" spans="1:12" ht="30" customHeight="1">
      <c r="A35" s="1186"/>
      <c r="B35" s="1175"/>
      <c r="C35" s="1176"/>
      <c r="D35" s="1176"/>
      <c r="E35" s="1141"/>
      <c r="F35" s="43"/>
      <c r="G35" s="1180"/>
      <c r="H35" s="1181"/>
      <c r="I35" s="1182"/>
      <c r="J35" s="1121"/>
      <c r="K35" s="1130"/>
      <c r="L35" s="1131"/>
    </row>
    <row r="36" spans="1:12">
      <c r="A36" s="1186"/>
      <c r="B36" s="1168"/>
      <c r="C36" s="1169"/>
      <c r="D36" s="1169"/>
      <c r="E36" s="1125"/>
      <c r="F36" s="43"/>
      <c r="G36" s="1177"/>
      <c r="H36" s="1178"/>
      <c r="I36" s="1179"/>
      <c r="J36" s="1118"/>
      <c r="K36" s="1128"/>
      <c r="L36" s="1129"/>
    </row>
    <row r="37" spans="1:12" ht="45" customHeight="1">
      <c r="A37" s="1186"/>
      <c r="B37" s="1170"/>
      <c r="C37" s="1171"/>
      <c r="D37" s="1171"/>
      <c r="E37" s="1172"/>
      <c r="F37" s="43"/>
      <c r="G37" s="1180"/>
      <c r="H37" s="1181"/>
      <c r="I37" s="1182"/>
      <c r="J37" s="1121"/>
      <c r="K37" s="1130"/>
      <c r="L37" s="1131"/>
    </row>
    <row r="38" spans="1:12">
      <c r="A38" s="1186"/>
      <c r="B38" s="1168"/>
      <c r="C38" s="1169"/>
      <c r="D38" s="1169"/>
      <c r="E38" s="1125"/>
      <c r="F38" s="43"/>
      <c r="G38" s="1162"/>
      <c r="H38" s="1163"/>
      <c r="I38" s="1164"/>
      <c r="J38" s="1118"/>
      <c r="K38" s="1132"/>
      <c r="L38" s="1133"/>
    </row>
    <row r="39" spans="1:12">
      <c r="A39" s="1186"/>
      <c r="B39" s="1170"/>
      <c r="C39" s="1171"/>
      <c r="D39" s="1171"/>
      <c r="E39" s="1172"/>
      <c r="F39" s="43"/>
      <c r="G39" s="1165"/>
      <c r="H39" s="1166"/>
      <c r="I39" s="1167"/>
      <c r="J39" s="1121"/>
      <c r="K39" s="1134"/>
      <c r="L39" s="1135"/>
    </row>
    <row r="40" spans="1:12">
      <c r="A40" s="1186"/>
      <c r="B40" s="1168"/>
      <c r="C40" s="1169"/>
      <c r="D40" s="1169"/>
      <c r="E40" s="1125"/>
      <c r="F40" s="43"/>
      <c r="G40" s="1162"/>
      <c r="H40" s="1163"/>
      <c r="I40" s="1164"/>
      <c r="J40" s="1118"/>
      <c r="K40" s="1132"/>
      <c r="L40" s="1133"/>
    </row>
    <row r="41" spans="1:12">
      <c r="A41" s="1186"/>
      <c r="B41" s="1170"/>
      <c r="C41" s="1171"/>
      <c r="D41" s="1171"/>
      <c r="E41" s="1172"/>
      <c r="F41" s="43"/>
      <c r="G41" s="1165"/>
      <c r="H41" s="1166"/>
      <c r="I41" s="1167"/>
      <c r="J41" s="1121"/>
      <c r="K41" s="1134"/>
      <c r="L41" s="1135"/>
    </row>
    <row r="42" spans="1:12">
      <c r="A42" s="1186"/>
      <c r="B42" s="1168"/>
      <c r="C42" s="1169"/>
      <c r="D42" s="1169"/>
      <c r="E42" s="1125"/>
      <c r="F42" s="43"/>
      <c r="G42" s="1162"/>
      <c r="H42" s="1163"/>
      <c r="I42" s="1164"/>
      <c r="J42" s="1118"/>
      <c r="K42" s="1132"/>
      <c r="L42" s="1133"/>
    </row>
    <row r="43" spans="1:12" ht="15.75" thickBot="1">
      <c r="A43" s="1187"/>
      <c r="B43" s="1199"/>
      <c r="C43" s="1200"/>
      <c r="D43" s="1200"/>
      <c r="E43" s="1127"/>
      <c r="F43" s="43"/>
      <c r="G43" s="1201"/>
      <c r="H43" s="1202"/>
      <c r="I43" s="1203"/>
      <c r="J43" s="1119"/>
      <c r="K43" s="1136"/>
      <c r="L43" s="1137"/>
    </row>
  </sheetData>
  <sheetProtection password="CFC9" sheet="1"/>
  <mergeCells count="66">
    <mergeCell ref="K18:L19"/>
    <mergeCell ref="G18:I19"/>
    <mergeCell ref="G13:I13"/>
    <mergeCell ref="K22:L23"/>
    <mergeCell ref="K20:L21"/>
    <mergeCell ref="J22:J23"/>
    <mergeCell ref="G16:I17"/>
    <mergeCell ref="J16:J17"/>
    <mergeCell ref="J14:J15"/>
    <mergeCell ref="A32:A43"/>
    <mergeCell ref="G31:I31"/>
    <mergeCell ref="G20:I21"/>
    <mergeCell ref="G22:I23"/>
    <mergeCell ref="B31:E31"/>
    <mergeCell ref="G24:I25"/>
    <mergeCell ref="G38:I39"/>
    <mergeCell ref="B32:E33"/>
    <mergeCell ref="B42:E43"/>
    <mergeCell ref="G42:I43"/>
    <mergeCell ref="G36:I37"/>
    <mergeCell ref="B24:E25"/>
    <mergeCell ref="G32:I33"/>
    <mergeCell ref="A14:A25"/>
    <mergeCell ref="B16:E17"/>
    <mergeCell ref="G14:I15"/>
    <mergeCell ref="B18:E19"/>
    <mergeCell ref="B22:E23"/>
    <mergeCell ref="B20:E21"/>
    <mergeCell ref="J20:J21"/>
    <mergeCell ref="G40:I41"/>
    <mergeCell ref="J18:J19"/>
    <mergeCell ref="B38:E39"/>
    <mergeCell ref="B40:E41"/>
    <mergeCell ref="J40:J41"/>
    <mergeCell ref="J38:J39"/>
    <mergeCell ref="B34:E35"/>
    <mergeCell ref="G34:I35"/>
    <mergeCell ref="J34:J35"/>
    <mergeCell ref="B36:E37"/>
    <mergeCell ref="J24:J25"/>
    <mergeCell ref="J36:J37"/>
    <mergeCell ref="B2:L2"/>
    <mergeCell ref="C4:D4"/>
    <mergeCell ref="K14:L15"/>
    <mergeCell ref="K16:L17"/>
    <mergeCell ref="E3:I3"/>
    <mergeCell ref="J3:K3"/>
    <mergeCell ref="E4:I4"/>
    <mergeCell ref="J4:K4"/>
    <mergeCell ref="E6:I6"/>
    <mergeCell ref="C3:D3"/>
    <mergeCell ref="D5:J5"/>
    <mergeCell ref="B13:E13"/>
    <mergeCell ref="B14:E15"/>
    <mergeCell ref="B10:L11"/>
    <mergeCell ref="K13:L13"/>
    <mergeCell ref="J42:J43"/>
    <mergeCell ref="J32:J33"/>
    <mergeCell ref="K31:L31"/>
    <mergeCell ref="K24:L25"/>
    <mergeCell ref="K34:L35"/>
    <mergeCell ref="K40:L41"/>
    <mergeCell ref="K42:L43"/>
    <mergeCell ref="K36:L37"/>
    <mergeCell ref="K38:L39"/>
    <mergeCell ref="K32:L33"/>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8"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d090553-ac12-4b9f-ace9-08ae9ba4987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BAFB83A586EF4F94E7F07E84C3D94B" ma:contentTypeVersion="9" ma:contentTypeDescription="Create a new document." ma:contentTypeScope="" ma:versionID="39c3ed95a12971a12ad7970962acbfad">
  <xsd:schema xmlns:xsd="http://www.w3.org/2001/XMLSchema" xmlns:xs="http://www.w3.org/2001/XMLSchema" xmlns:p="http://schemas.microsoft.com/office/2006/metadata/properties" xmlns:ns2="0d090553-ac12-4b9f-ace9-08ae9ba49871" xmlns:ns3="b7c0ead1-1596-430a-9f15-fe6efc5e9c7f" targetNamespace="http://schemas.microsoft.com/office/2006/metadata/properties" ma:root="true" ma:fieldsID="b66e2ab7585731966ae03b67c4fbf227" ns2:_="" ns3:_="">
    <xsd:import namespace="0d090553-ac12-4b9f-ace9-08ae9ba49871"/>
    <xsd:import namespace="b7c0ead1-1596-430a-9f15-fe6efc5e9c7f"/>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90553-ac12-4b9f-ace9-08ae9ba49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c0ead1-1596-430a-9f15-fe6efc5e9c7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02EAF0-2AA9-4A84-A04C-8376A13F02F4}">
  <ds:schemaRefs>
    <ds:schemaRef ds:uri="http://schemas.microsoft.com/sharepoint/v3/contenttype/forms"/>
  </ds:schemaRefs>
</ds:datastoreItem>
</file>

<file path=customXml/itemProps2.xml><?xml version="1.0" encoding="utf-8"?>
<ds:datastoreItem xmlns:ds="http://schemas.openxmlformats.org/officeDocument/2006/customXml" ds:itemID="{78DFA6C9-3F96-4413-B912-D348D4E4188B}">
  <ds:schemaRefs>
    <ds:schemaRef ds:uri="http://purl.org/dc/terms/"/>
    <ds:schemaRef ds:uri="http://schemas.openxmlformats.org/package/2006/metadata/core-properties"/>
    <ds:schemaRef ds:uri="http://purl.org/dc/dcmitype/"/>
    <ds:schemaRef ds:uri="http://schemas.microsoft.com/office/infopath/2007/PartnerControls"/>
    <ds:schemaRef ds:uri="0d090553-ac12-4b9f-ace9-08ae9ba49871"/>
    <ds:schemaRef ds:uri="http://purl.org/dc/elements/1.1/"/>
    <ds:schemaRef ds:uri="http://schemas.microsoft.com/office/2006/documentManagement/types"/>
    <ds:schemaRef ds:uri="b7c0ead1-1596-430a-9f15-fe6efc5e9c7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4BEDD7D-9902-4B4A-B43F-BE4842327B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Меню</vt:lpstr>
      <vt:lpstr>Показатели</vt:lpstr>
      <vt:lpstr>Ввод данных</vt:lpstr>
      <vt:lpstr>Сведения о гранте</vt:lpstr>
      <vt:lpstr>Финансирование</vt:lpstr>
      <vt:lpstr>Управление</vt:lpstr>
      <vt:lpstr>Программа</vt:lpstr>
      <vt:lpstr>Рекомендации</vt:lpstr>
      <vt:lpstr>Действия</vt:lpstr>
      <vt:lpstr>Установки</vt:lpstr>
      <vt:lpstr>Акронимы</vt:lpstr>
      <vt:lpstr>Лист1</vt:lpstr>
      <vt:lpstr>Component</vt:lpstr>
      <vt:lpstr>Countries</vt:lpstr>
      <vt:lpstr>Currency</vt:lpstr>
      <vt:lpstr>LFA</vt:lpstr>
      <vt:lpstr>Medicaments</vt:lpstr>
      <vt:lpstr>PERIOD</vt:lpstr>
      <vt:lpstr>Phase</vt:lpstr>
      <vt:lpstr>Действия!Print_Area</vt:lpstr>
      <vt:lpstr>Программа!Print_Area</vt:lpstr>
      <vt:lpstr>Управление!Print_Area</vt:lpstr>
      <vt:lpstr>Финансирование!Print_Area</vt:lpstr>
      <vt:lpstr>PrintA</vt:lpstr>
      <vt:lpstr>PrintDataF</vt:lpstr>
      <vt:lpstr>PrintDataM</vt:lpstr>
      <vt:lpstr>PrintF</vt:lpstr>
      <vt:lpstr>PrintGD</vt:lpstr>
      <vt:lpstr>Действия!PrintM</vt:lpstr>
      <vt:lpstr>PrintM</vt:lpstr>
      <vt:lpstr>PrintP</vt:lpstr>
      <vt:lpstr>PrintR</vt:lpstr>
      <vt:lpstr>Rating</vt:lpstr>
      <vt:lpstr>Round</vt:lpstr>
      <vt:lpstr>мва</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
  <dc:creator>Genc Kastrati</dc:creator>
  <cp:keywords/>
  <dc:description/>
  <cp:lastModifiedBy>Itana Labovic</cp:lastModifiedBy>
  <cp:revision/>
  <dcterms:created xsi:type="dcterms:W3CDTF">2008-11-20T16:06:13Z</dcterms:created>
  <dcterms:modified xsi:type="dcterms:W3CDTF">2019-04-09T08:45:36Z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y fmtid="{D5CDD505-2E9C-101B-9397-08002B2CF9AE}" pid="28" name="ContentTypeId">
    <vt:lpwstr>0x0101004EBAFB83A586EF4F94E7F07E84C3D94B</vt:lpwstr>
  </property>
  <property fmtid="{D5CDD505-2E9C-101B-9397-08002B2CF9AE}" pid="29" name="AuthorIds_UIVersion_512">
    <vt:lpwstr>21</vt:lpwstr>
  </property>
  <property fmtid="{D5CDD505-2E9C-101B-9397-08002B2CF9AE}" pid="30" name="AuthorIds_UIVersion_1024">
    <vt:lpwstr>21</vt:lpwstr>
  </property>
  <property fmtid="{D5CDD505-2E9C-101B-9397-08002B2CF9AE}" pid="31" name="AuthorIds_UIVersion_40960">
    <vt:lpwstr>13</vt:lpwstr>
  </property>
  <property fmtid="{D5CDD505-2E9C-101B-9397-08002B2CF9AE}" pid="32" name="AuthorIds_UIVersion_41472">
    <vt:lpwstr>21</vt:lpwstr>
  </property>
  <property fmtid="{D5CDD505-2E9C-101B-9397-08002B2CF9AE}" pid="33" name="AuthorIds_UIVersion_43008">
    <vt:lpwstr>31,21</vt:lpwstr>
  </property>
</Properties>
</file>