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hidePivotFieldList="1"/>
  <mc:AlternateContent xmlns:mc="http://schemas.openxmlformats.org/markup-compatibility/2006">
    <mc:Choice Requires="x15">
      <x15ac:absPath xmlns:x15ac="http://schemas.microsoft.com/office/spreadsheetml/2010/11/ac" url="/Users/annakatasonova/Documents/PROJECTS/2023_Kyrgyzstan_FR_M4H/KGZ FR/For submission/FINAL/"/>
    </mc:Choice>
  </mc:AlternateContent>
  <xr:revisionPtr revIDLastSave="0" documentId="13_ncr:1_{EE8B0533-B833-3142-8939-743B524738FD}" xr6:coauthVersionLast="47" xr6:coauthVersionMax="47" xr10:uidLastSave="{00000000-0000-0000-0000-000000000000}"/>
  <bookViews>
    <workbookView xWindow="0" yWindow="500" windowWidth="28800" windowHeight="16100" tabRatio="813" activeTab="1" xr2:uid="{00000000-000D-0000-FFFF-FFFF00000000}"/>
  </bookViews>
  <sheets>
    <sheet name="Instructions" sheetId="13" r:id="rId1"/>
    <sheet name="PAAR" sheetId="1" r:id="rId2"/>
    <sheet name="update Helper" sheetId="15" state="veryHidden" r:id="rId3"/>
    <sheet name="PaarLineToUpsert" sheetId="11" state="veryHidden" r:id="rId4"/>
    <sheet name="Existing PAARLIne" sheetId="12" state="veryHidden" r:id="rId5"/>
    <sheet name="Setup" sheetId="8" state="veryHidden" r:id="rId6"/>
    <sheet name="Add Info-Info Supp-Info Ad" sheetId="3" state="veryHidden" r:id="rId7"/>
    <sheet name="Modules" sheetId="6" state="veryHidden" r:id="rId8"/>
    <sheet name="Interventions" sheetId="9" state="veryHidden" r:id="rId9"/>
    <sheet name="PAAR (EN)" sheetId="4" state="hidden" r:id="rId10"/>
    <sheet name="Additional Info (EN)" sheetId="5" state="veryHidden" r:id="rId11"/>
    <sheet name="Dropdown Data" sheetId="2" state="veryHidden" r:id="rId12"/>
    <sheet name="VersionHistory" sheetId="14" state="veryHidden" r:id="rId13"/>
    <sheet name="apttusmetadata" sheetId="7" state="veryHidden" r:id="rId14"/>
  </sheets>
  <definedNames>
    <definedName name="_02ad39f3_57e3_49df_801f_0b57a1bdfb84">Modules!$H$11</definedName>
    <definedName name="_02bdc5b6_f405_4455_84ca_aac645fac99a">Modules!$D$3:$D$4</definedName>
    <definedName name="_047ad507_0de5_47bb_939e_d5a1ca1cadd0">#REF!</definedName>
    <definedName name="_0591a0b2_8a8a_4305_8643_1ab20a3c479a">#REF!</definedName>
    <definedName name="_070ce615_3123_48d1_bc3c_f8a3210e81c9">#REF!</definedName>
    <definedName name="_09ebd902_8633_49ee_8213_ebb31719aa20">#REF!</definedName>
    <definedName name="_0aba1aad_a2db_4f91_bf15_fb17938568c4">Modules!$A$64:$B$64</definedName>
    <definedName name="_0b156c7e_5d2f_4042_9bc9_55e6ef8d1f9e">Modules!$D$2</definedName>
    <definedName name="_0c998168_70c9_4abc_87bd_809173a91101">Modules!$N$11</definedName>
    <definedName name="_0d474f16_35ba_4d92_afba_4a57661e931b">#REF!</definedName>
    <definedName name="_100e0d0a_853d_42fd_ac33_2c0488ef7758">Modules!$A$11:$B$11</definedName>
    <definedName name="_108f5ad8_7393_426d_9f7c_bae12068cdd8">PaarLineToUpsert!$B$1</definedName>
    <definedName name="_12f80f5d_30f8_40b3_940d_52e55da78e79">Modules!$H$8</definedName>
    <definedName name="_1380a560_8917_4a6c_8643_5eaf67a107ec">PAAR!$O$28:$O$263</definedName>
    <definedName name="_1a4d39fd_40f7_4788_ade0_929f28c2fcba">#REF!</definedName>
    <definedName name="_1beb92be_190d_487d_8ba8_7231ac46b0f6" comment="Display Map">Setup!$A$12:$A$14</definedName>
    <definedName name="_1d959eb1_25e0_459c_be70_75087b3e8e5c">Modules!$D$4</definedName>
    <definedName name="_1d9c1b03_f2a0_4739_88c1_656e0cbec465">PaarLineToUpsert!$B$100</definedName>
    <definedName name="_1e83f210_e875_4af6_91e5_ac9c698a0120">Modules!$D$3</definedName>
    <definedName name="_200601b2_d857_4b7b_b9c8_b4b1dcfdbead">Modules!$B$4</definedName>
    <definedName name="_22bfb72b_4ec8_42f9_aba0_ddfc7388dd07">#REF!</definedName>
    <definedName name="_246c9ece_37cf_4f3d_bb58_d0705dabf0a1">Interventions!$B$12</definedName>
    <definedName name="_2a721706_e90e_49c0_9b1b_9fe9a5604342" comment="Display Map">PaarLineToUpsert!$A$1:$AB$1</definedName>
    <definedName name="_2c486d2c_37c1_41e6_8a2a_5b846cc4b116">#REF!</definedName>
    <definedName name="_2d6d22aa_6ffc_4e44_94e1_6b9135bdbe35">#REF!</definedName>
    <definedName name="_2d92d753_f6bf_4a5c_b057_9dc6f5816fb7">PaarLineToUpsert!$F$1</definedName>
    <definedName name="_2e0733e5_9f9a_4068_8140_d34067ae9602">PaarLineToUpsert!$V$1</definedName>
    <definedName name="_2f6b97be_955e_4555_b176_24eda76d7f6e">Modules!$D$3:$E$3</definedName>
    <definedName name="_2fdc3edb_3b18_4068_b529_5df0f3710fc1">PaarLineToUpsert!$AB$1</definedName>
    <definedName name="_36f9532d_a51f_4081_9b33_d12464ae83b3">PaarLineToUpsert!$T$1</definedName>
    <definedName name="_37f5b219_b7be_4068_92cf_9912ba353f53" comment="Display Map">Modules!$A$10:$N$51</definedName>
    <definedName name="_39458981_54f6_4afa_ad0b_1abb0155050c">Modules!$B$3</definedName>
    <definedName name="_3a17e598_913f_4164_9970_95748140b3f3">Modules!$A$11:$A$64</definedName>
    <definedName name="_3bced8e2_f8b6_4fbd_833e_c9cd21a3bbd8">Modules!$D$8</definedName>
    <definedName name="_3da31b3c_25c5_48fa_bc78_7a7c0afe5068">#REF!</definedName>
    <definedName name="_3ed08b87_0856_47c6_ac1b_a0f75fac0829">'Existing PAARLIne'!$B$1</definedName>
    <definedName name="_4165c931_ccea_48b3_b6b8_b79823fbb780">Modules!$A$64:$A$65</definedName>
    <definedName name="_42f04d30_cada_454c_b1b6_632a2aba90a2">Modules!$C$11:$C$240</definedName>
    <definedName name="_43011b08_5bec_4974_8f93_a93601785563">Modules!$H$4:$P$4</definedName>
    <definedName name="_43f42dc0_b49b_49bb_adf2_ff4aa3aeb9af">Modules!$A$11</definedName>
    <definedName name="_4674e4d5_5bf9_49ef_89e0_66eecaf67bfc">'Existing PAARLIne'!$G$1</definedName>
    <definedName name="_47248bf4_333e_4cf5_ab12_1664f6307394">Modules!$H$4</definedName>
    <definedName name="_4a840919_0905_4a1f_b4c7_fac45d99a9b3">PaarLineToUpsert!$R$1</definedName>
    <definedName name="_4b6deeee_22f4_4978_af46_2f3f3b997083">PaarLineToUpsert!$E$1</definedName>
    <definedName name="_4bdaa627_e613_4884_884e_9af563e81977">Interventions!$G$12</definedName>
    <definedName name="_4fcd4c75_0cb5_47e0_80dc_d4dc6d52d7ab">Modules!$F$11</definedName>
    <definedName name="_514f35f9_1e87_4a11_ae79_17984f0da986">Interventions!$F$12</definedName>
    <definedName name="_5252a73d_22e0_4a08_acbd_c5c7556fb6db">Modules!$J$11</definedName>
    <definedName name="_540f1fe9_0285_4ef3_81d9_5887d6ae37cb">Modules!$H$8</definedName>
    <definedName name="_5ac26222_addb_4436_bad3_43781c024c3c">#REF!</definedName>
    <definedName name="_5af35f97_4d7e_4e31_a529_293afd51e986">Modules!$C$7</definedName>
    <definedName name="_5c2decfc_19a2_4428_8964_baa83343b66f">Modules!$D$5</definedName>
    <definedName name="_616a9b6c_adcb_465e_9d12_aece5062f9ff">Modules!$B$7</definedName>
    <definedName name="_63a6d78c_0d06_428d_b1d8_7f467af58f32">PaarLineToUpsert!$N$1</definedName>
    <definedName name="_64dc2789_b7b2_449e_992a_7a5cefa1232a">#REF!</definedName>
    <definedName name="_6a4d5129_3c60_4b5c_99fa_99f187281ae6">PAAR!$N$28:$N$263</definedName>
    <definedName name="_6b76211a_eb2f_4df6_bf55_05a614445cfb">#REF!</definedName>
    <definedName name="_6b9feab1_8a4e_4def_b9ea_d11b120def49">PAAR!$O$29:$O$263</definedName>
    <definedName name="_6c64e49b_420c_49d6_91eb_6f53bed8c310">PaarLineToUpsert!$A$1</definedName>
    <definedName name="_6dc44a77_45e7_49e5_812b_475ed3e55a07">#REF!</definedName>
    <definedName name="_6e9e8a39_dee3_4e13_9c38_382ac0b3a8d9">#REF!</definedName>
    <definedName name="_6fab634e_ba2b_4907_88c0_020129f5d1d5">Modules!$G$4:$O$4</definedName>
    <definedName name="_6fb8cdbb_658c_42c9_baa9_287e8003cb95">Modules!$L$11</definedName>
    <definedName name="_720d31b9_1eed_4b0b_9a73_79810b734349">PaarLineToUpsert!$J$1</definedName>
    <definedName name="_735757ee_ca56_403a_ba6d_821953adfaa1">Interventions!$J$12</definedName>
    <definedName name="_73f03a02_08ee_43fe_bf22_aec38a69449f">#REF!</definedName>
    <definedName name="_76895d3d_8612_4598_992e_68a7a3b1bec0">'Existing PAARLIne'!$C$1</definedName>
    <definedName name="_77e8fde8_f32c_4bc9_9276_d7590ae5c138">PaarLineToUpsert!$P$1</definedName>
    <definedName name="_77efa5dd_9430_4266_9106_060c94e3525f">Modules!$D$7</definedName>
    <definedName name="_812dedd1_2c6c_4c44_8c10_33ccc07a0874">#REF!</definedName>
    <definedName name="_83b4b2b1_91da_4273_bb28_92579fd58b98" comment="Display Map">'Existing PAARLIne'!$A$1:$G$1</definedName>
    <definedName name="_84f4f1c9_46d9_4d50_a578_70a0e140218e">Interventions!$I$12</definedName>
    <definedName name="_8a19c987_bb5e_4dd5_b228_3f858988819f">Modules!$D$11:$D$240</definedName>
    <definedName name="_8a4875f0_12c9_4b27_9d65_fc9de4040357">Modules!$G$11</definedName>
    <definedName name="_8f344467_b212_4f30_865e_c1a9a47a40bc">Setup!#REF!</definedName>
    <definedName name="_90e46fc3_f809_4552_b375_91a622371daf">#REF!</definedName>
    <definedName name="_92fd79a5_236d_4c37_8d93_672656baa59d">Modules!$H$8</definedName>
    <definedName name="_9304c1bc_2668_4278_9e71_ddc6244bac56">#REF!</definedName>
    <definedName name="_94903140_df63_4838_b151_057f4b07305d">'Existing PAARLIne'!$A$1</definedName>
    <definedName name="_955d5dfa_899b_4044_bb68_9f852088faad">Modules!$C$11</definedName>
    <definedName name="_98683e66_00c0_4421_8d8e_08e5bd010020">PaarLineToUpsert!$G$1</definedName>
    <definedName name="_98e9a85d_eea9_4a6f_9d7b_2208ff60b346">Interventions!$K$12</definedName>
    <definedName name="_9b1a1afa_6ff0_4b63_99c7_81e1448db497">Interventions!$C$12</definedName>
    <definedName name="_9ba6467f_1a3c_46cc_8b00_e1d278f76930">#REF!</definedName>
    <definedName name="_9be834b4_a26b_4262_908b_a17288c66a03">Modules!$F$8</definedName>
    <definedName name="_9da8dd00_1f7a_4f7b_a91f_078e0576ce12">#REF!</definedName>
    <definedName name="_9dca9c75_8637_4106_a7b1_ad0381862a53">Modules!$B$11:$B$240</definedName>
    <definedName name="_9e96ca77_1790_44ec_a8d5_50df6a1f7de2">#REF!</definedName>
    <definedName name="_9fab802b_0c12_4609_9f3c_8910b7c9e5c8">Modules!$B$6</definedName>
    <definedName name="_a1d533d9_df5e_42e8_8414_1323202425d7">Interventions!$O$12</definedName>
    <definedName name="_a4dfd19b_fdd0_42da_b0cc_554867fbfe15">#REF!</definedName>
    <definedName name="_a675865b_d1cf_41a8_b436_12dfc45ca429">Modules!$H$3</definedName>
    <definedName name="_ae238f09_06b7_4710_962a_a5f6a9de8456">Modules!$H$3:$P$3</definedName>
    <definedName name="_af5011ab_4e53_4d71_affa_123aefec96be">#REF!</definedName>
    <definedName name="_b08a4c41_6e06_41b4_8de7_d7d4c4a5b0d0">Modules!$B$11:$B$64</definedName>
    <definedName name="_b1e6fc1c_8ed8_4170_9175_366ea26d1fbd">Modules!$A$53</definedName>
    <definedName name="_b49f5148_45f2_4444_969f_cb60a476e6aa">Modules!$D$4:$E$4</definedName>
    <definedName name="_b6a4f94b_ee15_4a63_8b89_d8440a33b91b">#REF!</definedName>
    <definedName name="_b8f2278a_3ec8_4112_a3eb_25ec845c7165">#REF!</definedName>
    <definedName name="_ba4716e8_d1f2_4b6f_a64b_6cd058691c18">Setup!$A$13</definedName>
    <definedName name="_bc7903d4_63ad_46e5_8193_415282ed7994">Interventions!$N$12</definedName>
    <definedName name="_bd1a71fb_21a6_4736_8941_5128f28a0c38">Modules!$B$2</definedName>
    <definedName name="_c33428e4_6095_46db_b4fd_df3facaf1c60">Modules!$C$64</definedName>
    <definedName name="_c42e2362_c27a_4990_84c5_bf06079e3898">Modules!$A$64</definedName>
    <definedName name="_c4b1b70f_1237_4bc6_aac4_6ff4977dfc62">'Existing PAARLIne'!$F$1</definedName>
    <definedName name="_c5cff771_23ab_44f7_9663_1de9c3739a86" comment="Save Map">#REF!</definedName>
    <definedName name="_cf51b15d_67aa_47fe_831c_8acb1e0e9d34">Modules!$F$8</definedName>
    <definedName name="_d0064c2b_0aeb_4816_8653_31fa97b5d2d5">#REF!</definedName>
    <definedName name="_d5b554a5_3731_48ea_93b6_8db7689f1201">#REF!</definedName>
    <definedName name="_d60c1176_8250_4608_ba63_a3aa2999088d" comment="Display Map">Interventions!$B$11:$O$177</definedName>
    <definedName name="_db4b1b89_8651_496d_8cb6_16c45a5d864e">#REF!</definedName>
    <definedName name="_dcd4cc59_87ef_4a87_8aa9_7e94ddb8dd5a">PaarLineToUpsert!$B$101</definedName>
    <definedName name="_dfdd069c_10df_4b39_b965_c3296140e6ef">#REF!</definedName>
    <definedName name="_e25ecbd0_9feb_4e3e_9eba_16e28d17c524">PaarLineToUpsert!$C$1</definedName>
    <definedName name="_e45597d6_9c00_43b4_ae77_a14c81a0440d">#REF!</definedName>
    <definedName name="_e4c8271d_d40f_4888_afea_cbecb5fefcf5">#REF!</definedName>
    <definedName name="_e61f5e65_2380_4c24_a2fc_986f3a3bdaa3">PaarLineToUpsert!$D$1</definedName>
    <definedName name="_e7531f29_fe42_42f2_b46f_bfe48c63b6bb">Modules!$D$6</definedName>
    <definedName name="_e7d4b179_9104_4315_9a8a_c820e3a6689e">#REF!</definedName>
    <definedName name="_f286ecd9_5053_4e73_b002_325ea2e11a14">PaarLineToUpsert!$L$1</definedName>
    <definedName name="_f6b2f159_6c81_4d6a_82a6_2d671899269c">Modules!$D$11</definedName>
    <definedName name="_fcb0a822_ddff_4280_a0bf_4334a6e3465f">PaarLineToUpsert!$O$1</definedName>
    <definedName name="_ffcb7369_0e6a_488d_b74d_d05766e525a6">PaarLineToUpsert!$H$1</definedName>
    <definedName name="_xlnm._FilterDatabase" localSheetId="7" hidden="1">Modules!$C$10:$C$70</definedName>
    <definedName name="ADD_Intervention">OFFSET('Dropdown Data'!$P$6,MATCH(1,('Dropdown Data'!$N$7:$N$580=PAAR!$B$10)*('Dropdown Data'!$O$7:$O$580='Add Info-Info Supp-Info Ad'!$A1),0),0,COUNTIFS('Dropdown Data'!$N$7:$N$580,PAAR!$B$10,'Dropdown Data'!$O$7:$O$580,'Add Info-Info Supp-Info Ad'!$A1),1)</definedName>
    <definedName name="AIM_Funding_Request__c.AIM_Funding_Request_Currency__c">apttusmetadata!$AA$2:$AA$160</definedName>
    <definedName name="AIM_Funding_Request__c.AIM_TRP_Review_Outcome__c">apttusmetadata!$AB$2:$AB$4</definedName>
    <definedName name="AIM_Funding_Request__c.PAAR_Status__c">apttusmetadata!$AC$2:$AC$7</definedName>
    <definedName name="Applicant_Priority_Rating">OFFSET(PAAR!$O27,-COUNTA('Existing PAARLIne'!$B$1:B120),)</definedName>
    <definedName name="Brief_Rationale">OFFSET(PAAR!$G27,-COUNTA('Existing PAARLIne'!$B$1:B120),)</definedName>
    <definedName name="external_ID">OFFSET(PAAR!$N27,-moveReference,)</definedName>
    <definedName name="_xlnm.Extract" localSheetId="7">Modules!$I$10:$I$166</definedName>
    <definedName name="Intervention">OFFSET('Dropdown Data'!$P$6,MATCH(1,('Dropdown Data'!$N$7:$N$580=PAAR!$B$10)*('Dropdown Data'!$O$7:$O$580=PAAR!$B1),0),0,COUNTIFS('Dropdown Data'!$N$7:$N$580,PAAR!$B$10,'Dropdown Data'!$O$7:$O$580,PAAR!$B1),1)</definedName>
    <definedName name="InterventionDependentListTest">INDIRECT("Interventions!E:E")</definedName>
    <definedName name="InterventionNameList">Interventions!$M$12:INDEX(Interventions!$M$12:$M$178,SUMPRODUCT(--(Interventions!$M$12:$M2&lt;&gt;"")))</definedName>
    <definedName name="InterventionsDependentList">INDIRECT("Interventions!E"&amp;PAAR!S1 &amp; ":E" &amp;PAAR!T1)</definedName>
    <definedName name="InterventionsTranslate">IF(PAAR!$B$10 = 'Dropdown Data'!$F$7,Interventions!$B1,IF(PAAR!$B$10 = 'Dropdown Data'!$F$10,Interventions!$I1,IF(PAAR!$B$10 = 'Dropdown Data'!$F$13,Interventions!$J1,"")))</definedName>
    <definedName name="L1FR_PAAR_UQD_Intervention__c.L1FR_Applicant_Priority_Rating__c">apttusmetadata!$AE$2:$AE$4</definedName>
    <definedName name="L1FR_PAAR_UQD_Intervention__c.L1FR_Status__c">apttusmetadata!$AF$2:$AF$6</definedName>
    <definedName name="L1FR_PAAR_UQD_Intervention__c.L1FR_TRP_Priority__c">apttusmetadata!$AD$2:$AD$5</definedName>
    <definedName name="list">#REF!</definedName>
    <definedName name="Module">OFFSET('Dropdown Data'!$L$6,MATCH(1,('Dropdown Data'!$J$7:$J$322=PAAR!$B$10)*('Dropdown Data'!$K$7:$K$322=PAAR!$B$14),0),0,COUNTIFS('Dropdown Data'!$J$7:$J$322,PAAR!$B$10,'Dropdown Data'!$K$7:$K$322,PAAR!$B$14),1)</definedName>
    <definedName name="ModuleNameList">Modules!$I$11:INDEX(Modules!$I$11:$I$52,SUMPRODUCT(--(Modules!$I$11:$I$52&gt;""))-1)</definedName>
    <definedName name="ModuleStart">Interventions!$C$11:$C$179</definedName>
    <definedName name="moveReference">COUNTA('Existing PAARLIne'!$B$1:B120)</definedName>
    <definedName name="PICKLISTKEYVALUEPAIR">apttusmetadata!$Y$1:$Z$2</definedName>
    <definedName name="_xlnm.Print_Area" localSheetId="6">'Add Info-Info Supp-Info Ad'!$A$1:$V$35</definedName>
    <definedName name="_xlnm.Print_Area" localSheetId="10">'Additional Info (EN)'!$A$1:$V$35</definedName>
    <definedName name="_xlnm.Print_Area" localSheetId="1">PAAR!$A$1:$O$116</definedName>
    <definedName name="_xlnm.Print_Area" localSheetId="9">'PAAR (EN)'!$A$1:$J$116</definedName>
    <definedName name="Record_ID">VLOOKUP(OFFSET(PAAR!$N27,-moveReference,),'Existing PAARLIne'!XEZ:XFB,2,0)</definedName>
    <definedName name="TranslatemoduleName">IF(PAAR!$B$10 = 'Dropdown Data'!$F$7,Modules!$E1,IF(PAAR!$B$10 = 'Dropdown Data'!$F$10,Modules!$F1,IF(PAAR!$B$10 = 'Dropdown Data'!$F$13,Modules!$G1,"")))</definedName>
    <definedName name="Translation__Brief_Rationale">OFFSET(PAAR!$I27,-moveReference,)</definedName>
    <definedName name="TRP_Notes">OFFSET('PAAR (EN)'!#REF!,-moveReference,)</definedName>
    <definedName name="XAE_Invalid_PLData">apttusmetadata!$B$1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1" l="1"/>
  <c r="D44" i="1"/>
  <c r="D43" i="1"/>
  <c r="D41" i="1"/>
  <c r="D32" i="1"/>
  <c r="D30" i="1"/>
  <c r="D29" i="1"/>
  <c r="L177" i="9" l="1"/>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40" i="9"/>
  <c r="E38" i="9"/>
  <c r="E32" i="9"/>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E51" i="6"/>
  <c r="E51" i="9" s="1"/>
  <c r="E50" i="6"/>
  <c r="E50" i="9" s="1"/>
  <c r="E49" i="6"/>
  <c r="E49" i="9" s="1"/>
  <c r="E48" i="6"/>
  <c r="E48" i="9" s="1"/>
  <c r="E47" i="6"/>
  <c r="E47" i="9" s="1"/>
  <c r="E46" i="6"/>
  <c r="E46" i="9" s="1"/>
  <c r="E45" i="6"/>
  <c r="E45" i="9" s="1"/>
  <c r="E44" i="6"/>
  <c r="E44" i="9" s="1"/>
  <c r="E43" i="6"/>
  <c r="E43" i="9" s="1"/>
  <c r="E42" i="6"/>
  <c r="E42" i="9" s="1"/>
  <c r="E41" i="6"/>
  <c r="E41" i="9" s="1"/>
  <c r="E40" i="6"/>
  <c r="E39" i="6"/>
  <c r="E39" i="9" s="1"/>
  <c r="E38" i="6"/>
  <c r="E37" i="6"/>
  <c r="E37" i="9" s="1"/>
  <c r="E36" i="6"/>
  <c r="E36" i="9" s="1"/>
  <c r="E35" i="6"/>
  <c r="E35" i="9" s="1"/>
  <c r="E34" i="6"/>
  <c r="E34" i="9" s="1"/>
  <c r="E33" i="6"/>
  <c r="E33" i="9" s="1"/>
  <c r="E32" i="6"/>
  <c r="E31" i="6"/>
  <c r="E31" i="9" s="1"/>
  <c r="E30" i="6"/>
  <c r="E30" i="9" s="1"/>
  <c r="E29" i="6"/>
  <c r="E29" i="9" s="1"/>
  <c r="E28" i="6"/>
  <c r="E28" i="9" s="1"/>
  <c r="E27" i="6"/>
  <c r="E27" i="9" s="1"/>
  <c r="E26" i="6"/>
  <c r="E26" i="9" s="1"/>
  <c r="E25" i="6"/>
  <c r="E25" i="9" s="1"/>
  <c r="E24" i="6"/>
  <c r="E24" i="9" s="1"/>
  <c r="E23" i="6"/>
  <c r="E23" i="9" s="1"/>
  <c r="E22" i="6"/>
  <c r="E22" i="9" s="1"/>
  <c r="E21" i="6"/>
  <c r="E21" i="9" s="1"/>
  <c r="E20" i="6"/>
  <c r="E20" i="9" s="1"/>
  <c r="E19" i="6"/>
  <c r="E19" i="9" s="1"/>
  <c r="E18" i="6"/>
  <c r="E18" i="9" s="1"/>
  <c r="E17" i="6"/>
  <c r="E17" i="9" s="1"/>
  <c r="E16" i="6"/>
  <c r="E16" i="9" s="1"/>
  <c r="E15" i="6"/>
  <c r="E15" i="9" s="1"/>
  <c r="E14" i="6"/>
  <c r="E14" i="9" s="1"/>
  <c r="E13" i="6"/>
  <c r="E13" i="9" s="1"/>
  <c r="E12" i="6"/>
  <c r="C51" i="6"/>
  <c r="C50" i="6"/>
  <c r="C49" i="6"/>
  <c r="C48" i="6"/>
  <c r="C47"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6"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29" i="1"/>
  <c r="C46" i="6" l="1"/>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29" i="4"/>
  <c r="D29" i="4" l="1"/>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E10" i="1"/>
  <c r="D10" i="1"/>
  <c r="C10" i="1" l="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29" i="1"/>
  <c r="A52" i="13"/>
  <c r="I28" i="1"/>
  <c r="H28" i="1"/>
  <c r="B48" i="13"/>
  <c r="A48" i="13"/>
  <c r="B46" i="13"/>
  <c r="A46" i="13"/>
  <c r="B45" i="13"/>
  <c r="B44" i="13"/>
  <c r="B43" i="13"/>
  <c r="A43" i="13"/>
  <c r="A50" i="13"/>
  <c r="I31" i="1"/>
  <c r="I33" i="1"/>
  <c r="I35" i="1"/>
  <c r="I37" i="1"/>
  <c r="I39" i="1"/>
  <c r="I41" i="1"/>
  <c r="I43" i="1"/>
  <c r="I45" i="1"/>
  <c r="I47" i="1"/>
  <c r="I49" i="1"/>
  <c r="I51" i="1"/>
  <c r="I53" i="1"/>
  <c r="I55" i="1"/>
  <c r="I57" i="1"/>
  <c r="I59" i="1"/>
  <c r="I61" i="1"/>
  <c r="I63" i="1"/>
  <c r="I65" i="1"/>
  <c r="I67" i="1"/>
  <c r="I69" i="1"/>
  <c r="I71" i="1"/>
  <c r="I73" i="1"/>
  <c r="I75" i="1"/>
  <c r="I77" i="1"/>
  <c r="I79" i="1"/>
  <c r="I81" i="1"/>
  <c r="I83" i="1"/>
  <c r="I85" i="1"/>
  <c r="I87" i="1"/>
  <c r="I89" i="1"/>
  <c r="I91" i="1"/>
  <c r="I93" i="1"/>
  <c r="I95" i="1"/>
  <c r="I97" i="1"/>
  <c r="I99" i="1"/>
  <c r="I101" i="1"/>
  <c r="I103" i="1"/>
  <c r="I105" i="1"/>
  <c r="I107" i="1"/>
  <c r="I109" i="1"/>
  <c r="I111" i="1"/>
  <c r="I113" i="1"/>
  <c r="I115" i="1"/>
  <c r="P2" i="11"/>
  <c r="L2" i="11"/>
  <c r="D2" i="11"/>
  <c r="C2" i="11"/>
  <c r="A2" i="11"/>
  <c r="I32" i="1"/>
  <c r="I34" i="1"/>
  <c r="I36" i="1"/>
  <c r="I38" i="1"/>
  <c r="I40" i="1"/>
  <c r="I42" i="1"/>
  <c r="I44" i="1"/>
  <c r="I46" i="1"/>
  <c r="I48" i="1"/>
  <c r="I50" i="1"/>
  <c r="I52" i="1"/>
  <c r="I54" i="1"/>
  <c r="I56" i="1"/>
  <c r="I58" i="1"/>
  <c r="I60" i="1"/>
  <c r="I62" i="1"/>
  <c r="I64" i="1"/>
  <c r="I66" i="1"/>
  <c r="I68" i="1"/>
  <c r="I70" i="1"/>
  <c r="I72" i="1"/>
  <c r="I74" i="1"/>
  <c r="I76" i="1"/>
  <c r="I78" i="1"/>
  <c r="I80" i="1"/>
  <c r="I82" i="1"/>
  <c r="I84" i="1"/>
  <c r="I86" i="1"/>
  <c r="I88" i="1"/>
  <c r="I90" i="1"/>
  <c r="I92" i="1"/>
  <c r="I94" i="1"/>
  <c r="I96" i="1"/>
  <c r="I98" i="1"/>
  <c r="I100" i="1"/>
  <c r="I102" i="1"/>
  <c r="I104" i="1"/>
  <c r="I106" i="1"/>
  <c r="I108" i="1"/>
  <c r="I110" i="1"/>
  <c r="I112" i="1"/>
  <c r="I114" i="1"/>
  <c r="I116"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29" i="1"/>
  <c r="K30" i="4"/>
  <c r="I30" i="1" s="1"/>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29" i="4"/>
  <c r="H117" i="4" l="1"/>
  <c r="H117" i="1" s="1"/>
  <c r="B18" i="1" s="1"/>
  <c r="B18" i="4" s="1"/>
  <c r="I117" i="4"/>
  <c r="I117" i="1" s="1"/>
  <c r="I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29" i="1"/>
  <c r="A18" i="4"/>
  <c r="A17" i="4"/>
  <c r="B16" i="4"/>
  <c r="A16" i="4"/>
  <c r="B15" i="4"/>
  <c r="A15" i="4"/>
  <c r="B14" i="4"/>
  <c r="A14" i="4"/>
  <c r="B13" i="4"/>
  <c r="A13" i="4"/>
  <c r="A12" i="4"/>
  <c r="B42" i="13"/>
  <c r="A42" i="13"/>
  <c r="B41" i="13"/>
  <c r="A41" i="13"/>
  <c r="B40" i="13"/>
  <c r="B39" i="13"/>
  <c r="A39" i="13"/>
  <c r="B38" i="13"/>
  <c r="B37" i="13"/>
  <c r="B36" i="13"/>
  <c r="B35" i="13"/>
  <c r="A35" i="13"/>
  <c r="A34" i="13"/>
  <c r="A33" i="13"/>
  <c r="A31" i="13"/>
  <c r="A30" i="13"/>
  <c r="B28" i="13"/>
  <c r="A28" i="13"/>
  <c r="B27" i="13"/>
  <c r="A27" i="13"/>
  <c r="B26" i="13"/>
  <c r="A26" i="13"/>
  <c r="A25" i="13"/>
  <c r="A23" i="13"/>
  <c r="A22" i="13"/>
  <c r="A20" i="13"/>
  <c r="A19" i="13"/>
  <c r="A18" i="13"/>
  <c r="A17" i="13"/>
  <c r="A16" i="13"/>
  <c r="A15" i="13"/>
  <c r="A13" i="13"/>
  <c r="A9" i="13"/>
  <c r="A8" i="13"/>
  <c r="A7" i="13"/>
  <c r="A6" i="13"/>
  <c r="A4" i="13"/>
  <c r="B52" i="13"/>
  <c r="B100" i="11"/>
  <c r="AF30" i="1"/>
  <c r="AF31" i="1"/>
  <c r="AG31" i="1" s="1"/>
  <c r="AF32" i="1"/>
  <c r="AG32" i="1" s="1"/>
  <c r="AF33" i="1"/>
  <c r="AG33" i="1" s="1"/>
  <c r="AF34" i="1"/>
  <c r="AG34" i="1" s="1"/>
  <c r="AF35" i="1"/>
  <c r="AG35" i="1" s="1"/>
  <c r="AF36" i="1"/>
  <c r="AG36" i="1" s="1"/>
  <c r="AF37" i="1"/>
  <c r="AG37" i="1" s="1"/>
  <c r="AF38" i="1"/>
  <c r="AG38" i="1" s="1"/>
  <c r="AF39" i="1"/>
  <c r="AG39" i="1" s="1"/>
  <c r="AF40" i="1"/>
  <c r="AG40" i="1" s="1"/>
  <c r="AF41" i="1"/>
  <c r="AG41" i="1" s="1"/>
  <c r="AF42" i="1"/>
  <c r="AG42" i="1" s="1"/>
  <c r="AF43" i="1"/>
  <c r="AG43" i="1" s="1"/>
  <c r="AF44" i="1"/>
  <c r="AG44" i="1" s="1"/>
  <c r="AF45" i="1"/>
  <c r="AG45" i="1" s="1"/>
  <c r="AF46" i="1"/>
  <c r="AG46" i="1" s="1"/>
  <c r="AF47" i="1"/>
  <c r="AG47" i="1" s="1"/>
  <c r="AF48" i="1"/>
  <c r="AG48" i="1" s="1"/>
  <c r="AF49" i="1"/>
  <c r="AG49" i="1" s="1"/>
  <c r="AF50" i="1"/>
  <c r="AG50" i="1" s="1"/>
  <c r="AF51" i="1"/>
  <c r="AG51" i="1" s="1"/>
  <c r="AF52" i="1"/>
  <c r="AG52" i="1" s="1"/>
  <c r="AF53" i="1"/>
  <c r="AG53" i="1" s="1"/>
  <c r="AF54" i="1"/>
  <c r="AG54" i="1" s="1"/>
  <c r="AF55" i="1"/>
  <c r="AG55" i="1" s="1"/>
  <c r="AF56" i="1"/>
  <c r="AG56" i="1" s="1"/>
  <c r="AF57" i="1"/>
  <c r="AG57" i="1" s="1"/>
  <c r="AF58" i="1"/>
  <c r="AG58" i="1" s="1"/>
  <c r="AF59" i="1"/>
  <c r="AG59" i="1" s="1"/>
  <c r="AF60" i="1"/>
  <c r="AG60" i="1" s="1"/>
  <c r="AF61" i="1"/>
  <c r="AG61" i="1" s="1"/>
  <c r="AF62" i="1"/>
  <c r="AG62" i="1" s="1"/>
  <c r="AF63" i="1"/>
  <c r="AG63" i="1" s="1"/>
  <c r="AF64" i="1"/>
  <c r="AG64" i="1" s="1"/>
  <c r="AF65" i="1"/>
  <c r="AG65" i="1" s="1"/>
  <c r="AF66" i="1"/>
  <c r="AG66" i="1" s="1"/>
  <c r="AF67" i="1"/>
  <c r="AG67" i="1" s="1"/>
  <c r="AF68" i="1"/>
  <c r="AG68" i="1" s="1"/>
  <c r="AF69" i="1"/>
  <c r="AG69" i="1" s="1"/>
  <c r="AF70" i="1"/>
  <c r="AG70" i="1" s="1"/>
  <c r="AF71" i="1"/>
  <c r="AG71" i="1" s="1"/>
  <c r="AF72" i="1"/>
  <c r="AG72" i="1" s="1"/>
  <c r="AF73" i="1"/>
  <c r="AG73" i="1" s="1"/>
  <c r="AF74" i="1"/>
  <c r="AG74" i="1" s="1"/>
  <c r="AF75" i="1"/>
  <c r="AG75" i="1" s="1"/>
  <c r="AF76" i="1"/>
  <c r="AG76" i="1" s="1"/>
  <c r="AF77" i="1"/>
  <c r="AG77" i="1" s="1"/>
  <c r="AF78" i="1"/>
  <c r="AG78" i="1" s="1"/>
  <c r="AF79" i="1"/>
  <c r="AG79" i="1" s="1"/>
  <c r="AF80" i="1"/>
  <c r="AG80" i="1" s="1"/>
  <c r="AF81" i="1"/>
  <c r="AG81" i="1" s="1"/>
  <c r="AF82" i="1"/>
  <c r="AG82" i="1" s="1"/>
  <c r="AF83" i="1"/>
  <c r="AG83" i="1" s="1"/>
  <c r="AF84" i="1"/>
  <c r="AG84" i="1" s="1"/>
  <c r="AF85" i="1"/>
  <c r="AG85" i="1" s="1"/>
  <c r="AF86" i="1"/>
  <c r="AG86" i="1" s="1"/>
  <c r="AF87" i="1"/>
  <c r="AG87" i="1" s="1"/>
  <c r="AF88" i="1"/>
  <c r="AG88" i="1" s="1"/>
  <c r="AF89" i="1"/>
  <c r="AG89" i="1" s="1"/>
  <c r="AF90" i="1"/>
  <c r="AG90" i="1" s="1"/>
  <c r="AF91" i="1"/>
  <c r="AG91" i="1" s="1"/>
  <c r="AF92" i="1"/>
  <c r="AG92" i="1" s="1"/>
  <c r="AF93" i="1"/>
  <c r="AG93" i="1" s="1"/>
  <c r="AF94" i="1"/>
  <c r="AG94" i="1" s="1"/>
  <c r="AF95" i="1"/>
  <c r="AG95" i="1" s="1"/>
  <c r="AF96" i="1"/>
  <c r="AG96" i="1" s="1"/>
  <c r="AF97" i="1"/>
  <c r="AG97" i="1" s="1"/>
  <c r="AF98" i="1"/>
  <c r="AG98" i="1" s="1"/>
  <c r="AF99" i="1"/>
  <c r="AG99" i="1" s="1"/>
  <c r="AF100" i="1"/>
  <c r="AG100" i="1" s="1"/>
  <c r="AF101" i="1"/>
  <c r="AG101" i="1" s="1"/>
  <c r="AF102" i="1"/>
  <c r="AG102" i="1" s="1"/>
  <c r="AF103" i="1"/>
  <c r="AG103" i="1" s="1"/>
  <c r="AF104" i="1"/>
  <c r="AG104" i="1" s="1"/>
  <c r="AF105" i="1"/>
  <c r="AG105" i="1" s="1"/>
  <c r="AF106" i="1"/>
  <c r="AG106" i="1" s="1"/>
  <c r="AF107" i="1"/>
  <c r="AG107" i="1" s="1"/>
  <c r="AF108" i="1"/>
  <c r="AG108" i="1" s="1"/>
  <c r="AF109" i="1"/>
  <c r="AG109" i="1" s="1"/>
  <c r="AF110" i="1"/>
  <c r="AG110" i="1" s="1"/>
  <c r="AF111" i="1"/>
  <c r="AG111" i="1" s="1"/>
  <c r="AF112" i="1"/>
  <c r="AG112" i="1" s="1"/>
  <c r="AF113" i="1"/>
  <c r="AG113" i="1" s="1"/>
  <c r="AF114" i="1"/>
  <c r="AG114" i="1" s="1"/>
  <c r="AF115" i="1"/>
  <c r="AG115" i="1" s="1"/>
  <c r="AF116" i="1"/>
  <c r="AG116" i="1" s="1"/>
  <c r="AG30" i="1" l="1"/>
  <c r="AF29" i="1"/>
  <c r="AG29" i="1" s="1"/>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29" i="4"/>
  <c r="E57" i="1" l="1"/>
  <c r="E57" i="4" s="1"/>
  <c r="E58" i="1"/>
  <c r="E58" i="4" s="1"/>
  <c r="E59" i="1"/>
  <c r="E59" i="4" s="1"/>
  <c r="E60" i="1"/>
  <c r="E60" i="4" s="1"/>
  <c r="E61" i="1"/>
  <c r="E61" i="4" s="1"/>
  <c r="E62" i="1"/>
  <c r="E62" i="4" s="1"/>
  <c r="E63" i="1"/>
  <c r="E63" i="4" s="1"/>
  <c r="E64" i="1"/>
  <c r="E64" i="4" s="1"/>
  <c r="E65" i="1"/>
  <c r="E65" i="4" s="1"/>
  <c r="E66" i="1"/>
  <c r="E66" i="4" s="1"/>
  <c r="E67" i="1"/>
  <c r="E67" i="4" s="1"/>
  <c r="E68" i="1"/>
  <c r="E68" i="4" s="1"/>
  <c r="E69" i="1"/>
  <c r="E69" i="4" s="1"/>
  <c r="E70" i="1"/>
  <c r="E70" i="4" s="1"/>
  <c r="E71" i="1"/>
  <c r="E71" i="4" s="1"/>
  <c r="E72" i="1"/>
  <c r="E72" i="4" s="1"/>
  <c r="E73" i="1"/>
  <c r="E73" i="4" s="1"/>
  <c r="E74" i="1"/>
  <c r="E74" i="4" s="1"/>
  <c r="E75" i="1"/>
  <c r="E75" i="4" s="1"/>
  <c r="E76" i="1"/>
  <c r="E76" i="4" s="1"/>
  <c r="E77" i="1"/>
  <c r="E77" i="4" s="1"/>
  <c r="E78" i="1"/>
  <c r="E78" i="4" s="1"/>
  <c r="E79" i="1"/>
  <c r="E79" i="4" s="1"/>
  <c r="E80" i="1"/>
  <c r="E80" i="4" s="1"/>
  <c r="E81" i="1"/>
  <c r="E81" i="4" s="1"/>
  <c r="E82" i="1"/>
  <c r="E82" i="4" s="1"/>
  <c r="E83" i="1"/>
  <c r="E83" i="4" s="1"/>
  <c r="E84" i="1"/>
  <c r="E84" i="4" s="1"/>
  <c r="E85" i="1"/>
  <c r="E85" i="4" s="1"/>
  <c r="E86" i="1"/>
  <c r="E86" i="4" s="1"/>
  <c r="E87" i="1"/>
  <c r="E87" i="4" s="1"/>
  <c r="E88" i="1"/>
  <c r="E88" i="4" s="1"/>
  <c r="E89" i="1"/>
  <c r="E89" i="4" s="1"/>
  <c r="E90" i="1"/>
  <c r="E90" i="4" s="1"/>
  <c r="E91" i="1"/>
  <c r="E91" i="4" s="1"/>
  <c r="E92" i="1"/>
  <c r="E92" i="4" s="1"/>
  <c r="E93" i="1"/>
  <c r="E93" i="4" s="1"/>
  <c r="E94" i="1"/>
  <c r="E94" i="4" s="1"/>
  <c r="E95" i="1"/>
  <c r="E95" i="4" s="1"/>
  <c r="E96" i="1"/>
  <c r="E96" i="4" s="1"/>
  <c r="E97" i="1"/>
  <c r="E97" i="4" s="1"/>
  <c r="E98" i="1"/>
  <c r="E98" i="4" s="1"/>
  <c r="E99" i="1"/>
  <c r="E99" i="4" s="1"/>
  <c r="E100" i="1"/>
  <c r="E100" i="4" s="1"/>
  <c r="E101" i="1"/>
  <c r="E101" i="4" s="1"/>
  <c r="E102" i="1"/>
  <c r="E102" i="4" s="1"/>
  <c r="E103" i="1"/>
  <c r="E103" i="4" s="1"/>
  <c r="E104" i="1"/>
  <c r="E104" i="4" s="1"/>
  <c r="E105" i="1"/>
  <c r="E105" i="4" s="1"/>
  <c r="E106" i="1"/>
  <c r="E106" i="4" s="1"/>
  <c r="E107" i="1"/>
  <c r="E107" i="4" s="1"/>
  <c r="E108" i="1"/>
  <c r="E108" i="4" s="1"/>
  <c r="E109" i="1"/>
  <c r="E109" i="4" s="1"/>
  <c r="E110" i="1"/>
  <c r="E110" i="4" s="1"/>
  <c r="E111" i="1"/>
  <c r="E111" i="4" s="1"/>
  <c r="E112" i="1"/>
  <c r="E112" i="4" s="1"/>
  <c r="E113" i="1"/>
  <c r="E113" i="4" s="1"/>
  <c r="E114" i="1"/>
  <c r="E114" i="4" s="1"/>
  <c r="E115" i="1"/>
  <c r="E115" i="4" s="1"/>
  <c r="E116" i="1"/>
  <c r="E116" i="4" s="1"/>
  <c r="X68" i="1"/>
  <c r="X72" i="1"/>
  <c r="X80" i="1"/>
  <c r="X96" i="1"/>
  <c r="X97" i="1"/>
  <c r="X100" i="1"/>
  <c r="X108" i="1"/>
  <c r="X112" i="1"/>
  <c r="X113" i="1"/>
  <c r="X76" i="1" l="1"/>
  <c r="X116" i="1"/>
  <c r="X92" i="1"/>
  <c r="X115" i="1"/>
  <c r="X75" i="1"/>
  <c r="X83" i="1"/>
  <c r="X59" i="1"/>
  <c r="X99" i="1"/>
  <c r="X67" i="1"/>
  <c r="X91" i="1"/>
  <c r="X107" i="1"/>
  <c r="X88" i="1"/>
  <c r="X104" i="1"/>
  <c r="X84" i="1"/>
  <c r="X60" i="1"/>
  <c r="X65" i="1"/>
  <c r="X81" i="1"/>
  <c r="X64" i="1"/>
  <c r="X102" i="1"/>
  <c r="X86" i="1"/>
  <c r="X70" i="1"/>
  <c r="X90" i="1"/>
  <c r="X98" i="1"/>
  <c r="X66" i="1"/>
  <c r="X106" i="1"/>
  <c r="X105" i="1"/>
  <c r="X94" i="1"/>
  <c r="X73" i="1"/>
  <c r="X62" i="1"/>
  <c r="X74" i="1"/>
  <c r="X114" i="1"/>
  <c r="X82" i="1"/>
  <c r="X58" i="1"/>
  <c r="X110" i="1"/>
  <c r="X89" i="1"/>
  <c r="X78" i="1"/>
  <c r="X57" i="1"/>
  <c r="X111" i="1"/>
  <c r="X103" i="1"/>
  <c r="X95" i="1"/>
  <c r="X87" i="1"/>
  <c r="X79" i="1"/>
  <c r="X71" i="1"/>
  <c r="X63" i="1"/>
  <c r="X55" i="1"/>
  <c r="X109" i="1"/>
  <c r="X101" i="1"/>
  <c r="X93" i="1"/>
  <c r="X85" i="1"/>
  <c r="X77" i="1"/>
  <c r="X69" i="1"/>
  <c r="X61" i="1"/>
  <c r="Y28" i="1"/>
  <c r="J28" i="1"/>
  <c r="D28" i="1"/>
  <c r="F28" i="1"/>
  <c r="R2" i="11"/>
  <c r="W30" i="1"/>
  <c r="E30" i="1" s="1"/>
  <c r="W31" i="1"/>
  <c r="E31" i="1" s="1"/>
  <c r="W32" i="1"/>
  <c r="E32" i="1" s="1"/>
  <c r="W33" i="1"/>
  <c r="E33" i="1" s="1"/>
  <c r="W34" i="1"/>
  <c r="E34" i="1" s="1"/>
  <c r="E34" i="4" s="1"/>
  <c r="W35" i="1"/>
  <c r="E35" i="1" s="1"/>
  <c r="W36" i="1"/>
  <c r="E36" i="1" s="1"/>
  <c r="W37" i="1"/>
  <c r="E37" i="1" s="1"/>
  <c r="E37" i="4" s="1"/>
  <c r="W38" i="1"/>
  <c r="E38" i="1" s="1"/>
  <c r="E38" i="4" s="1"/>
  <c r="W39" i="1"/>
  <c r="E39" i="1" s="1"/>
  <c r="E39" i="4" s="1"/>
  <c r="W40" i="1"/>
  <c r="E40" i="1" s="1"/>
  <c r="W41" i="1"/>
  <c r="E41" i="1" s="1"/>
  <c r="E41" i="4" s="1"/>
  <c r="W42" i="1"/>
  <c r="E42" i="1" s="1"/>
  <c r="E42" i="4" s="1"/>
  <c r="W43" i="1"/>
  <c r="E43" i="1" s="1"/>
  <c r="W44" i="1"/>
  <c r="E44" i="1" s="1"/>
  <c r="W45" i="1"/>
  <c r="E45" i="1" s="1"/>
  <c r="E45" i="4" s="1"/>
  <c r="W46" i="1"/>
  <c r="E46" i="1" s="1"/>
  <c r="E46" i="4" s="1"/>
  <c r="W47" i="1"/>
  <c r="E47" i="1" s="1"/>
  <c r="E47" i="4" s="1"/>
  <c r="W48" i="1"/>
  <c r="E48" i="1" s="1"/>
  <c r="W49" i="1"/>
  <c r="E49" i="1" s="1"/>
  <c r="W50" i="1"/>
  <c r="E50" i="1" s="1"/>
  <c r="E50" i="4" s="1"/>
  <c r="W51" i="1"/>
  <c r="E51" i="1" s="1"/>
  <c r="W52" i="1"/>
  <c r="E52" i="1" s="1"/>
  <c r="W53" i="1"/>
  <c r="E53" i="1" s="1"/>
  <c r="E53" i="4" s="1"/>
  <c r="W54" i="1"/>
  <c r="E54" i="1" s="1"/>
  <c r="E54" i="4" s="1"/>
  <c r="W55" i="1"/>
  <c r="E55" i="1" s="1"/>
  <c r="E55" i="4" s="1"/>
  <c r="W56" i="1"/>
  <c r="E56" i="1" s="1"/>
  <c r="E56" i="4" s="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29" i="1"/>
  <c r="X56" i="1" l="1"/>
  <c r="X54" i="1"/>
  <c r="X34" i="1"/>
  <c r="X53" i="1"/>
  <c r="E52" i="4"/>
  <c r="X52" i="1"/>
  <c r="E51" i="4"/>
  <c r="X51" i="1"/>
  <c r="X50" i="1"/>
  <c r="X46" i="1"/>
  <c r="E49" i="4"/>
  <c r="X49" i="1"/>
  <c r="E48" i="4"/>
  <c r="X48" i="1"/>
  <c r="X47" i="1"/>
  <c r="X45" i="1"/>
  <c r="E44" i="4"/>
  <c r="X44" i="1"/>
  <c r="E43" i="4"/>
  <c r="X43" i="1"/>
  <c r="X42" i="1"/>
  <c r="X41" i="1"/>
  <c r="E40" i="4"/>
  <c r="X40" i="1"/>
  <c r="X39" i="1"/>
  <c r="X38" i="1"/>
  <c r="X37" i="1"/>
  <c r="E36" i="4"/>
  <c r="X36" i="1"/>
  <c r="E35" i="4"/>
  <c r="X35" i="1"/>
  <c r="E33" i="4"/>
  <c r="X33" i="1"/>
  <c r="E32" i="4"/>
  <c r="X32" i="1"/>
  <c r="E31" i="4"/>
  <c r="X31" i="1"/>
  <c r="E30" i="4"/>
  <c r="X30" i="1"/>
  <c r="D117" i="1"/>
  <c r="E29" i="1"/>
  <c r="B16" i="1"/>
  <c r="E29" i="4" l="1"/>
  <c r="X29" i="1"/>
  <c r="E117" i="1" s="1"/>
  <c r="X1" i="11"/>
  <c r="H7" i="6" l="1"/>
  <c r="AB2" i="11" s="1"/>
  <c r="A21" i="1" l="1"/>
  <c r="N57" i="1" l="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L12" i="9" l="1"/>
  <c r="J2" i="11"/>
  <c r="K11" i="6" l="1"/>
  <c r="P30" i="1" l="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29" i="1"/>
  <c r="A18" i="1" l="1"/>
  <c r="A17" i="1" l="1"/>
  <c r="A53" i="6" l="1"/>
  <c r="C18" i="1" l="1"/>
  <c r="C18" i="4" s="1"/>
  <c r="E2" i="11"/>
  <c r="B5" i="6"/>
  <c r="M11" i="9" l="1"/>
  <c r="E12" i="9" l="1"/>
  <c r="L30" i="1" l="1" a="1"/>
  <c r="L30" i="1" s="1"/>
  <c r="L31" i="1" a="1"/>
  <c r="L31" i="1" s="1"/>
  <c r="L32" i="1" a="1"/>
  <c r="L32" i="1" s="1"/>
  <c r="L33" i="1" a="1"/>
  <c r="L33" i="1" s="1"/>
  <c r="L34" i="1" a="1"/>
  <c r="L34" i="1" s="1"/>
  <c r="L35" i="1" a="1"/>
  <c r="L35" i="1" s="1"/>
  <c r="L36" i="1" a="1"/>
  <c r="L36" i="1" s="1"/>
  <c r="L37" i="1" a="1"/>
  <c r="L37" i="1" s="1"/>
  <c r="L38" i="1" a="1"/>
  <c r="L38" i="1" s="1"/>
  <c r="L39" i="1" a="1"/>
  <c r="L39" i="1" s="1"/>
  <c r="L40" i="1" a="1"/>
  <c r="L40" i="1" s="1"/>
  <c r="L41" i="1" a="1"/>
  <c r="L41" i="1" s="1"/>
  <c r="L42" i="1" a="1"/>
  <c r="L42" i="1" s="1"/>
  <c r="L43" i="1" a="1"/>
  <c r="L43" i="1" s="1"/>
  <c r="L44" i="1" a="1"/>
  <c r="L44" i="1" s="1"/>
  <c r="L45" i="1" a="1"/>
  <c r="L45" i="1" s="1"/>
  <c r="L46" i="1" a="1"/>
  <c r="L46" i="1" s="1"/>
  <c r="L47" i="1" a="1"/>
  <c r="L47" i="1" s="1"/>
  <c r="L48" i="1" a="1"/>
  <c r="L48" i="1" s="1"/>
  <c r="L49" i="1" a="1"/>
  <c r="L49" i="1" s="1"/>
  <c r="L50" i="1" a="1"/>
  <c r="L50" i="1" s="1"/>
  <c r="L51" i="1" a="1"/>
  <c r="L51" i="1" s="1"/>
  <c r="L52" i="1" a="1"/>
  <c r="L52" i="1" s="1"/>
  <c r="L53" i="1" a="1"/>
  <c r="L53" i="1" s="1"/>
  <c r="L54" i="1" a="1"/>
  <c r="L54" i="1" s="1"/>
  <c r="L55" i="1" a="1"/>
  <c r="L55" i="1" s="1"/>
  <c r="L56" i="1" a="1"/>
  <c r="L56" i="1" s="1"/>
  <c r="L57" i="1" a="1"/>
  <c r="L57" i="1" s="1"/>
  <c r="L58" i="1" a="1"/>
  <c r="L58" i="1" s="1"/>
  <c r="L59" i="1" a="1"/>
  <c r="L59" i="1" s="1"/>
  <c r="L60" i="1" a="1"/>
  <c r="L60" i="1" s="1"/>
  <c r="L61" i="1" a="1"/>
  <c r="L61" i="1" s="1"/>
  <c r="L62" i="1" a="1"/>
  <c r="L62" i="1" s="1"/>
  <c r="L63" i="1" a="1"/>
  <c r="L63" i="1" s="1"/>
  <c r="L64" i="1" a="1"/>
  <c r="L64" i="1" s="1"/>
  <c r="L65" i="1" a="1"/>
  <c r="L65" i="1" s="1"/>
  <c r="L66" i="1" a="1"/>
  <c r="L66" i="1" s="1"/>
  <c r="L67" i="1" a="1"/>
  <c r="L67" i="1" s="1"/>
  <c r="L68" i="1" a="1"/>
  <c r="L68" i="1" s="1"/>
  <c r="L69" i="1" a="1"/>
  <c r="L69" i="1" s="1"/>
  <c r="L70" i="1" a="1"/>
  <c r="L70" i="1" s="1"/>
  <c r="L71" i="1" a="1"/>
  <c r="L71" i="1" s="1"/>
  <c r="L72" i="1" a="1"/>
  <c r="L72" i="1" s="1"/>
  <c r="L73" i="1" a="1"/>
  <c r="L73" i="1" s="1"/>
  <c r="L74" i="1" a="1"/>
  <c r="L74" i="1" s="1"/>
  <c r="L75" i="1" a="1"/>
  <c r="L75" i="1" s="1"/>
  <c r="L76" i="1" a="1"/>
  <c r="L76" i="1" s="1"/>
  <c r="L77" i="1" a="1"/>
  <c r="L77" i="1" s="1"/>
  <c r="L78" i="1" a="1"/>
  <c r="L78" i="1" s="1"/>
  <c r="L79" i="1" a="1"/>
  <c r="L79" i="1" s="1"/>
  <c r="L80" i="1" a="1"/>
  <c r="L80" i="1" s="1"/>
  <c r="L81" i="1" a="1"/>
  <c r="L81" i="1" s="1"/>
  <c r="L82" i="1" a="1"/>
  <c r="L82" i="1" s="1"/>
  <c r="L83" i="1" a="1"/>
  <c r="L83" i="1" s="1"/>
  <c r="L84" i="1" a="1"/>
  <c r="L84" i="1" s="1"/>
  <c r="L85" i="1" a="1"/>
  <c r="L85" i="1" s="1"/>
  <c r="L86" i="1" a="1"/>
  <c r="L86" i="1" s="1"/>
  <c r="L87" i="1" a="1"/>
  <c r="L87" i="1" s="1"/>
  <c r="L88" i="1" a="1"/>
  <c r="L88" i="1" s="1"/>
  <c r="L89" i="1" a="1"/>
  <c r="L89" i="1" s="1"/>
  <c r="L90" i="1" a="1"/>
  <c r="L90" i="1" s="1"/>
  <c r="L91" i="1" a="1"/>
  <c r="L91" i="1" s="1"/>
  <c r="L92" i="1" a="1"/>
  <c r="L92" i="1" s="1"/>
  <c r="L93" i="1" a="1"/>
  <c r="L93" i="1" s="1"/>
  <c r="L94" i="1" a="1"/>
  <c r="L94" i="1" s="1"/>
  <c r="L95" i="1" a="1"/>
  <c r="L95" i="1" s="1"/>
  <c r="L96" i="1" a="1"/>
  <c r="L96" i="1" s="1"/>
  <c r="L97" i="1" a="1"/>
  <c r="L97" i="1" s="1"/>
  <c r="L98" i="1" a="1"/>
  <c r="L98" i="1" s="1"/>
  <c r="L99" i="1" a="1"/>
  <c r="L99" i="1" s="1"/>
  <c r="L100" i="1" a="1"/>
  <c r="L100" i="1" s="1"/>
  <c r="L101" i="1" a="1"/>
  <c r="L101" i="1" s="1"/>
  <c r="L102" i="1" a="1"/>
  <c r="L102" i="1" s="1"/>
  <c r="L103" i="1" a="1"/>
  <c r="L103" i="1" s="1"/>
  <c r="L104" i="1" a="1"/>
  <c r="L104" i="1" s="1"/>
  <c r="L105" i="1" a="1"/>
  <c r="L105" i="1" s="1"/>
  <c r="L106" i="1" a="1"/>
  <c r="L106" i="1" s="1"/>
  <c r="L107" i="1" a="1"/>
  <c r="L107" i="1" s="1"/>
  <c r="L108" i="1" a="1"/>
  <c r="L108" i="1" s="1"/>
  <c r="L109" i="1" a="1"/>
  <c r="L109" i="1" s="1"/>
  <c r="L110" i="1" a="1"/>
  <c r="L110" i="1" s="1"/>
  <c r="L111" i="1" a="1"/>
  <c r="L111" i="1" s="1"/>
  <c r="L112" i="1" a="1"/>
  <c r="L112" i="1" s="1"/>
  <c r="L113" i="1" a="1"/>
  <c r="L113" i="1" s="1"/>
  <c r="L114" i="1" a="1"/>
  <c r="L114" i="1" s="1"/>
  <c r="L115" i="1" a="1"/>
  <c r="L115" i="1" s="1"/>
  <c r="L116" i="1" a="1"/>
  <c r="L116" i="1" s="1"/>
  <c r="L29" i="1" a="1"/>
  <c r="L29" i="1" s="1"/>
  <c r="M41" i="1"/>
  <c r="M42" i="1"/>
  <c r="M46" i="1"/>
  <c r="M50" i="1"/>
  <c r="M54" i="1"/>
  <c r="N54" i="1" s="1"/>
  <c r="M58" i="1"/>
  <c r="M62" i="1"/>
  <c r="M66" i="1"/>
  <c r="M70" i="1"/>
  <c r="M74" i="1"/>
  <c r="M78" i="1"/>
  <c r="M82" i="1"/>
  <c r="M86" i="1"/>
  <c r="M90" i="1"/>
  <c r="M94" i="1"/>
  <c r="M98" i="1"/>
  <c r="M102" i="1"/>
  <c r="M106" i="1"/>
  <c r="M110" i="1"/>
  <c r="M114" i="1"/>
  <c r="M49" i="1"/>
  <c r="M57" i="1"/>
  <c r="M65" i="1"/>
  <c r="M77" i="1"/>
  <c r="M89" i="1"/>
  <c r="M101" i="1"/>
  <c r="M113" i="1"/>
  <c r="M43" i="1"/>
  <c r="M47" i="1"/>
  <c r="M51" i="1"/>
  <c r="M55" i="1"/>
  <c r="N55" i="1" s="1"/>
  <c r="M59" i="1"/>
  <c r="M63" i="1"/>
  <c r="M67" i="1"/>
  <c r="M71" i="1"/>
  <c r="M75" i="1"/>
  <c r="M79" i="1"/>
  <c r="M83" i="1"/>
  <c r="M87" i="1"/>
  <c r="M91" i="1"/>
  <c r="M95" i="1"/>
  <c r="M99" i="1"/>
  <c r="M103" i="1"/>
  <c r="M107" i="1"/>
  <c r="M111" i="1"/>
  <c r="M115" i="1"/>
  <c r="M53" i="1"/>
  <c r="M61" i="1"/>
  <c r="M69" i="1"/>
  <c r="M81" i="1"/>
  <c r="M93" i="1"/>
  <c r="M105" i="1"/>
  <c r="M44" i="1"/>
  <c r="M48" i="1"/>
  <c r="M52" i="1"/>
  <c r="M56" i="1"/>
  <c r="N56" i="1" s="1"/>
  <c r="M60" i="1"/>
  <c r="M64" i="1"/>
  <c r="M68" i="1"/>
  <c r="M72" i="1"/>
  <c r="M76" i="1"/>
  <c r="M80" i="1"/>
  <c r="M84" i="1"/>
  <c r="M88" i="1"/>
  <c r="M92" i="1"/>
  <c r="M96" i="1"/>
  <c r="M100" i="1"/>
  <c r="M104" i="1"/>
  <c r="M108" i="1"/>
  <c r="M112" i="1"/>
  <c r="M116" i="1"/>
  <c r="M45" i="1"/>
  <c r="M73" i="1"/>
  <c r="M85" i="1"/>
  <c r="M97" i="1"/>
  <c r="M109" i="1"/>
  <c r="B17" i="1"/>
  <c r="B17" i="4" s="1"/>
  <c r="R44" i="1" l="1"/>
  <c r="R48" i="1"/>
  <c r="R52" i="1"/>
  <c r="R56" i="1"/>
  <c r="R60" i="1"/>
  <c r="R64" i="1"/>
  <c r="R68" i="1"/>
  <c r="R72" i="1"/>
  <c r="R76" i="1"/>
  <c r="R80" i="1"/>
  <c r="R84" i="1"/>
  <c r="R88" i="1"/>
  <c r="R92" i="1"/>
  <c r="R96" i="1"/>
  <c r="R100" i="1"/>
  <c r="R104" i="1"/>
  <c r="R108" i="1"/>
  <c r="R112" i="1"/>
  <c r="R116" i="1"/>
  <c r="R51" i="1"/>
  <c r="R63" i="1"/>
  <c r="R75" i="1"/>
  <c r="R95" i="1"/>
  <c r="R107" i="1"/>
  <c r="R41" i="1"/>
  <c r="R45" i="1"/>
  <c r="R49" i="1"/>
  <c r="R53" i="1"/>
  <c r="R57" i="1"/>
  <c r="R61" i="1"/>
  <c r="R65" i="1"/>
  <c r="R69" i="1"/>
  <c r="R73" i="1"/>
  <c r="R77" i="1"/>
  <c r="R81" i="1"/>
  <c r="R85" i="1"/>
  <c r="R89" i="1"/>
  <c r="R93" i="1"/>
  <c r="R97" i="1"/>
  <c r="R101" i="1"/>
  <c r="R105" i="1"/>
  <c r="R109" i="1"/>
  <c r="R113" i="1"/>
  <c r="R43" i="1"/>
  <c r="R59" i="1"/>
  <c r="R71" i="1"/>
  <c r="R79" i="1"/>
  <c r="R91" i="1"/>
  <c r="R103" i="1"/>
  <c r="R115" i="1"/>
  <c r="R42" i="1"/>
  <c r="R46" i="1"/>
  <c r="R50" i="1"/>
  <c r="R54" i="1"/>
  <c r="R58" i="1"/>
  <c r="R62" i="1"/>
  <c r="R66" i="1"/>
  <c r="R70" i="1"/>
  <c r="R74" i="1"/>
  <c r="R78" i="1"/>
  <c r="R82" i="1"/>
  <c r="R86" i="1"/>
  <c r="R90" i="1"/>
  <c r="R94" i="1"/>
  <c r="R98" i="1"/>
  <c r="R102" i="1"/>
  <c r="R106" i="1"/>
  <c r="R110" i="1"/>
  <c r="R114" i="1"/>
  <c r="R47" i="1"/>
  <c r="R55" i="1"/>
  <c r="R67" i="1"/>
  <c r="R83" i="1"/>
  <c r="R87" i="1"/>
  <c r="R99" i="1"/>
  <c r="R111" i="1"/>
  <c r="R29" i="1" l="1"/>
  <c r="R30" i="1"/>
  <c r="R31" i="1"/>
  <c r="R32" i="1"/>
  <c r="R33" i="1"/>
  <c r="R34" i="1"/>
  <c r="R35" i="1"/>
  <c r="R36" i="1"/>
  <c r="R37" i="1"/>
  <c r="R38" i="1"/>
  <c r="R39" i="1"/>
  <c r="R40" i="1"/>
  <c r="C17" i="1" l="1"/>
  <c r="C17" i="4" s="1"/>
  <c r="F2" i="6" l="1"/>
  <c r="V2" i="11" l="1"/>
  <c r="H4" i="6" l="1"/>
  <c r="I3" i="6" s="1"/>
  <c r="I4" i="6" l="1"/>
  <c r="J3" i="6" s="1"/>
  <c r="J4" i="6" s="1"/>
  <c r="K3" i="6" s="1"/>
  <c r="K4" i="6" s="1"/>
  <c r="L3" i="6" s="1"/>
  <c r="L4" i="6" s="1"/>
  <c r="N2" i="11" l="1"/>
  <c r="M3" i="6" l="1"/>
  <c r="M4" i="6" s="1"/>
  <c r="H2" i="11"/>
  <c r="N3" i="6" l="1"/>
  <c r="N4" i="6" s="1"/>
  <c r="O3" i="6" l="1"/>
  <c r="O4" i="6" l="1"/>
  <c r="P3" i="6" s="1"/>
  <c r="P4" i="6" s="1"/>
  <c r="G2" i="11"/>
  <c r="Y1" i="11" s="1"/>
  <c r="Z1" i="11" s="1"/>
  <c r="O2" i="11" l="1"/>
  <c r="B8" i="6" l="1"/>
  <c r="N52" i="1" l="1"/>
  <c r="N51" i="1"/>
  <c r="N53" i="1"/>
  <c r="N50" i="1"/>
  <c r="N48" i="1"/>
  <c r="N44" i="1"/>
  <c r="N47" i="1"/>
  <c r="N49" i="1"/>
  <c r="N43" i="1"/>
  <c r="N46" i="1"/>
  <c r="N41" i="1"/>
  <c r="N42" i="1"/>
  <c r="N45" i="1"/>
  <c r="M30" i="1"/>
  <c r="N30" i="1" s="1"/>
  <c r="M34" i="1"/>
  <c r="N34" i="1" s="1"/>
  <c r="M38" i="1"/>
  <c r="N38" i="1" s="1"/>
  <c r="M31" i="1"/>
  <c r="N31" i="1" s="1"/>
  <c r="M35" i="1"/>
  <c r="N35" i="1" s="1"/>
  <c r="M39" i="1"/>
  <c r="N39" i="1" s="1"/>
  <c r="M29" i="1"/>
  <c r="N29" i="1" s="1"/>
  <c r="M33" i="1"/>
  <c r="N33" i="1" s="1"/>
  <c r="M32" i="1"/>
  <c r="N32" i="1" s="1"/>
  <c r="M36" i="1"/>
  <c r="N36" i="1" s="1"/>
  <c r="M40" i="1"/>
  <c r="N40" i="1" s="1"/>
  <c r="M37" i="1"/>
  <c r="N37" i="1" s="1"/>
  <c r="B28" i="1"/>
  <c r="A28" i="1"/>
  <c r="G28" i="1" l="1"/>
  <c r="T2" i="11"/>
  <c r="B2" i="11"/>
  <c r="E28" i="1"/>
  <c r="C28" i="1" l="1"/>
  <c r="A13" i="1" l="1"/>
  <c r="B13" i="1" l="1"/>
  <c r="E11" i="6" l="1"/>
  <c r="C11" i="6" l="1"/>
  <c r="T30" i="1"/>
  <c r="U30" i="1" s="1"/>
  <c r="T34" i="1"/>
  <c r="U34" i="1" s="1"/>
  <c r="T38" i="1"/>
  <c r="U38" i="1" s="1"/>
  <c r="T42" i="1"/>
  <c r="U42" i="1" s="1"/>
  <c r="T46" i="1"/>
  <c r="U46" i="1" s="1"/>
  <c r="T50" i="1"/>
  <c r="U50" i="1" s="1"/>
  <c r="T54" i="1"/>
  <c r="U54" i="1" s="1"/>
  <c r="T58" i="1"/>
  <c r="U58" i="1" s="1"/>
  <c r="T62" i="1"/>
  <c r="U62" i="1" s="1"/>
  <c r="T66" i="1"/>
  <c r="U66" i="1" s="1"/>
  <c r="T70" i="1"/>
  <c r="U70" i="1" s="1"/>
  <c r="T74" i="1"/>
  <c r="U74" i="1" s="1"/>
  <c r="T78" i="1"/>
  <c r="U78" i="1" s="1"/>
  <c r="T82" i="1"/>
  <c r="U82" i="1" s="1"/>
  <c r="T86" i="1"/>
  <c r="U86" i="1" s="1"/>
  <c r="T90" i="1"/>
  <c r="U90" i="1" s="1"/>
  <c r="T94" i="1"/>
  <c r="U94" i="1" s="1"/>
  <c r="T98" i="1"/>
  <c r="U98" i="1" s="1"/>
  <c r="T102" i="1"/>
  <c r="U102" i="1" s="1"/>
  <c r="T106" i="1"/>
  <c r="U106" i="1" s="1"/>
  <c r="T110" i="1"/>
  <c r="U110" i="1" s="1"/>
  <c r="T114" i="1"/>
  <c r="U114" i="1" s="1"/>
  <c r="T91" i="1"/>
  <c r="U91" i="1" s="1"/>
  <c r="T99" i="1"/>
  <c r="U99" i="1" s="1"/>
  <c r="T103" i="1"/>
  <c r="U103" i="1" s="1"/>
  <c r="T111" i="1"/>
  <c r="U111" i="1" s="1"/>
  <c r="T115" i="1"/>
  <c r="U115" i="1" s="1"/>
  <c r="T61" i="1"/>
  <c r="U61" i="1" s="1"/>
  <c r="T69" i="1"/>
  <c r="U69" i="1" s="1"/>
  <c r="T81" i="1"/>
  <c r="U81" i="1" s="1"/>
  <c r="T89" i="1"/>
  <c r="U89" i="1" s="1"/>
  <c r="T101" i="1"/>
  <c r="U101" i="1" s="1"/>
  <c r="T109" i="1"/>
  <c r="U109" i="1" s="1"/>
  <c r="T31" i="1"/>
  <c r="U31" i="1" s="1"/>
  <c r="T35" i="1"/>
  <c r="U35" i="1" s="1"/>
  <c r="T39" i="1"/>
  <c r="U39" i="1" s="1"/>
  <c r="T43" i="1"/>
  <c r="U43" i="1" s="1"/>
  <c r="T47" i="1"/>
  <c r="U47" i="1" s="1"/>
  <c r="T51" i="1"/>
  <c r="U51" i="1" s="1"/>
  <c r="T55" i="1"/>
  <c r="U55" i="1" s="1"/>
  <c r="T59" i="1"/>
  <c r="U59" i="1" s="1"/>
  <c r="T63" i="1"/>
  <c r="U63" i="1" s="1"/>
  <c r="T67" i="1"/>
  <c r="U67" i="1" s="1"/>
  <c r="T71" i="1"/>
  <c r="U71" i="1" s="1"/>
  <c r="T75" i="1"/>
  <c r="U75" i="1" s="1"/>
  <c r="T79" i="1"/>
  <c r="U79" i="1" s="1"/>
  <c r="T83" i="1"/>
  <c r="U83" i="1" s="1"/>
  <c r="T87" i="1"/>
  <c r="U87" i="1" s="1"/>
  <c r="T95" i="1"/>
  <c r="U95" i="1" s="1"/>
  <c r="T107" i="1"/>
  <c r="U107" i="1" s="1"/>
  <c r="T53" i="1"/>
  <c r="U53" i="1" s="1"/>
  <c r="T73" i="1"/>
  <c r="U73" i="1" s="1"/>
  <c r="T93" i="1"/>
  <c r="U93" i="1" s="1"/>
  <c r="T113" i="1"/>
  <c r="U113" i="1" s="1"/>
  <c r="T32" i="1"/>
  <c r="U32" i="1" s="1"/>
  <c r="T36" i="1"/>
  <c r="U36" i="1" s="1"/>
  <c r="T40" i="1"/>
  <c r="U40" i="1" s="1"/>
  <c r="T44" i="1"/>
  <c r="U44" i="1" s="1"/>
  <c r="T48" i="1"/>
  <c r="U48" i="1" s="1"/>
  <c r="T52" i="1"/>
  <c r="U52" i="1" s="1"/>
  <c r="T56" i="1"/>
  <c r="U56" i="1" s="1"/>
  <c r="T60" i="1"/>
  <c r="U60" i="1" s="1"/>
  <c r="T64" i="1"/>
  <c r="U64" i="1" s="1"/>
  <c r="T68" i="1"/>
  <c r="U68" i="1" s="1"/>
  <c r="T72" i="1"/>
  <c r="U72" i="1" s="1"/>
  <c r="T76" i="1"/>
  <c r="U76" i="1" s="1"/>
  <c r="T80" i="1"/>
  <c r="U80" i="1" s="1"/>
  <c r="T84" i="1"/>
  <c r="U84" i="1" s="1"/>
  <c r="T88" i="1"/>
  <c r="U88" i="1" s="1"/>
  <c r="T92" i="1"/>
  <c r="U92" i="1" s="1"/>
  <c r="T96" i="1"/>
  <c r="U96" i="1" s="1"/>
  <c r="T100" i="1"/>
  <c r="U100" i="1" s="1"/>
  <c r="T104" i="1"/>
  <c r="U104" i="1" s="1"/>
  <c r="T108" i="1"/>
  <c r="U108" i="1" s="1"/>
  <c r="T112" i="1"/>
  <c r="U112" i="1" s="1"/>
  <c r="T116" i="1"/>
  <c r="U116" i="1" s="1"/>
  <c r="T33" i="1"/>
  <c r="U33" i="1" s="1"/>
  <c r="T37" i="1"/>
  <c r="U37" i="1" s="1"/>
  <c r="T41" i="1"/>
  <c r="U41" i="1" s="1"/>
  <c r="T45" i="1"/>
  <c r="U45" i="1" s="1"/>
  <c r="T49" i="1"/>
  <c r="U49" i="1" s="1"/>
  <c r="T57" i="1"/>
  <c r="U57" i="1" s="1"/>
  <c r="T65" i="1"/>
  <c r="U65" i="1" s="1"/>
  <c r="T77" i="1"/>
  <c r="U77" i="1" s="1"/>
  <c r="T85" i="1"/>
  <c r="U85" i="1" s="1"/>
  <c r="T97" i="1"/>
  <c r="U97" i="1" s="1"/>
  <c r="T105" i="1"/>
  <c r="U105" i="1" s="1"/>
  <c r="T29" i="1"/>
  <c r="B1" i="8"/>
  <c r="K32" i="1" l="1"/>
  <c r="Z32" i="1" s="1"/>
  <c r="U29" i="1"/>
  <c r="V29" i="1"/>
  <c r="S32" i="1"/>
  <c r="K36" i="1"/>
  <c r="K29" i="1"/>
  <c r="K35" i="1"/>
  <c r="K34" i="1"/>
  <c r="K37" i="1"/>
  <c r="K33" i="1"/>
  <c r="K40" i="1"/>
  <c r="I10" i="6"/>
  <c r="K42" i="1"/>
  <c r="K46" i="1"/>
  <c r="K50" i="1"/>
  <c r="K54" i="1"/>
  <c r="K58" i="1"/>
  <c r="K62" i="1"/>
  <c r="K66" i="1"/>
  <c r="K70" i="1"/>
  <c r="K74" i="1"/>
  <c r="K78" i="1"/>
  <c r="K82" i="1"/>
  <c r="K86" i="1"/>
  <c r="K90" i="1"/>
  <c r="K94" i="1"/>
  <c r="K98" i="1"/>
  <c r="K102" i="1"/>
  <c r="K106" i="1"/>
  <c r="K110" i="1"/>
  <c r="K114" i="1"/>
  <c r="K49" i="1"/>
  <c r="K61" i="1"/>
  <c r="K73" i="1"/>
  <c r="K89" i="1"/>
  <c r="K97" i="1"/>
  <c r="K113" i="1"/>
  <c r="K43" i="1"/>
  <c r="K47" i="1"/>
  <c r="K51" i="1"/>
  <c r="K55" i="1"/>
  <c r="K59" i="1"/>
  <c r="K63" i="1"/>
  <c r="K67" i="1"/>
  <c r="K71" i="1"/>
  <c r="K75" i="1"/>
  <c r="K79" i="1"/>
  <c r="K83" i="1"/>
  <c r="K87" i="1"/>
  <c r="K91" i="1"/>
  <c r="K95" i="1"/>
  <c r="K99" i="1"/>
  <c r="K103" i="1"/>
  <c r="K107" i="1"/>
  <c r="K111" i="1"/>
  <c r="K115" i="1"/>
  <c r="K41" i="1"/>
  <c r="K53" i="1"/>
  <c r="K65" i="1"/>
  <c r="K77" i="1"/>
  <c r="K85" i="1"/>
  <c r="K101" i="1"/>
  <c r="K109" i="1"/>
  <c r="K44" i="1"/>
  <c r="K48" i="1"/>
  <c r="K52" i="1"/>
  <c r="K56" i="1"/>
  <c r="K60" i="1"/>
  <c r="K64" i="1"/>
  <c r="K68" i="1"/>
  <c r="K72" i="1"/>
  <c r="K76" i="1"/>
  <c r="K80" i="1"/>
  <c r="K84" i="1"/>
  <c r="K88" i="1"/>
  <c r="K92" i="1"/>
  <c r="K96" i="1"/>
  <c r="K100" i="1"/>
  <c r="K104" i="1"/>
  <c r="K108" i="1"/>
  <c r="K112" i="1"/>
  <c r="K116" i="1"/>
  <c r="K45" i="1"/>
  <c r="K57" i="1"/>
  <c r="K69" i="1"/>
  <c r="K81" i="1"/>
  <c r="K93" i="1"/>
  <c r="K105" i="1"/>
  <c r="K31" i="1"/>
  <c r="K39" i="1"/>
  <c r="K38" i="1"/>
  <c r="K30" i="1"/>
  <c r="V64" i="1" a="1"/>
  <c r="V64" i="1" s="1"/>
  <c r="V59" i="1" a="1"/>
  <c r="V59" i="1" s="1"/>
  <c r="V85" i="1" a="1"/>
  <c r="V85" i="1" s="1"/>
  <c r="V90" i="1" a="1"/>
  <c r="V90" i="1" s="1"/>
  <c r="V73" i="1" a="1"/>
  <c r="V73" i="1" s="1"/>
  <c r="V71" i="1" a="1"/>
  <c r="V71" i="1" s="1"/>
  <c r="V45" i="1" a="1"/>
  <c r="V45" i="1" s="1"/>
  <c r="V86" i="1" a="1"/>
  <c r="V86" i="1" s="1"/>
  <c r="V38" i="1" a="1"/>
  <c r="V38" i="1" s="1"/>
  <c r="V113" i="1" a="1"/>
  <c r="V113" i="1" s="1"/>
  <c r="V49" i="1" a="1"/>
  <c r="V49" i="1" s="1"/>
  <c r="V36" i="1" a="1"/>
  <c r="V36" i="1" s="1"/>
  <c r="V91" i="1" a="1"/>
  <c r="V91" i="1" s="1"/>
  <c r="V112" i="1" a="1"/>
  <c r="V112" i="1" s="1"/>
  <c r="V52" i="1" a="1"/>
  <c r="V52" i="1" s="1"/>
  <c r="V74" i="1" a="1"/>
  <c r="V74" i="1" s="1"/>
  <c r="V42" i="1" a="1"/>
  <c r="V42" i="1" s="1"/>
  <c r="V92" i="1" a="1"/>
  <c r="V92" i="1" s="1"/>
  <c r="V32" i="1" a="1"/>
  <c r="V32" i="1" s="1"/>
  <c r="V103" i="1" a="1"/>
  <c r="V103" i="1" s="1"/>
  <c r="V55" i="1" a="1"/>
  <c r="V55" i="1" s="1"/>
  <c r="V109" i="1" a="1"/>
  <c r="V109" i="1" s="1"/>
  <c r="V104" i="1" a="1"/>
  <c r="V104" i="1" s="1"/>
  <c r="V40" i="1" a="1"/>
  <c r="V40" i="1" s="1"/>
  <c r="V102" i="1" a="1"/>
  <c r="V102" i="1" s="1"/>
  <c r="V70" i="1" a="1"/>
  <c r="V70" i="1" s="1"/>
  <c r="V54" i="1" a="1"/>
  <c r="V54" i="1" s="1"/>
  <c r="V97" i="1" a="1"/>
  <c r="V97" i="1" s="1"/>
  <c r="V61" i="1" a="1"/>
  <c r="V61" i="1" s="1"/>
  <c r="V116" i="1" a="1"/>
  <c r="V116" i="1" s="1"/>
  <c r="V84" i="1" a="1"/>
  <c r="V84" i="1" s="1"/>
  <c r="V48" i="1" a="1"/>
  <c r="V48" i="1" s="1"/>
  <c r="V115" i="1" a="1"/>
  <c r="V115" i="1" s="1"/>
  <c r="V99" i="1" a="1"/>
  <c r="V99" i="1" s="1"/>
  <c r="V83" i="1" a="1"/>
  <c r="V83" i="1" s="1"/>
  <c r="V67" i="1" a="1"/>
  <c r="V67" i="1" s="1"/>
  <c r="V51" i="1" a="1"/>
  <c r="V51" i="1" s="1"/>
  <c r="V35" i="1" a="1"/>
  <c r="V35" i="1" s="1"/>
  <c r="V101" i="1" a="1"/>
  <c r="V101" i="1" s="1"/>
  <c r="V69" i="1" a="1"/>
  <c r="V69" i="1" s="1"/>
  <c r="V41" i="1" a="1"/>
  <c r="V41" i="1" s="1"/>
  <c r="V96" i="1" a="1"/>
  <c r="V96" i="1" s="1"/>
  <c r="V68" i="1" a="1"/>
  <c r="V68" i="1" s="1"/>
  <c r="V114" i="1" a="1"/>
  <c r="V114" i="1" s="1"/>
  <c r="V98" i="1" a="1"/>
  <c r="V98" i="1" s="1"/>
  <c r="V82" i="1" a="1"/>
  <c r="V82" i="1" s="1"/>
  <c r="V66" i="1" a="1"/>
  <c r="V66" i="1" s="1"/>
  <c r="V50" i="1" a="1"/>
  <c r="V50" i="1" s="1"/>
  <c r="V34" i="1" a="1"/>
  <c r="V34" i="1" s="1"/>
  <c r="V81" i="1" a="1"/>
  <c r="V81" i="1" s="1"/>
  <c r="V100" i="1" a="1"/>
  <c r="V100" i="1" s="1"/>
  <c r="V107" i="1" a="1"/>
  <c r="V107" i="1" s="1"/>
  <c r="V75" i="1" a="1"/>
  <c r="V75" i="1" s="1"/>
  <c r="V43" i="1" a="1"/>
  <c r="V43" i="1" s="1"/>
  <c r="V53" i="1" a="1"/>
  <c r="V53" i="1" s="1"/>
  <c r="V80" i="1" a="1"/>
  <c r="V80" i="1" s="1"/>
  <c r="V106" i="1" a="1"/>
  <c r="V106" i="1" s="1"/>
  <c r="V58" i="1" a="1"/>
  <c r="V58" i="1" s="1"/>
  <c r="V105" i="1" a="1"/>
  <c r="V105" i="1" s="1"/>
  <c r="V37" i="1" a="1"/>
  <c r="V37" i="1" s="1"/>
  <c r="V56" i="1" a="1"/>
  <c r="V56" i="1" s="1"/>
  <c r="V87" i="1" a="1"/>
  <c r="V87" i="1" s="1"/>
  <c r="V39" i="1" a="1"/>
  <c r="V39" i="1" s="1"/>
  <c r="V77" i="1" a="1"/>
  <c r="V77" i="1" s="1"/>
  <c r="V72" i="1" a="1"/>
  <c r="V72" i="1" s="1"/>
  <c r="V89" i="1" a="1"/>
  <c r="V89" i="1" s="1"/>
  <c r="V57" i="1" a="1"/>
  <c r="V57" i="1" s="1"/>
  <c r="V108" i="1" a="1"/>
  <c r="V108" i="1" s="1"/>
  <c r="V76" i="1" a="1"/>
  <c r="V76" i="1" s="1"/>
  <c r="V44" i="1" a="1"/>
  <c r="V44" i="1" s="1"/>
  <c r="V111" i="1" a="1"/>
  <c r="V111" i="1" s="1"/>
  <c r="V95" i="1" a="1"/>
  <c r="V95" i="1" s="1"/>
  <c r="V79" i="1" a="1"/>
  <c r="V79" i="1" s="1"/>
  <c r="V63" i="1" a="1"/>
  <c r="V63" i="1" s="1"/>
  <c r="V47" i="1" a="1"/>
  <c r="V47" i="1" s="1"/>
  <c r="V31" i="1" a="1"/>
  <c r="V31" i="1" s="1"/>
  <c r="V93" i="1" a="1"/>
  <c r="V93" i="1" s="1"/>
  <c r="V65" i="1" a="1"/>
  <c r="V65" i="1" s="1"/>
  <c r="V33" i="1" a="1"/>
  <c r="V33" i="1" s="1"/>
  <c r="V88" i="1" a="1"/>
  <c r="V88" i="1" s="1"/>
  <c r="V60" i="1" a="1"/>
  <c r="V60" i="1" s="1"/>
  <c r="V110" i="1" a="1"/>
  <c r="V110" i="1" s="1"/>
  <c r="V94" i="1" a="1"/>
  <c r="V94" i="1" s="1"/>
  <c r="V78" i="1" a="1"/>
  <c r="V78" i="1" s="1"/>
  <c r="V62" i="1" a="1"/>
  <c r="V62" i="1" s="1"/>
  <c r="V46" i="1" a="1"/>
  <c r="V46" i="1" s="1"/>
  <c r="V30" i="1" a="1"/>
  <c r="V30" i="1" s="1"/>
  <c r="B15" i="1"/>
  <c r="B14" i="1"/>
  <c r="AA32" i="1"/>
  <c r="Z30" i="1" l="1"/>
  <c r="Z39" i="1"/>
  <c r="AA105" i="1"/>
  <c r="Z105" i="1"/>
  <c r="AA81" i="1"/>
  <c r="Z81" i="1"/>
  <c r="AA57" i="1"/>
  <c r="Z57" i="1"/>
  <c r="AA116" i="1"/>
  <c r="Z116" i="1"/>
  <c r="AA108" i="1"/>
  <c r="Z108" i="1"/>
  <c r="AA100" i="1"/>
  <c r="Z100" i="1"/>
  <c r="AA92" i="1"/>
  <c r="Z92" i="1"/>
  <c r="AA84" i="1"/>
  <c r="Z84" i="1"/>
  <c r="AA76" i="1"/>
  <c r="Z76" i="1"/>
  <c r="AA68" i="1"/>
  <c r="Z68" i="1"/>
  <c r="AA60" i="1"/>
  <c r="Z60" i="1"/>
  <c r="AA52" i="1"/>
  <c r="Z52" i="1"/>
  <c r="Z44" i="1"/>
  <c r="AA101" i="1"/>
  <c r="Z101" i="1"/>
  <c r="AA77" i="1"/>
  <c r="Z77" i="1"/>
  <c r="AA53" i="1"/>
  <c r="Z53" i="1"/>
  <c r="AA115" i="1"/>
  <c r="Z115" i="1"/>
  <c r="AA107" i="1"/>
  <c r="Z107" i="1"/>
  <c r="AA99" i="1"/>
  <c r="Z99" i="1"/>
  <c r="AA91" i="1"/>
  <c r="Z91" i="1"/>
  <c r="AA83" i="1"/>
  <c r="Z83" i="1"/>
  <c r="AA75" i="1"/>
  <c r="Z75" i="1"/>
  <c r="AA67" i="1"/>
  <c r="Z67" i="1"/>
  <c r="AA59" i="1"/>
  <c r="Z59" i="1"/>
  <c r="AA51" i="1"/>
  <c r="Z51" i="1"/>
  <c r="Z43" i="1"/>
  <c r="Z38" i="1"/>
  <c r="Z31" i="1"/>
  <c r="AA93" i="1"/>
  <c r="Z93" i="1"/>
  <c r="AA69" i="1"/>
  <c r="Z69" i="1"/>
  <c r="Z45" i="1"/>
  <c r="AA112" i="1"/>
  <c r="Z112" i="1"/>
  <c r="AA104" i="1"/>
  <c r="Z104" i="1"/>
  <c r="AA96" i="1"/>
  <c r="Z96" i="1"/>
  <c r="AA88" i="1"/>
  <c r="Z88" i="1"/>
  <c r="AA80" i="1"/>
  <c r="Z80" i="1"/>
  <c r="AA72" i="1"/>
  <c r="Z72" i="1"/>
  <c r="AA64" i="1"/>
  <c r="Z64" i="1"/>
  <c r="AA56" i="1"/>
  <c r="Z56" i="1"/>
  <c r="Z48" i="1"/>
  <c r="AA109" i="1"/>
  <c r="Z109" i="1"/>
  <c r="AA85" i="1"/>
  <c r="Z85" i="1"/>
  <c r="AA65" i="1"/>
  <c r="Z65" i="1"/>
  <c r="Z41" i="1"/>
  <c r="AA111" i="1"/>
  <c r="Z111" i="1"/>
  <c r="AA103" i="1"/>
  <c r="Z103" i="1"/>
  <c r="AA95" i="1"/>
  <c r="Z95" i="1"/>
  <c r="AA87" i="1"/>
  <c r="Z87" i="1"/>
  <c r="AA79" i="1"/>
  <c r="Z79" i="1"/>
  <c r="AA71" i="1"/>
  <c r="Z71" i="1"/>
  <c r="AA63" i="1"/>
  <c r="Z63" i="1"/>
  <c r="AA55" i="1"/>
  <c r="Z55" i="1"/>
  <c r="Z47" i="1"/>
  <c r="AA113" i="1"/>
  <c r="Z113" i="1"/>
  <c r="AA89" i="1"/>
  <c r="Z89" i="1"/>
  <c r="AA61" i="1"/>
  <c r="Z61" i="1"/>
  <c r="AA114" i="1"/>
  <c r="Z114" i="1"/>
  <c r="AA106" i="1"/>
  <c r="Z106" i="1"/>
  <c r="AA98" i="1"/>
  <c r="Z98" i="1"/>
  <c r="AA90" i="1"/>
  <c r="Z90" i="1"/>
  <c r="AA82" i="1"/>
  <c r="Z82" i="1"/>
  <c r="AA74" i="1"/>
  <c r="Z74" i="1"/>
  <c r="AA66" i="1"/>
  <c r="Z66" i="1"/>
  <c r="AA58" i="1"/>
  <c r="Z58" i="1"/>
  <c r="AA50" i="1"/>
  <c r="Z50" i="1"/>
  <c r="Z42" i="1"/>
  <c r="Z40" i="1"/>
  <c r="Z37" i="1"/>
  <c r="Z35" i="1"/>
  <c r="Z36" i="1"/>
  <c r="AA97" i="1"/>
  <c r="Z97" i="1"/>
  <c r="AA73" i="1"/>
  <c r="Z73" i="1"/>
  <c r="Z49" i="1"/>
  <c r="AA110" i="1"/>
  <c r="Z110" i="1"/>
  <c r="AA102" i="1"/>
  <c r="Z102" i="1"/>
  <c r="AA94" i="1"/>
  <c r="Z94" i="1"/>
  <c r="AA86" i="1"/>
  <c r="Z86" i="1"/>
  <c r="AA78" i="1"/>
  <c r="Z78" i="1"/>
  <c r="AA70" i="1"/>
  <c r="Z70" i="1"/>
  <c r="AA62" i="1"/>
  <c r="Z62" i="1"/>
  <c r="AA54" i="1"/>
  <c r="Z54" i="1"/>
  <c r="Z46" i="1"/>
  <c r="Z33" i="1"/>
  <c r="Z34" i="1"/>
  <c r="Z29" i="1"/>
  <c r="S38" i="1"/>
  <c r="S31" i="1"/>
  <c r="S93" i="1"/>
  <c r="S69" i="1"/>
  <c r="S45" i="1"/>
  <c r="S112" i="1"/>
  <c r="S104" i="1"/>
  <c r="S96" i="1"/>
  <c r="S88" i="1"/>
  <c r="S80" i="1"/>
  <c r="S72" i="1"/>
  <c r="S64" i="1"/>
  <c r="S56" i="1"/>
  <c r="S48" i="1"/>
  <c r="S109" i="1"/>
  <c r="S85" i="1"/>
  <c r="S65" i="1"/>
  <c r="S41" i="1"/>
  <c r="S111" i="1"/>
  <c r="S103" i="1"/>
  <c r="S95" i="1"/>
  <c r="S87" i="1"/>
  <c r="S79" i="1"/>
  <c r="S71" i="1"/>
  <c r="S63" i="1"/>
  <c r="S55" i="1"/>
  <c r="S47" i="1"/>
  <c r="S113" i="1"/>
  <c r="S89" i="1"/>
  <c r="S61" i="1"/>
  <c r="S114" i="1"/>
  <c r="S106" i="1"/>
  <c r="S98" i="1"/>
  <c r="S90" i="1"/>
  <c r="S82" i="1"/>
  <c r="S74" i="1"/>
  <c r="S66" i="1"/>
  <c r="S58" i="1"/>
  <c r="S50" i="1"/>
  <c r="S42" i="1"/>
  <c r="S40" i="1"/>
  <c r="S37" i="1"/>
  <c r="S35" i="1"/>
  <c r="S36" i="1"/>
  <c r="AE32" i="1"/>
  <c r="Y32" i="1" s="1"/>
  <c r="S30" i="1"/>
  <c r="S39" i="1"/>
  <c r="S105" i="1"/>
  <c r="S81" i="1"/>
  <c r="S57" i="1"/>
  <c r="S116" i="1"/>
  <c r="S108" i="1"/>
  <c r="S100" i="1"/>
  <c r="S92" i="1"/>
  <c r="S84" i="1"/>
  <c r="S76" i="1"/>
  <c r="S68" i="1"/>
  <c r="S60" i="1"/>
  <c r="S52" i="1"/>
  <c r="S44" i="1"/>
  <c r="S101" i="1"/>
  <c r="S77" i="1"/>
  <c r="S53" i="1"/>
  <c r="S115" i="1"/>
  <c r="S107" i="1"/>
  <c r="S99" i="1"/>
  <c r="S91" i="1"/>
  <c r="S83" i="1"/>
  <c r="S75" i="1"/>
  <c r="S67" i="1"/>
  <c r="S59" i="1"/>
  <c r="S51" i="1"/>
  <c r="S43" i="1"/>
  <c r="S97" i="1"/>
  <c r="S73" i="1"/>
  <c r="S49" i="1"/>
  <c r="S110" i="1"/>
  <c r="S102" i="1"/>
  <c r="S94" i="1"/>
  <c r="S86" i="1"/>
  <c r="S78" i="1"/>
  <c r="S70" i="1"/>
  <c r="S62" i="1"/>
  <c r="S54" i="1"/>
  <c r="S46" i="1"/>
  <c r="S33" i="1"/>
  <c r="S34" i="1"/>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4" i="5"/>
  <c r="B5" i="5"/>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C4" i="5"/>
  <c r="B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4" i="5"/>
  <c r="D3" i="3"/>
  <c r="C3" i="3"/>
  <c r="B3" i="3"/>
  <c r="A3" i="3"/>
  <c r="A2" i="3"/>
  <c r="A1" i="3"/>
  <c r="D117" i="4"/>
  <c r="A117" i="1"/>
  <c r="G299" i="2"/>
  <c r="A27" i="1"/>
  <c r="A26" i="1"/>
  <c r="A20" i="1"/>
  <c r="A4" i="1"/>
  <c r="A16" i="1"/>
  <c r="A15" i="1"/>
  <c r="A14" i="1"/>
  <c r="A12" i="1"/>
  <c r="A10" i="1"/>
  <c r="AA49" i="1"/>
  <c r="AA48" i="1"/>
  <c r="AA47" i="1"/>
  <c r="AA46" i="1"/>
  <c r="AA45" i="1"/>
  <c r="AA44" i="1"/>
  <c r="AA43" i="1"/>
  <c r="AA42" i="1"/>
  <c r="AA41" i="1"/>
  <c r="AA40" i="1"/>
  <c r="AA39" i="1"/>
  <c r="AA38" i="1"/>
  <c r="AA37" i="1"/>
  <c r="AA36" i="1"/>
  <c r="AA35" i="1"/>
  <c r="AA34" i="1"/>
  <c r="AA33" i="1"/>
  <c r="AA31" i="1"/>
  <c r="AA30" i="1"/>
  <c r="AA29" i="1"/>
  <c r="AE34" i="1" l="1"/>
  <c r="Y34" i="1" s="1"/>
  <c r="AE54" i="1"/>
  <c r="Y54" i="1" s="1"/>
  <c r="AE70" i="1"/>
  <c r="Y70" i="1" s="1"/>
  <c r="AE86" i="1"/>
  <c r="Y86" i="1" s="1"/>
  <c r="AE94" i="1"/>
  <c r="Y94" i="1" s="1"/>
  <c r="AE110" i="1"/>
  <c r="Y110" i="1" s="1"/>
  <c r="AE73" i="1"/>
  <c r="Y73" i="1" s="1"/>
  <c r="AE43" i="1"/>
  <c r="Y43" i="1" s="1"/>
  <c r="AE59" i="1"/>
  <c r="Y59" i="1" s="1"/>
  <c r="AE75" i="1"/>
  <c r="Y75" i="1" s="1"/>
  <c r="AE91" i="1"/>
  <c r="Y91" i="1" s="1"/>
  <c r="AE107" i="1"/>
  <c r="Y107" i="1" s="1"/>
  <c r="AE53" i="1"/>
  <c r="Y53" i="1" s="1"/>
  <c r="AE101" i="1"/>
  <c r="Y101" i="1" s="1"/>
  <c r="AE52" i="1"/>
  <c r="Y52" i="1" s="1"/>
  <c r="AE68" i="1"/>
  <c r="Y68" i="1" s="1"/>
  <c r="AE84" i="1"/>
  <c r="Y84" i="1" s="1"/>
  <c r="AE100" i="1"/>
  <c r="Y100" i="1" s="1"/>
  <c r="AE116" i="1"/>
  <c r="Y116" i="1" s="1"/>
  <c r="AE81" i="1"/>
  <c r="Y81" i="1" s="1"/>
  <c r="AE39" i="1"/>
  <c r="Y39" i="1" s="1"/>
  <c r="AE35" i="1"/>
  <c r="Y35" i="1" s="1"/>
  <c r="AE40" i="1"/>
  <c r="Y40" i="1" s="1"/>
  <c r="AE50" i="1"/>
  <c r="Y50" i="1" s="1"/>
  <c r="AE66" i="1"/>
  <c r="Y66" i="1" s="1"/>
  <c r="AE82" i="1"/>
  <c r="Y82" i="1" s="1"/>
  <c r="AE106" i="1"/>
  <c r="Y106" i="1" s="1"/>
  <c r="AE89" i="1"/>
  <c r="Y89" i="1" s="1"/>
  <c r="AE47" i="1"/>
  <c r="Y47" i="1" s="1"/>
  <c r="AE63" i="1"/>
  <c r="Y63" i="1" s="1"/>
  <c r="AE79" i="1"/>
  <c r="Y79" i="1" s="1"/>
  <c r="AE95" i="1"/>
  <c r="Y95" i="1" s="1"/>
  <c r="AE111" i="1"/>
  <c r="Y111" i="1" s="1"/>
  <c r="AE65" i="1"/>
  <c r="Y65" i="1" s="1"/>
  <c r="AE109" i="1"/>
  <c r="Y109" i="1" s="1"/>
  <c r="AE56" i="1"/>
  <c r="Y56" i="1" s="1"/>
  <c r="AE72" i="1"/>
  <c r="Y72" i="1" s="1"/>
  <c r="AE88" i="1"/>
  <c r="Y88" i="1" s="1"/>
  <c r="AE104" i="1"/>
  <c r="Y104" i="1" s="1"/>
  <c r="AE45" i="1"/>
  <c r="Y45" i="1" s="1"/>
  <c r="AE93" i="1"/>
  <c r="Y93" i="1" s="1"/>
  <c r="AE33" i="1"/>
  <c r="Y33" i="1" s="1"/>
  <c r="AE46" i="1"/>
  <c r="Y46" i="1" s="1"/>
  <c r="AE62" i="1"/>
  <c r="Y62" i="1" s="1"/>
  <c r="AE78" i="1"/>
  <c r="Y78" i="1" s="1"/>
  <c r="AE102" i="1"/>
  <c r="Y102" i="1" s="1"/>
  <c r="AE49" i="1"/>
  <c r="Y49" i="1" s="1"/>
  <c r="AE97" i="1"/>
  <c r="Y97" i="1" s="1"/>
  <c r="AE51" i="1"/>
  <c r="Y51" i="1" s="1"/>
  <c r="AE67" i="1"/>
  <c r="Y67" i="1" s="1"/>
  <c r="AE83" i="1"/>
  <c r="Y83" i="1" s="1"/>
  <c r="AE99" i="1"/>
  <c r="Y99" i="1" s="1"/>
  <c r="AE115" i="1"/>
  <c r="Y115" i="1" s="1"/>
  <c r="AE77" i="1"/>
  <c r="Y77" i="1" s="1"/>
  <c r="AE44" i="1"/>
  <c r="Y44" i="1" s="1"/>
  <c r="AE60" i="1"/>
  <c r="Y60" i="1" s="1"/>
  <c r="AE76" i="1"/>
  <c r="Y76" i="1" s="1"/>
  <c r="AE92" i="1"/>
  <c r="Y92" i="1" s="1"/>
  <c r="AE108" i="1"/>
  <c r="Y108" i="1" s="1"/>
  <c r="AE57" i="1"/>
  <c r="Y57" i="1" s="1"/>
  <c r="AE105" i="1"/>
  <c r="Y105" i="1" s="1"/>
  <c r="AE30" i="1"/>
  <c r="Y30" i="1" s="1"/>
  <c r="AE36" i="1"/>
  <c r="Y36" i="1" s="1"/>
  <c r="AE37" i="1"/>
  <c r="Y37" i="1" s="1"/>
  <c r="AE42" i="1"/>
  <c r="Y42" i="1" s="1"/>
  <c r="AE58" i="1"/>
  <c r="Y58" i="1" s="1"/>
  <c r="AE74" i="1"/>
  <c r="Y74" i="1" s="1"/>
  <c r="AE90" i="1"/>
  <c r="Y90" i="1" s="1"/>
  <c r="AE98" i="1"/>
  <c r="Y98" i="1" s="1"/>
  <c r="AE114" i="1"/>
  <c r="Y114" i="1" s="1"/>
  <c r="AE61" i="1"/>
  <c r="Y61" i="1" s="1"/>
  <c r="AE113" i="1"/>
  <c r="Y113" i="1" s="1"/>
  <c r="AE55" i="1"/>
  <c r="Y55" i="1" s="1"/>
  <c r="AE71" i="1"/>
  <c r="Y71" i="1" s="1"/>
  <c r="AE87" i="1"/>
  <c r="Y87" i="1" s="1"/>
  <c r="AE103" i="1"/>
  <c r="Y103" i="1" s="1"/>
  <c r="AE41" i="1"/>
  <c r="Y41" i="1" s="1"/>
  <c r="AE85" i="1"/>
  <c r="Y85" i="1" s="1"/>
  <c r="AE48" i="1"/>
  <c r="Y48" i="1" s="1"/>
  <c r="AE64" i="1"/>
  <c r="Y64" i="1" s="1"/>
  <c r="AE80" i="1"/>
  <c r="Y80" i="1" s="1"/>
  <c r="AE96" i="1"/>
  <c r="Y96" i="1" s="1"/>
  <c r="AE112" i="1"/>
  <c r="Y112" i="1" s="1"/>
  <c r="AE69" i="1"/>
  <c r="Y69" i="1" s="1"/>
  <c r="AE31" i="1"/>
  <c r="Y31" i="1" s="1"/>
  <c r="AE38" i="1"/>
  <c r="Y38" i="1" s="1"/>
  <c r="AE29" i="1"/>
  <c r="Y29" i="1" s="1"/>
  <c r="E117" i="4"/>
  <c r="S29" i="1" l="1"/>
  <c r="I11" i="6"/>
  <c r="M12" i="9"/>
  <c r="M13" i="9" l="1"/>
  <c r="I12" i="6"/>
  <c r="I13" i="6" l="1"/>
  <c r="M14" i="9"/>
  <c r="I14" i="6" l="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I42" i="6" s="1"/>
  <c r="I43" i="6" s="1"/>
  <c r="I44" i="6" s="1"/>
  <c r="I45" i="6" s="1"/>
  <c r="I46" i="6" s="1"/>
  <c r="I47" i="6" s="1"/>
  <c r="I48" i="6" s="1"/>
  <c r="I49" i="6" s="1"/>
  <c r="I50" i="6" s="1"/>
  <c r="I51" i="6" s="1"/>
  <c r="M15" i="9"/>
  <c r="M16" i="9" l="1"/>
  <c r="M17" i="9" s="1"/>
  <c r="M18" i="9" s="1"/>
  <c r="M19" i="9" s="1"/>
  <c r="M20" i="9" s="1"/>
  <c r="M21" i="9" s="1"/>
  <c r="M22" i="9" s="1"/>
  <c r="M23" i="9" s="1"/>
  <c r="M24" i="9" s="1"/>
  <c r="M25" i="9" s="1"/>
  <c r="M26" i="9" s="1"/>
  <c r="M27" i="9" s="1"/>
  <c r="M28" i="9" s="1"/>
  <c r="M29" i="9" s="1"/>
  <c r="M30" i="9" s="1"/>
  <c r="M31" i="9" l="1"/>
  <c r="M32" i="9" s="1"/>
  <c r="M33" i="9" s="1"/>
  <c r="M34" i="9" s="1"/>
  <c r="M35" i="9" s="1"/>
  <c r="M36" i="9" s="1"/>
  <c r="M37" i="9" s="1"/>
  <c r="M38" i="9" s="1"/>
  <c r="M39" i="9" s="1"/>
  <c r="M40" i="9" s="1"/>
  <c r="M41" i="9" s="1"/>
  <c r="M42" i="9" s="1"/>
  <c r="M43" i="9" s="1"/>
  <c r="M44" i="9" s="1"/>
  <c r="M45" i="9" s="1"/>
  <c r="M46" i="9" s="1"/>
  <c r="M47" i="9" s="1"/>
  <c r="M48" i="9" s="1"/>
  <c r="M49" i="9" s="1"/>
  <c r="M50" i="9" s="1"/>
  <c r="M51" i="9" s="1"/>
  <c r="M52" i="9" s="1"/>
  <c r="M53" i="9" s="1"/>
  <c r="M54" i="9" s="1"/>
  <c r="M55" i="9" s="1"/>
  <c r="M56" i="9" s="1"/>
  <c r="M57" i="9" s="1"/>
  <c r="M58" i="9" s="1"/>
  <c r="M59" i="9" s="1"/>
  <c r="M60" i="9" s="1"/>
  <c r="M61" i="9" s="1"/>
  <c r="M62" i="9" s="1"/>
  <c r="M63" i="9" s="1"/>
  <c r="M64" i="9" s="1"/>
  <c r="M65" i="9" s="1"/>
  <c r="M66" i="9" s="1"/>
  <c r="M67" i="9" s="1"/>
  <c r="M68" i="9" s="1"/>
  <c r="M69" i="9" s="1"/>
  <c r="M70" i="9" s="1"/>
  <c r="M71" i="9" s="1"/>
  <c r="M72" i="9" s="1"/>
  <c r="M73" i="9" s="1"/>
  <c r="M74" i="9" s="1"/>
  <c r="M75" i="9" s="1"/>
  <c r="M76" i="9" s="1"/>
  <c r="M77" i="9" s="1"/>
  <c r="M78" i="9" s="1"/>
  <c r="M79" i="9" s="1"/>
  <c r="M80" i="9" s="1"/>
  <c r="M81" i="9" s="1"/>
  <c r="M82" i="9" s="1"/>
  <c r="M83" i="9" s="1"/>
  <c r="M84" i="9" s="1"/>
  <c r="M85" i="9" s="1"/>
  <c r="M86" i="9" s="1"/>
  <c r="M87" i="9" s="1"/>
  <c r="M88" i="9" s="1"/>
  <c r="M89" i="9" s="1"/>
  <c r="M90" i="9" s="1"/>
  <c r="M91" i="9" s="1"/>
  <c r="M92" i="9" s="1"/>
  <c r="M93" i="9" s="1"/>
  <c r="M94" i="9" s="1"/>
  <c r="M95" i="9" s="1"/>
  <c r="M96" i="9" s="1"/>
  <c r="M97" i="9" s="1"/>
  <c r="M98" i="9" s="1"/>
  <c r="M99" i="9" s="1"/>
  <c r="M100" i="9" s="1"/>
  <c r="M101" i="9" s="1"/>
  <c r="M102" i="9" s="1"/>
  <c r="M103" i="9" s="1"/>
  <c r="M104" i="9" s="1"/>
  <c r="M105" i="9" s="1"/>
  <c r="M106" i="9" s="1"/>
  <c r="M107" i="9" s="1"/>
  <c r="M108" i="9" s="1"/>
  <c r="M109" i="9" s="1"/>
  <c r="M110" i="9" s="1"/>
  <c r="M111" i="9" s="1"/>
  <c r="M112" i="9" s="1"/>
  <c r="M113" i="9" s="1"/>
  <c r="M114" i="9" s="1"/>
  <c r="M115" i="9" s="1"/>
  <c r="M116" i="9" s="1"/>
  <c r="M117" i="9" s="1"/>
  <c r="M118" i="9" s="1"/>
  <c r="M119" i="9" s="1"/>
  <c r="M120" i="9" s="1"/>
  <c r="M121" i="9" s="1"/>
  <c r="M122" i="9" s="1"/>
  <c r="M123" i="9" s="1"/>
  <c r="M124" i="9" s="1"/>
  <c r="M125" i="9" s="1"/>
  <c r="M126" i="9" s="1"/>
  <c r="M127" i="9" s="1"/>
  <c r="M128" i="9" s="1"/>
  <c r="M129" i="9" s="1"/>
  <c r="M130" i="9" s="1"/>
  <c r="M131" i="9" s="1"/>
  <c r="M132" i="9" s="1"/>
  <c r="M133" i="9" s="1"/>
  <c r="M134" i="9" s="1"/>
  <c r="M135" i="9" s="1"/>
  <c r="M136" i="9" s="1"/>
  <c r="M137" i="9" s="1"/>
  <c r="M138" i="9" s="1"/>
  <c r="M139" i="9" s="1"/>
  <c r="M140" i="9" s="1"/>
  <c r="M141" i="9" s="1"/>
  <c r="M142" i="9" s="1"/>
  <c r="M143" i="9" s="1"/>
  <c r="M144" i="9" s="1"/>
  <c r="M145" i="9" s="1"/>
  <c r="M146" i="9" s="1"/>
  <c r="M147" i="9" s="1"/>
  <c r="M148" i="9" s="1"/>
  <c r="M149" i="9" s="1"/>
  <c r="M150" i="9" s="1"/>
  <c r="M151" i="9" s="1"/>
  <c r="M152" i="9" s="1"/>
  <c r="M153" i="9" s="1"/>
  <c r="M154" i="9" s="1"/>
  <c r="M155" i="9" s="1"/>
  <c r="M156" i="9" s="1"/>
  <c r="M157" i="9" s="1"/>
  <c r="M158" i="9" s="1"/>
  <c r="M159" i="9" s="1"/>
  <c r="M160" i="9" s="1"/>
  <c r="M161" i="9" s="1"/>
  <c r="M162" i="9" s="1"/>
  <c r="M163" i="9" s="1"/>
  <c r="M164" i="9" s="1"/>
  <c r="M165" i="9" s="1"/>
  <c r="M166" i="9" s="1"/>
  <c r="M167" i="9" s="1"/>
  <c r="M168" i="9" s="1"/>
  <c r="M169" i="9" s="1"/>
  <c r="M170" i="9" s="1"/>
  <c r="M171" i="9" s="1"/>
  <c r="M172" i="9" s="1"/>
  <c r="M173" i="9" s="1"/>
  <c r="M174" i="9" s="1"/>
  <c r="M175" i="9" s="1"/>
  <c r="M176" i="9" s="1"/>
  <c r="M177"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<sst xmlns="http://schemas.openxmlformats.org/spreadsheetml/2006/main" count="5746" uniqueCount="2288">
  <si>
    <t>(English) Modular Framework Handbook</t>
  </si>
  <si>
    <t xml:space="preserve">(French/Français) Manuel du cadre modulaire </t>
  </si>
  <si>
    <t>(Spanish/Español) Manual del marco modular</t>
  </si>
  <si>
    <t>Version 1.5</t>
  </si>
  <si>
    <r>
      <rPr>
        <b/>
        <u/>
        <sz val="11"/>
        <color theme="1"/>
        <rFont val="Arial"/>
        <family val="2"/>
      </rPr>
      <t>English:</t>
    </r>
    <r>
      <rPr>
        <sz val="11"/>
        <color theme="1"/>
        <rFont val="Arial"/>
        <family val="2"/>
      </rPr>
      <t xml:space="preserve"> Select the language below (line B10)</t>
    </r>
  </si>
  <si>
    <r>
      <rPr>
        <b/>
        <u/>
        <sz val="11"/>
        <color theme="1"/>
        <rFont val="Arial"/>
        <family val="2"/>
      </rPr>
      <t>Français:</t>
    </r>
    <r>
      <rPr>
        <sz val="11"/>
        <color theme="1"/>
        <rFont val="Arial"/>
        <family val="2"/>
      </rPr>
      <t xml:space="preserve"> Veuillez choisir la langue ci-dessous (rangée B10)</t>
    </r>
  </si>
  <si>
    <r>
      <rPr>
        <b/>
        <u/>
        <sz val="11"/>
        <color theme="1"/>
        <rFont val="Arial"/>
        <family val="2"/>
      </rPr>
      <t>Español:</t>
    </r>
    <r>
      <rPr>
        <sz val="11"/>
        <color theme="1"/>
        <rFont val="Arial"/>
        <family val="2"/>
      </rPr>
      <t xml:space="preserve"> Seleccione el idioma abajo (fila B10)</t>
    </r>
  </si>
  <si>
    <t>English</t>
  </si>
  <si>
    <t xml:space="preserve">   </t>
  </si>
  <si>
    <t>Module Id</t>
  </si>
  <si>
    <t>Intervention id</t>
  </si>
  <si>
    <t>intervention id</t>
  </si>
  <si>
    <t>external ID</t>
  </si>
  <si>
    <t>Applicant Priority Rating(re-translated)</t>
  </si>
  <si>
    <t>TRP priority rating(retranslated)</t>
  </si>
  <si>
    <t>Row number</t>
  </si>
  <si>
    <t>conditional formating</t>
  </si>
  <si>
    <t>Module name</t>
  </si>
  <si>
    <t>intervention start</t>
  </si>
  <si>
    <t>intervention end</t>
  </si>
  <si>
    <t>Amount Requested</t>
  </si>
  <si>
    <t>Requested Amount USD</t>
  </si>
  <si>
    <t>Module</t>
  </si>
  <si>
    <t>Module/Intervention</t>
  </si>
  <si>
    <t>Priority rating</t>
  </si>
  <si>
    <t>Is a Number Check</t>
  </si>
  <si>
    <t>Is an Integer Check</t>
  </si>
  <si>
    <t>Formula 1</t>
  </si>
  <si>
    <t>Formula 2</t>
  </si>
  <si>
    <t>Formula 3</t>
  </si>
  <si>
    <t>Applicant Priority Rating</t>
  </si>
  <si>
    <t>Brief Rationale</t>
  </si>
  <si>
    <t>Brief Rationale (Translated)</t>
  </si>
  <si>
    <t>TRP Comment</t>
  </si>
  <si>
    <t>External Id</t>
  </si>
  <si>
    <t>Record ID</t>
  </si>
  <si>
    <t>Intervention Reference Id (Name)</t>
  </si>
  <si>
    <t>Module Reference Id (Name)</t>
  </si>
  <si>
    <t>TRP Priority Rating</t>
  </si>
  <si>
    <t>Component Name</t>
  </si>
  <si>
    <t>TRP Approved</t>
  </si>
  <si>
    <t>Requested Amount</t>
  </si>
  <si>
    <t>Status</t>
  </si>
  <si>
    <t>Import PAAR</t>
  </si>
  <si>
    <t>unused formulas to update</t>
  </si>
  <si>
    <t>PAAR Status</t>
  </si>
  <si>
    <t>Post-import Quality Control</t>
  </si>
  <si>
    <t>PAAR Intervention Name</t>
  </si>
  <si>
    <t>Tuberculosis</t>
  </si>
  <si>
    <t>EUR &gt; USD</t>
  </si>
  <si>
    <t>[EUR &gt; USD]</t>
  </si>
  <si>
    <t>a44Dm0000004qcyIAA</t>
  </si>
  <si>
    <t>Funding Request Name</t>
  </si>
  <si>
    <t>FR1405-KGZ-C</t>
  </si>
  <si>
    <t>records to upload</t>
  </si>
  <si>
    <t>Country (Name)</t>
  </si>
  <si>
    <t>Kyrgyzstan</t>
  </si>
  <si>
    <t>HIV/AIDS, Tuberculosis</t>
  </si>
  <si>
    <t>country name</t>
  </si>
  <si>
    <t>Group of Countries (Name)</t>
  </si>
  <si>
    <t>Funding Request Currency</t>
  </si>
  <si>
    <t>USD</t>
  </si>
  <si>
    <t>group country name</t>
  </si>
  <si>
    <t>RRSH</t>
  </si>
  <si>
    <t>Currency Ratio</t>
  </si>
  <si>
    <t>Country</t>
  </si>
  <si>
    <t>a1A360000013M04EAE</t>
  </si>
  <si>
    <t>allocation name</t>
  </si>
  <si>
    <t>Allocation Cycle</t>
  </si>
  <si>
    <t>a3pDm000000PB8pIAG</t>
  </si>
  <si>
    <t>Group of Countries</t>
  </si>
  <si>
    <t>External ID</t>
  </si>
  <si>
    <t>Geography_131/FundingOpportunity_16</t>
  </si>
  <si>
    <t>Active</t>
  </si>
  <si>
    <t>PAAR Line external id</t>
  </si>
  <si>
    <t>Parent Paar Record ID</t>
  </si>
  <si>
    <t>a6RDm000000CaTDMA0</t>
  </si>
  <si>
    <t>TRP Review Outcome</t>
  </si>
  <si>
    <t>Profile (Name)</t>
  </si>
  <si>
    <t>System Administrator</t>
  </si>
  <si>
    <t>Module Name</t>
  </si>
  <si>
    <t xml:space="preserve"> Module Name</t>
  </si>
  <si>
    <t>Module-Coverage-Intervention Reference (Name)</t>
  </si>
  <si>
    <t>Name - Eng</t>
  </si>
  <si>
    <t>Name - FR</t>
  </si>
  <si>
    <t>Name - SP</t>
  </si>
  <si>
    <t>Component (Name)</t>
  </si>
  <si>
    <t>Record Type (Name)</t>
  </si>
  <si>
    <t>Sort Order</t>
  </si>
  <si>
    <t>[Name]</t>
  </si>
  <si>
    <t>[Module-Coverage-Intervention Reference (Name)]</t>
  </si>
  <si>
    <t>[Name - FR]</t>
  </si>
  <si>
    <t>[Name - ES]</t>
  </si>
  <si>
    <t>[Record ID]</t>
  </si>
  <si>
    <t>[Component (Name)]</t>
  </si>
  <si>
    <t>[Record Type (Name)]</t>
  </si>
  <si>
    <t>[Sort Order]</t>
  </si>
  <si>
    <t>Prevention package for men who have sex with men (MSM) and their sexual partners</t>
  </si>
  <si>
    <t>MCI-01296</t>
  </si>
  <si>
    <t>Mesures de prévention pour les hommes ayant des rapports sexuels avec des hommes (HSH) et leurs partenaires sexuels</t>
  </si>
  <si>
    <t>Paquete de prevención para hombres que tienen relaciones sexuales con hombres y sus parejas sexuales</t>
  </si>
  <si>
    <t>a13360000026QHDAA2</t>
  </si>
  <si>
    <t>HIV/AIDS</t>
  </si>
  <si>
    <t>Prevention package for sex workers, their clients and other sexual partners</t>
  </si>
  <si>
    <t>MCI-01297</t>
  </si>
  <si>
    <t>Mesures de prévention pour les professionnel(le)s du sexe, leurs client(e)s et autres partenaires sexuel(le)s</t>
  </si>
  <si>
    <t>Paquete de prevención para los trabajadores del sexo, sus clientes y otras parejas sexuales</t>
  </si>
  <si>
    <t>Prevention package for transgender people and their sexual partners</t>
  </si>
  <si>
    <t>MCI-01298</t>
  </si>
  <si>
    <t>Mesures de prévention pour les personnes transgenres et leurs partenaires sexuel(le)s</t>
  </si>
  <si>
    <t>Paquete de prevención para personas transgénero y sus parejas sexuales</t>
  </si>
  <si>
    <t>Prevention package for people who use drugs (PUD) and their sexual partners</t>
  </si>
  <si>
    <t>MCI-01299</t>
  </si>
  <si>
    <t>Mesures de prévention pour les personnes qui consomment des drogues et leurs partenaires sexuel(le)s</t>
  </si>
  <si>
    <t>Paquete de prevención para usuarios de drogas (incluidas usuarios de drogas inyectables y no inyectables) y sus parejas sexuales</t>
  </si>
  <si>
    <t>Prevention package for people in prisons and other closed settings</t>
  </si>
  <si>
    <t>MCI-01300</t>
  </si>
  <si>
    <t>Mesures de prévention pour les personnes incarcérées ou se trouvant dans d’autres lieux fermés</t>
  </si>
  <si>
    <t>Paquete de prevención para personas en centros penitenciarios y otros lugares de reclusión</t>
  </si>
  <si>
    <t>Prevention package for other vulnerable populations (OVP)</t>
  </si>
  <si>
    <t>MCI-01301</t>
  </si>
  <si>
    <t>Mesures de prévention pour les autres populations vulnérables</t>
  </si>
  <si>
    <t>Paquete de prevención para otras poblaciones vulnerables</t>
  </si>
  <si>
    <t>Prevention package for adolescent girls and young women (AGYW) and male sexual partners in high HIV incidence settings</t>
  </si>
  <si>
    <t>MCI-01302</t>
  </si>
  <si>
    <t>Mesures de prévention pour les adolescentes et les jeunes femmes et leurs partenaires sexuels masculins dans des contextes où l’incidence du VIH est élevée</t>
  </si>
  <si>
    <t>Paquete de prevención para niñas adolescentes y mujeres jóvenes y sus parejas sexuales masculinas en entornos con una incidencia elevada del VIH</t>
  </si>
  <si>
    <t>Prevention program stewardship</t>
  </si>
  <si>
    <t>MCI-01303</t>
  </si>
  <si>
    <t>Gestion du programme de prévention</t>
  </si>
  <si>
    <t>Administración del programa de prevención</t>
  </si>
  <si>
    <t>Elimination of vertical transmission of HIV, syphilis and hepatitis B</t>
  </si>
  <si>
    <t>MCI-01304</t>
  </si>
  <si>
    <t>Élimination de la transmission verticale du VIH, de la syphilis et de l’hépatite B</t>
  </si>
  <si>
    <t>Eliminación de la transmisión maternoinfantil del VIH, la sífilis y la hepatitis B</t>
  </si>
  <si>
    <t>Differentiated HIV Testing Services</t>
  </si>
  <si>
    <t>MCI-01305</t>
  </si>
  <si>
    <t>Services de dépistage différenciés du VIH</t>
  </si>
  <si>
    <t>Servicios diferenciados de diagnóstico del VIH</t>
  </si>
  <si>
    <t>Treatment, care and support</t>
  </si>
  <si>
    <t>MCI-01306</t>
  </si>
  <si>
    <t>Traitement, prise en charge et soutien</t>
  </si>
  <si>
    <t>Tratamiento, atención y apoyo</t>
  </si>
  <si>
    <t>Reducing human rights-related barriers to HIV/TB services</t>
  </si>
  <si>
    <t>MCI-01307</t>
  </si>
  <si>
    <t>Réduire les obstacles liés aux droits humains qui entravent l’accès aux services de lutte contre le VIH/la TB</t>
  </si>
  <si>
    <t>Reducción de los obstáculos relacionados con los derechos humanos que impiden el acceso a los servicios de VIH/TB</t>
  </si>
  <si>
    <t>TB diagnosis, treatment and care</t>
  </si>
  <si>
    <t>MCI-01308</t>
  </si>
  <si>
    <t>Diagnostic, traitement et prise en charge de la TB</t>
  </si>
  <si>
    <t>Diagnóstico, tratamiento y atención de la TB</t>
  </si>
  <si>
    <t>a13360000026QHEAA2</t>
  </si>
  <si>
    <t>Drug-resistant (DR)-TB diagnosis, treatment and care</t>
  </si>
  <si>
    <t>MCI-01309</t>
  </si>
  <si>
    <t>Diagnostic, traitement et prise en charge de la TB pharmacorésistante (DR-TB)</t>
  </si>
  <si>
    <t>Diagnóstico, tratamiento y atención de la TB-DR</t>
  </si>
  <si>
    <t>TB/DR-TB Prevention</t>
  </si>
  <si>
    <t>MCI-01310</t>
  </si>
  <si>
    <t>Prévention de la TB/DR-TB</t>
  </si>
  <si>
    <t>Prevención de la TB/TB-DR</t>
  </si>
  <si>
    <t>Collaboration with other providers and sectors</t>
  </si>
  <si>
    <t>MCI-01311</t>
  </si>
  <si>
    <t>Collaboration avec d'autres prestataires et secteurs</t>
  </si>
  <si>
    <t>Colaboración con otros proveedores y sectores</t>
  </si>
  <si>
    <t>Key and vulnerable populations (KVP) – TB/DR-TB</t>
  </si>
  <si>
    <t>MCI-01312</t>
  </si>
  <si>
    <t>Populations clés et vulnérables (PCV) – TB/DR-TB</t>
  </si>
  <si>
    <t>Poblaciones clave y vulnerables – TB/TB-DR</t>
  </si>
  <si>
    <t>TB/HIV</t>
  </si>
  <si>
    <t>MCI-01313</t>
  </si>
  <si>
    <t>TB/VIH</t>
  </si>
  <si>
    <t>Removing human rights and gender related barriers to TB services</t>
  </si>
  <si>
    <t>MCI-01314</t>
  </si>
  <si>
    <t>Élimination des obstacles liés aux droits humains et au genre qui entravent l’accès aux services de lutte contre la TB</t>
  </si>
  <si>
    <t>Eliminar los obstáculos relacionados con los derechos humanos y el género que dificultan el acceso a los servicios de TB</t>
  </si>
  <si>
    <t>RSSH: Health sector planning and governance for integrated people-centered services</t>
  </si>
  <si>
    <t>MCI-01320</t>
  </si>
  <si>
    <t>SRPS: planification et gouvernance du secteur de la santé pour des services intégrés axés sur la personne</t>
  </si>
  <si>
    <t>SSRS: planificación y gobernanza del sector sanitario para servicios integrados y centrados en las personas</t>
  </si>
  <si>
    <t>RSSH: Community systems strengthening</t>
  </si>
  <si>
    <t>MCI-01321</t>
  </si>
  <si>
    <t>SRPS: renforcement des systèmes communautaires</t>
  </si>
  <si>
    <t>SSRS: fortalecimiento de los sistemas comunitarios</t>
  </si>
  <si>
    <t>RSSH: Health financing systems</t>
  </si>
  <si>
    <t>MCI-01322</t>
  </si>
  <si>
    <t>SRPS: systèmes de financement du secteur de la santé</t>
  </si>
  <si>
    <t>SSRS: sistemas de financiamiento de la salud</t>
  </si>
  <si>
    <t>RSSH: Health products management systems</t>
  </si>
  <si>
    <t>MCI-01323</t>
  </si>
  <si>
    <t>SRPS: systèmes de gestion des produits de santé</t>
  </si>
  <si>
    <t>SSRS: sistemas de gestión de productos sanitarios</t>
  </si>
  <si>
    <t>RSSH/PP: Human resources for health (HRH) and quality of care</t>
  </si>
  <si>
    <t>MCI-01324</t>
  </si>
  <si>
    <t>SRPS / PP : RHS et qualité des soins</t>
  </si>
  <si>
    <t>SSRS y preparación frente a pandemias: recursos humanos para la salud y calidad de la atención</t>
  </si>
  <si>
    <t>RSSH/PP: Laboratory systems (including national and peripheral)</t>
  </si>
  <si>
    <t>MCI-01325</t>
  </si>
  <si>
    <t>SRPS / PP : systèmes de laboratoire (y compris nationaux et périphériques)</t>
  </si>
  <si>
    <t>SSRS y preparación frente a pandemias: sistemas de laboratorios (incluidos los laboratorios nacionales y periféricos)</t>
  </si>
  <si>
    <t>RSSH/PP: Medical oxygen and respiratory care system</t>
  </si>
  <si>
    <t>MCI-01326</t>
  </si>
  <si>
    <t>SRPS / PP : oxygène médical et systèmes de soins respiratoires</t>
  </si>
  <si>
    <t>SSRS y preparación frente a pandemias: sistemas de oxígeno médico y atención respiratoria</t>
  </si>
  <si>
    <t>RSSH: Monitoring and evaluation systems</t>
  </si>
  <si>
    <t>MCI-01327</t>
  </si>
  <si>
    <t>SRPS : systèmes de suivi et d’évaluation</t>
  </si>
  <si>
    <t>SSRS: sistemas de monitoreo y evaluación</t>
  </si>
  <si>
    <t>Program management</t>
  </si>
  <si>
    <t>MCI-01318</t>
  </si>
  <si>
    <t>Gestion de programme</t>
  </si>
  <si>
    <t>Gestión de programas</t>
  </si>
  <si>
    <t>Payment for results</t>
  </si>
  <si>
    <t>MCI-01319</t>
  </si>
  <si>
    <t>Financement basé sur les résultats</t>
  </si>
  <si>
    <t>Financiación basada en los resultados</t>
  </si>
  <si>
    <t>Name</t>
  </si>
  <si>
    <t>Module (Name)</t>
  </si>
  <si>
    <t>Name ID</t>
  </si>
  <si>
    <t>Name - ES</t>
  </si>
  <si>
    <t>Soft Delete</t>
  </si>
  <si>
    <t>[Module (Name)]</t>
  </si>
  <si>
    <t>[Name ID]</t>
  </si>
  <si>
    <t>[External ID]</t>
  </si>
  <si>
    <t>[Soft Delete]</t>
  </si>
  <si>
    <t>Condom and lubricant programing for MSM</t>
  </si>
  <si>
    <t>MCI-01459</t>
  </si>
  <si>
    <t>a1ODm000000GnuJMAS</t>
  </si>
  <si>
    <t>Programmation relative aux préservatifs et aux gels lubrifiants pour les HSH</t>
  </si>
  <si>
    <t>Programas de preservativos y lubricantes para hombres que tienen relaciones sexuales con hombres</t>
  </si>
  <si>
    <t>FunOpp_16:ActAre_246</t>
  </si>
  <si>
    <t>Pre-exposure prophylaxis (PrEP) programing for MSM</t>
  </si>
  <si>
    <t>MCI-01460</t>
  </si>
  <si>
    <t>Programme de prophylaxie pré-exposition (PrEP) pour les HSH</t>
  </si>
  <si>
    <t>Programas de profilaxis previa a la exposición (PrEP) para hombres que tienen relaciones sexuales con hombres</t>
  </si>
  <si>
    <t>FunOpp_16:ActAre_179</t>
  </si>
  <si>
    <t>HIV prevention communication, information and demand creation for MSM</t>
  </si>
  <si>
    <t>MCI-01461</t>
  </si>
  <si>
    <t>La communication sur la prévention du VIH, les informations et la création de la demande pour les HSH</t>
  </si>
  <si>
    <t>Comunicación, información y generación de demanda sobre prevención del VIH para hombres que tienen relaciones sexuales con hombres</t>
  </si>
  <si>
    <t>FunOpp_16:ActAre_568</t>
  </si>
  <si>
    <t>Community empowerment for MSM</t>
  </si>
  <si>
    <t>MCI-01462</t>
  </si>
  <si>
    <t>Autonomisation des communautés pour les HSH</t>
  </si>
  <si>
    <t>Capacitación comunitaria para hombres que tienen relaciones sexuales con hombres</t>
  </si>
  <si>
    <t>FunOpp_16:ActAre_177</t>
  </si>
  <si>
    <t>Sexual and reproductive health services, including STIs, hepatitis, post-violence care for MSM</t>
  </si>
  <si>
    <t>MCI-01463</t>
  </si>
  <si>
    <t>Services de santé sexuelle et reproductive, y compris en matière d’IST, d’hépatite et de prise en charge à la suite de violences pour les HSH</t>
  </si>
  <si>
    <t>Servicios de salud sexual y reproductiva, por ejemplo, de ITS, hepatitis y atención para víctimas de la violencia, destinados a hombres que tienen relaciones sexuales con hombres.</t>
  </si>
  <si>
    <t>FunOpp_16:ActAre_593</t>
  </si>
  <si>
    <t>Removing human rights-related barriers to prevention for MSM</t>
  </si>
  <si>
    <t>MCI-01464</t>
  </si>
  <si>
    <t>Éliminer les obstacles liés aux droits humains entravant l’accès à la prévention pour les HSH</t>
  </si>
  <si>
    <t>Eliminación de los obstáculos relacionados con los derechos humanos que impiden el acceso a los servicios de prevención de los hombres que tienen relaciones sexuales con hombres</t>
  </si>
  <si>
    <t>FunOpp_16:ActAre_560</t>
  </si>
  <si>
    <t>Condom and lubricant programing for sex workers</t>
  </si>
  <si>
    <t>MCI-01328</t>
  </si>
  <si>
    <t>a1ODm000000GnuKMAS</t>
  </si>
  <si>
    <t>Programmation relative aux préservatifs et aux gels lubrifiants pour les professionnel(le)s du sexe</t>
  </si>
  <si>
    <t>Programas de preservativos y lubricantes para trabajadores del sexo</t>
  </si>
  <si>
    <t>FunOpp_16:ActAre_49</t>
  </si>
  <si>
    <t>Pre-exposure prophylaxis (PrEP) programing for sex workers</t>
  </si>
  <si>
    <t>MCI-01329</t>
  </si>
  <si>
    <t>Programme de prophylaxie pré-exposition (PrEP) pour les professionnel(le)s du sexe</t>
  </si>
  <si>
    <t>Programas de profilaxis previa a la exposición (PrEP) para trabajadores del sexo</t>
  </si>
  <si>
    <t>FunOpp_16:ActAre_184</t>
  </si>
  <si>
    <t>HIV prevention communication, information and demand creation for sex workers</t>
  </si>
  <si>
    <t>MCI-01330</t>
  </si>
  <si>
    <t>La communication sur la prévention du VIH, l'information et la création de la demande pour les professionnel(le)s du sexe</t>
  </si>
  <si>
    <t>Comunicación, información y generación de demanda sobre prevención del VIH para trabajadores del sexo</t>
  </si>
  <si>
    <t>FunOpp_16:ActAre_569</t>
  </si>
  <si>
    <t>Community empowerment for sex workers</t>
  </si>
  <si>
    <t>MCI-01331</t>
  </si>
  <si>
    <t>Autonomisation des communautés pour les professionnel(le)s du sexe</t>
  </si>
  <si>
    <t>Capacitación comunitaria para trabajadores del sexo</t>
  </si>
  <si>
    <t>FunOpp_16:ActAre_182</t>
  </si>
  <si>
    <t>Sexual and reproductive health services, including STIs, hepatitis, post-violence care for sex workers</t>
  </si>
  <si>
    <t>MCI-01332</t>
  </si>
  <si>
    <t>Services de santé sexuelle et reproductive, y compris en matière d’IST, d’hépatite et de prise en charge à la suite de violences pour les professionnel(le)s du sexe</t>
  </si>
  <si>
    <t>Servicios de salud sexual y reproductiva, por ejemplo, de ITS, hepatitis y atención para víctimas de la violencia, destinados a trabajadores del sexo.</t>
  </si>
  <si>
    <t>FunOpp_16:ActAre_594</t>
  </si>
  <si>
    <t>Removing human rights-related barriers to prevention for sex workers</t>
  </si>
  <si>
    <t>MCI-01333</t>
  </si>
  <si>
    <t>Éliminer les obstacles liés aux droits humains entravant l’accès à la prévention pour les professionnel(le)s du sexe</t>
  </si>
  <si>
    <t>Eliminación de los obstáculos relacionados con los derechos humanos que impiden el acceso a los servicios de prevención de los trabajadores del sexo</t>
  </si>
  <si>
    <t>FunOpp_16:ActAre_561</t>
  </si>
  <si>
    <t>Condom and lubricant programing for transgender people</t>
  </si>
  <si>
    <t>MCI-01438</t>
  </si>
  <si>
    <t>a1ODm000000GnuLMAS</t>
  </si>
  <si>
    <t>Préservatifs et gels lubrifiants pour les personnes transgenres</t>
  </si>
  <si>
    <t>Programas de preservativos y lubricantes para personas transgénero</t>
  </si>
  <si>
    <t>FunOpp_16:ActAre_194</t>
  </si>
  <si>
    <t>Pre-exposure prophylaxis (PrEP) programing for transgender people</t>
  </si>
  <si>
    <t>MCI-01439</t>
  </si>
  <si>
    <t>Prophylaxie pré-exposition (PrEP) pour les personnes transgenres</t>
  </si>
  <si>
    <t>Programas de profilaxis previa a la exposición (PrEP) para personas transgénero</t>
  </si>
  <si>
    <t>FunOpp_16:ActAre_195</t>
  </si>
  <si>
    <t>HIV prevention communication, information and demand creation for transgender people</t>
  </si>
  <si>
    <t>MCI-01440</t>
  </si>
  <si>
    <t>Communication et information sur la prévention du VIH, création de la demande pour les personnes transgenres</t>
  </si>
  <si>
    <t>Comunicación, información y generación de demanda sobre prevención del VIH para personas transgénero</t>
  </si>
  <si>
    <t>FunOpp_16:ActAre_563</t>
  </si>
  <si>
    <t>Community empowerment for transgender people</t>
  </si>
  <si>
    <t>MCI-01441</t>
  </si>
  <si>
    <t>Autonomisation de la communauté des personnes transgenres</t>
  </si>
  <si>
    <t>Capacitación comunitaria para personas transgénero</t>
  </si>
  <si>
    <t>FunOpp_16:ActAre_191</t>
  </si>
  <si>
    <t>Sexual and reproductive health services, including STIs, hepatitis, post-violence care for transgender people</t>
  </si>
  <si>
    <t>MCI-01442</t>
  </si>
  <si>
    <t>Services de santé sexuelle et reproductive, y compris en matière d’IST, d’hépatite et de prise en charge à la suite de violences pour les personnes transgenres</t>
  </si>
  <si>
    <t>Servicios de salud sexual y reproductiva, por ejemplo, de ITS, hepatitis y atención para víctimas de la violencia, destinados a personas transgénero</t>
  </si>
  <si>
    <t>FunOpp_16:ActAre_595</t>
  </si>
  <si>
    <t>Removing human rights-related barriers to prevention for transgender people</t>
  </si>
  <si>
    <t>MCI-01443</t>
  </si>
  <si>
    <t>Élimination des obstacles liés aux droits humains entravant l’accès à la prévention pour les personnes transgenres</t>
  </si>
  <si>
    <t>Eliminación de los obstáculos relacionados con los derechos humanos que impiden el acceso a los servicios de prevención de las personas transgénero</t>
  </si>
  <si>
    <t>FunOpp_16:ActAre_562</t>
  </si>
  <si>
    <t>Needle and syringe programs for PWID</t>
  </si>
  <si>
    <t>MCI-01334</t>
  </si>
  <si>
    <t>a1ODm000000GnuMMAS</t>
  </si>
  <si>
    <t>Programmes d’échange d’aiguilles et de seringues pour les personnes qui consomment des drogues injectables</t>
  </si>
  <si>
    <t>Programas de agujas y jeringas para consumidores de drogas inyectables</t>
  </si>
  <si>
    <t>FunOpp_16:ActAre_461</t>
  </si>
  <si>
    <t>Opioid substitution therapy and other medically assisted drug dependence treatment for PWID</t>
  </si>
  <si>
    <t>MCI-01335</t>
  </si>
  <si>
    <t>Traitement de substitution aux opiacés et autres traitements médicalement assistés contre la toxicomanie pour les personnes qui consomment des drogues injectables</t>
  </si>
  <si>
    <t>Tratamiento de sustitución de opiáceos y otros tratamientos de la drogodependencia que requieren atención médica destinados a consumidores de drogas inyectables.</t>
  </si>
  <si>
    <t>FunOpp_16:ActAre_462</t>
  </si>
  <si>
    <t>Overdose prevention and management for PWID</t>
  </si>
  <si>
    <t>MCI-01336</t>
  </si>
  <si>
    <t>Prévention et prise en charge des overdoses pour les personnes qui consomment des drogues injectables</t>
  </si>
  <si>
    <t>Prevención y gestión de la sobredosis para consumidores de drogas inyectables</t>
  </si>
  <si>
    <t>FunOpp_16:ActAre_189</t>
  </si>
  <si>
    <t>Condom and lubricant programing for PUD</t>
  </si>
  <si>
    <t>MCI-01337</t>
  </si>
  <si>
    <t>Programmation relative aux préservatifs et aux gels lubrifiants pour les personnes qui consomment des drogues</t>
  </si>
  <si>
    <t>Programas de preservativos y lubricantes para usuarios de drogas</t>
  </si>
  <si>
    <t>FunOpp_16:ActAre_55</t>
  </si>
  <si>
    <t>Pre-exposure prophylaxis (PrEP) programing for PUD</t>
  </si>
  <si>
    <t>MCI-01338</t>
  </si>
  <si>
    <t>Programme de prophylaxie pré-exposition (PrEP) pour les personnes qui consomment des drogues</t>
  </si>
  <si>
    <t>Programas de profilaxis previa a la exposición (PrEP) para usuarios de drogas</t>
  </si>
  <si>
    <t>FunOpp_16:ActAre_586</t>
  </si>
  <si>
    <t>HIV prevention communication, information and demand creation for PUD</t>
  </si>
  <si>
    <t>MCI-01339</t>
  </si>
  <si>
    <t>La communication sur la prévention du VIH, l’information et la création de la demande pour les personnes qui consomment des drogues</t>
  </si>
  <si>
    <t>Comunicación, información y generación de demanda sobre prevención del VIH para usuarios de drogas</t>
  </si>
  <si>
    <t>FunOpp_16:ActAre_564</t>
  </si>
  <si>
    <t>Community empowerment for PUD</t>
  </si>
  <si>
    <t>MCI-01340</t>
  </si>
  <si>
    <t>Autonomisation de la communauté pour les personnes qui consomment des drogues</t>
  </si>
  <si>
    <t>Capacitación comunitaria para usuarios de drogas</t>
  </si>
  <si>
    <t>FunOpp_16:ActAre_187</t>
  </si>
  <si>
    <t>Sexual and reproductive health services, including STIs, hepatitis, post-violence care for PUD</t>
  </si>
  <si>
    <t>MCI-01341</t>
  </si>
  <si>
    <t>Services de santé sexuelle et reproductive, y compris en matière d’IST, d’hépatite et de prise en charge à la suite de violences pour les personnes qui consomment des drogues</t>
  </si>
  <si>
    <t>Servicios de salud sexual y reproductiva, por ejemplo, de ITS, hepatitis y atención para víctimas de la violencia, destinados a usuarios de drogas.</t>
  </si>
  <si>
    <t>FunOpp_16:ActAre_596</t>
  </si>
  <si>
    <t>Removing human rights-related barriers to prevention for PUD</t>
  </si>
  <si>
    <t>MCI-01342</t>
  </si>
  <si>
    <t>Éliminer les obstacles liés aux droits humains entravant l’accès à la prévention pour les personnes qui consomment des drogues</t>
  </si>
  <si>
    <t>Eliminación de los obstáculos relacionados con los derechos humanos que impiden el acceso a los servicios de prevención de los usuarios de drogas</t>
  </si>
  <si>
    <t>FunOpp_16:ActAre_557</t>
  </si>
  <si>
    <t>Condom and lubricant programing for prisoners</t>
  </si>
  <si>
    <t>MCI-01444</t>
  </si>
  <si>
    <t>a1ODm000000GnuNMAS</t>
  </si>
  <si>
    <t>Programmation relative aux préservatifs et aux gels lubrifiants pour les personnes incarcérées</t>
  </si>
  <si>
    <t>Programas de preservativos y lubricantes para reclusos</t>
  </si>
  <si>
    <t>FunOpp_16:ActAre_205</t>
  </si>
  <si>
    <t>Pre-exposure prophylaxis (PrEP) programing for prisoners</t>
  </si>
  <si>
    <t>MCI-01445</t>
  </si>
  <si>
    <t>Programme de prophylaxie pré-exposition (PrEP) pour les personnes incarcérées</t>
  </si>
  <si>
    <t>Programas de profilaxis previa a la exposición (PrEP) para reclusos</t>
  </si>
  <si>
    <t>FunOpp_16:ActAre_206</t>
  </si>
  <si>
    <t>HIV prevention communication, information and demand creation for prisoners</t>
  </si>
  <si>
    <t>MCI-01446</t>
  </si>
  <si>
    <t>La communication sur la prévention du VIH, la création d'informations et de la demande pour les personnes incarcérées</t>
  </si>
  <si>
    <t>Comunicación, información y generación de demanda sobre prevención del VIH para reclusos</t>
  </si>
  <si>
    <t>FunOpp_16:ActAre_565</t>
  </si>
  <si>
    <t>Sexual and reproductive health services, including STIs, hepatitis, post-violence care for prisoners</t>
  </si>
  <si>
    <t>MCI-01447</t>
  </si>
  <si>
    <t>Services de santé sexuelle et reproductive, y compris en matière d’IST, d’hépatite et de prise en charge à la suite de violences pour les personnes incarcérées</t>
  </si>
  <si>
    <t>Servicios de salud sexual y reproductiva, por ejemplo, de ITS, hepatitis y atención para víctimas de la violencia, destinados a reclusos</t>
  </si>
  <si>
    <t>FunOpp_16:ActAre_591</t>
  </si>
  <si>
    <t>Harm reduction interventions for drug use for prisoners</t>
  </si>
  <si>
    <t>MCI-01448</t>
  </si>
  <si>
    <t>Interventions de réduction des risques liés à la consommation de drogues pour les personnes incarcérées</t>
  </si>
  <si>
    <t>Intervenciones de reducción de daños para reclusos que consumen drogas</t>
  </si>
  <si>
    <t>FunOpp_16:ActAre_581</t>
  </si>
  <si>
    <t>Removing human rights-related barriers to prevention for prisoners</t>
  </si>
  <si>
    <t>MCI-01449</t>
  </si>
  <si>
    <t>Éliminer les obstacles liés aux droits humains entravant l’accès à la prévention pour les personnes incarcérées</t>
  </si>
  <si>
    <t>Eliminación de los obstáculos relacionados con los derechos humanos que impiden el acceso a los servicios de prevención de los reclusos</t>
  </si>
  <si>
    <t>FunOpp_16:ActAre_558</t>
  </si>
  <si>
    <t>Condom and lubricant programing for OVP</t>
  </si>
  <si>
    <t>MCI-01343</t>
  </si>
  <si>
    <t>a1ODm000000GnuOMAS</t>
  </si>
  <si>
    <t>Programmation relative aux préservatifs et aux gels lubrifiants pour les autres populations vulnérables</t>
  </si>
  <si>
    <t>Programas de preservativos y lubricantes para otras poblaciones vulnerables</t>
  </si>
  <si>
    <t>FunOpp_16:ActAre_579</t>
  </si>
  <si>
    <t>Pre-exposure prophylaxis (PrEP) programing for OVP</t>
  </si>
  <si>
    <t>MCI-01344</t>
  </si>
  <si>
    <t>Programme de prophylaxie pré-exposition (PrEP) pour les autres personnes vulnérables</t>
  </si>
  <si>
    <t>Programas de profilaxis previa a la exposición (PrEP) para otras poblaciones vulnerables</t>
  </si>
  <si>
    <t>FunOpp_16:ActAre_611</t>
  </si>
  <si>
    <t>HIV prevention communication, information and demand creation for OVP</t>
  </si>
  <si>
    <t>MCI-01345</t>
  </si>
  <si>
    <t>La communication sur la prévention du VIH, l'information et la création de la demande pour les autres personnes vulnérables</t>
  </si>
  <si>
    <t>Comunicación, información y generación de demanda sobre prevención del VIH para otras poblaciones vulnerables</t>
  </si>
  <si>
    <t>FunOpp_16:ActAre_566</t>
  </si>
  <si>
    <t>Community empowerment for OVP</t>
  </si>
  <si>
    <t>MCI-01346</t>
  </si>
  <si>
    <t>Autonomisation de la communauté pour les autres personnes vulnérables</t>
  </si>
  <si>
    <t>Capacitación comunitaria para otras poblaciones vulnerables</t>
  </si>
  <si>
    <t>FunOpp_16:ActAre_604</t>
  </si>
  <si>
    <t>Sexual and reproductive health services, including STIs, hepatitis, post-violence care for OVP</t>
  </si>
  <si>
    <t>MCI-01347</t>
  </si>
  <si>
    <t>Services de santé sexuelle et reproductive, y compris en matière d’IST, d’hépatite et de prise en charge à la suite de violences pour les autres personnes vulnérables</t>
  </si>
  <si>
    <t>Servicios de salud sexual y reproductiva, por ejemplo, de ITS, hepatitis y atención para víctimas de la violencia, destinados a otras poblaciones clave</t>
  </si>
  <si>
    <t>FunOpp_16:ActAre_597</t>
  </si>
  <si>
    <t>Removing human rights-related barriers to prevention for OVP</t>
  </si>
  <si>
    <t>MCI-01348</t>
  </si>
  <si>
    <t>Éliminer les obstacles liés aux droits humains entravant l’accès à la prévention pour les autres personnes vulnérables</t>
  </si>
  <si>
    <t>Eliminación de los obstáculos relacionados con los derechos humanos que impiden el acceso a los servicios de prevención de otras poblaciones vulnerables</t>
  </si>
  <si>
    <t>FunOpp_16:ActAre_602</t>
  </si>
  <si>
    <t>Condom and lubricant programing for AGYW in high HIV incidence settings</t>
  </si>
  <si>
    <t>MCI-01510</t>
  </si>
  <si>
    <t>a1ODm000000GnuPMAS</t>
  </si>
  <si>
    <t>Programmation relative aux préservatifs et aux gels lubrifiants pour les adolescentes et les jeunes femmes dans des contextes où l’incidence du VIH est élevée</t>
  </si>
  <si>
    <t>Programas de preservativos y lubricantes para niñas adolescentes y mujeres jóvenes en entornos con una incidencia elevada del VIH</t>
  </si>
  <si>
    <t>FunOpp_16:ActAre_580</t>
  </si>
  <si>
    <t>Condom and lubricant programing for male sexual partners of AGYW in high HIV incidence settings</t>
  </si>
  <si>
    <t>MCI-01511</t>
  </si>
  <si>
    <t>Programmation relative aux préservatifs et aux gels lubrifiants pour les partenaires sexuels masculins des adolescentes et des jeunes femmes dans des contextes où l’incidence du VIH est élevée</t>
  </si>
  <si>
    <t>Programas de preservativos y lubricantes para las parejas sexuales masculinas de niñas adolescentes y mujeres jóvenes en entornos con una incidencia elevada del VIH</t>
  </si>
  <si>
    <t>FunOpp_16:ActAre_605</t>
  </si>
  <si>
    <t>HIV prevention communication, information and demand creation for AGYW in high HIV incidence settings</t>
  </si>
  <si>
    <t>MCI-01512</t>
  </si>
  <si>
    <t>La communication sur la prévention du VIH, l'information et la création de la demande pour les adolescentes et les jeunes femmes dans des contextes où l’incidence du VIH est élevée</t>
  </si>
  <si>
    <t>Comunicación, información y generación de demanda sobre prevención del VIH para niñas adolescentes y mujeres jóvenes en entornos con una incidencia elevada del VIH</t>
  </si>
  <si>
    <t>FunOpp_16:ActAre_567</t>
  </si>
  <si>
    <t>HIV prevention communication, information and demand creation for male sexual partners of AGYW in high HIV incidence settings</t>
  </si>
  <si>
    <t>MCI-01513</t>
  </si>
  <si>
    <t>La communication sur la prévention du VIH, l'information et la création de la demande pour les partenaires sexuels masculins des adolescentes et des jeunes femmes dans des contextes où l’incidence du VIH est élevée</t>
  </si>
  <si>
    <t>Comunicación, información y generación de demanda sobre prevención del VIH para las parejas sexuales masculinas de niñas adolescentes y mujeres jóvenes en entornos con una incidencia elevada del VIH</t>
  </si>
  <si>
    <t>FunOpp_16:ActAre_603</t>
  </si>
  <si>
    <t>Comprehensive sexuality education for adolescent girls and young women (AGYW) and adolescent boys and young men (ABYM)</t>
  </si>
  <si>
    <t>MCI-01514</t>
  </si>
  <si>
    <t>Éducation sexuelle complète pour les adolescentes et les jeunes femmes et les adolescents et les jeunes hommes</t>
  </si>
  <si>
    <t>Educación sexual integral para niñas adolescentes y mujeres jóvenes y niños adolescentes y hombres jóvenes</t>
  </si>
  <si>
    <t>FunOpp_16:ActAre_442</t>
  </si>
  <si>
    <t>Pre-exposure prophylaxis (PrEP) programing for AGYW in high HIV incidence settings</t>
  </si>
  <si>
    <t>MCI-01515</t>
  </si>
  <si>
    <t>Programmation relative à la prophylaxie pré-exposition (PrEP) pour les adolescentes et les jeunes femmes dans des contextes où l’incidence du VIH est élevée</t>
  </si>
  <si>
    <t>Programas de profilaxis previa a la exposición (PrEP) para niñas adolescentes y mujeres jóvenes en entornos con una incidencia elevada del VIH</t>
  </si>
  <si>
    <t>FunOpp_16:ActAre_588</t>
  </si>
  <si>
    <t>Pre-exposure prophylaxis (PrEP) programing for male sexual partners of AGYW in high HIV incidence settings</t>
  </si>
  <si>
    <t>MCI-01516</t>
  </si>
  <si>
    <t>Programmation relative à la prophylaxie pré-exposition (PrEP) pour les partenaires sexuels masculins des adolescentes et des jeunes femmes dans des contextes où l’incidence du VIH est élevée</t>
  </si>
  <si>
    <t>Programas de profilaxis previa a la exposición (PrEP) para las parejas sexuales masculinas de niñas adolescentes y mujeres jóvenes en entornos con una incidencia elevada del VIH</t>
  </si>
  <si>
    <t>FunOpp_16:ActAre_589</t>
  </si>
  <si>
    <t>Sexual and reproductive health services, including STIs, hepatitis, post-violence care for AGYW and male sexual partners in high HIV incidence settings</t>
  </si>
  <si>
    <t>MCI-01517</t>
  </si>
  <si>
    <t>Services de santé sexuelle et reproductive, y compris en matière d’IST, d’hépatite et de prise en charge à la suite de violences pour les adolescentes et les jeunes femmes et leurs partenaires sexuels masculins dans des contextes où l’incidence du VIH est élevée</t>
  </si>
  <si>
    <t>Servicios de salud sexual y reproductiva, por ejemplo, de ITS, hepatitis y atención para víctimas de la violencia, destinados a niñas adolescentes y mujeres jóvenes y sus parejas sexuales masculinas en entornos con una incidencia elevada del VIH</t>
  </si>
  <si>
    <t>FunOpp_16:ActAre_582</t>
  </si>
  <si>
    <t>Removing human rights-related barriers to prevention for AGYW in high HIV incidence settings</t>
  </si>
  <si>
    <t>MCI-01518</t>
  </si>
  <si>
    <t>Éliminer les obstacles liés aux droits humains qui entravent l’accès à la prévention pour les adolescentes et jeunes femmes dans des contextes où l’incidence du VIH est élevée</t>
  </si>
  <si>
    <t>Eliminación de los obstáculos relacionados con los derechos humanos que impiden el acceso a los servicios de prevención de las niñas adolescentes y las mujeres jóvenes en entornos con incidencia elevada del VIH</t>
  </si>
  <si>
    <t>FunOpp_16:ActAre_559</t>
  </si>
  <si>
    <t>Social protection interventions for AGYW in high HIV incidence settings</t>
  </si>
  <si>
    <t>MCI-01519</t>
  </si>
  <si>
    <t>Interventions de protection sociale pour les adolescentes et les jeunes femmes dans des contextes où l’incidence du VIH est élevée</t>
  </si>
  <si>
    <t>Intervenciones de protección social para niñas adolescentes y mujeres jóvenes en entornos con una incidencia elevada del VIH</t>
  </si>
  <si>
    <t>FunOpp_16:ActAre_459</t>
  </si>
  <si>
    <t>Voluntary medical male circumcision</t>
  </si>
  <si>
    <t>MCI-01520</t>
  </si>
  <si>
    <t>Circoncision masculine médicale volontaire</t>
  </si>
  <si>
    <t>Circuncisión masculina médica voluntaria</t>
  </si>
  <si>
    <t>FunOpp_16:ActAre_460</t>
  </si>
  <si>
    <t>MCI-01493</t>
  </si>
  <si>
    <t>a1ODm000000GnuQMAS</t>
  </si>
  <si>
    <t>FunOpp_16:ActAre_590</t>
  </si>
  <si>
    <t>Integrated testing of pregnant women for HIV, syphilis and hepatitis B</t>
  </si>
  <si>
    <t>MCI-01349</t>
  </si>
  <si>
    <t>a1ODm000000GnuRMAS</t>
  </si>
  <si>
    <t>Dépistage intégré des femmes enceintes pour le VIH, la syphilis et l’hépatite B</t>
  </si>
  <si>
    <t>Pruebas integradas del VIH, la sífilis y la hepatitis B para mujeres embarazadas</t>
  </si>
  <si>
    <t>FunOpp_16:ActAre_606</t>
  </si>
  <si>
    <t>Prevention of incident HIV among pregnant and breastfeeding women</t>
  </si>
  <si>
    <t>MCI-01350</t>
  </si>
  <si>
    <t>Prévention de l’incidence du VIH chez les femmes enceintes et les femmes allaitantes</t>
  </si>
  <si>
    <t>Prevención de casos incidentes del VIH en mujeres embarazadas y lactantes</t>
  </si>
  <si>
    <t>FunOpp_16:ActAre_607</t>
  </si>
  <si>
    <t>Post-natal infant prophylaxis</t>
  </si>
  <si>
    <t>MCI-01351</t>
  </si>
  <si>
    <t>Prophylaxie postnatale des nourrissons</t>
  </si>
  <si>
    <t>Profilaxis posparto en lactantes</t>
  </si>
  <si>
    <t>FunOpp_16:ActAre_608</t>
  </si>
  <si>
    <t>Early infant diagnosis and follow-up HIV testing for exposed infants</t>
  </si>
  <si>
    <t>MCI-01352</t>
  </si>
  <si>
    <t>Diagnostic précoce du nourrisson et dépistage de suivi du VIH chez les nourrissons exposés</t>
  </si>
  <si>
    <t>Diagnóstico precoz infantil y pruebas del VIH de monitoreo en lactantes expuestos al virus</t>
  </si>
  <si>
    <t>FunOpp_16:ActAre_609</t>
  </si>
  <si>
    <t>Retention support for pregnant and breastfeeding women (facility and community)</t>
  </si>
  <si>
    <t>MCI-01353</t>
  </si>
  <si>
    <t>Soutien à la rétention pour les femmes enceintes et allaitantes (établissement et communauté)</t>
  </si>
  <si>
    <t>Apoyo para la retención de mujeres embarazadas y lactantes (en los establecimientos de salud y las comunidades)</t>
  </si>
  <si>
    <t>FunOpp_16:ActAre_610</t>
  </si>
  <si>
    <t>Facility-based testing for key population (KP) programs</t>
  </si>
  <si>
    <t>MCI-01450</t>
  </si>
  <si>
    <t>a1ODm000000GnuSMAS</t>
  </si>
  <si>
    <t>Dépistage au niveau des établissements pour les programmes destinés aux populations clés</t>
  </si>
  <si>
    <t>Pruebas en establecimientos de salud dentro de los programas para poblaciones clave</t>
  </si>
  <si>
    <t>FunOpp_16:ActAre_548</t>
  </si>
  <si>
    <t>Facility-based testing for adolescent girls and young women (AGYW) and their male sexual partners programs</t>
  </si>
  <si>
    <t>MCI-01451</t>
  </si>
  <si>
    <t>Programmes de dépistage au niveau des établissements pour les adolescentes et les jeunes femmes et leurs partenaires sexuels masculins</t>
  </si>
  <si>
    <t>Pruebas en los establecimientos de salud dentro de los programas para niñas adolescentes y mujeres jóvenes y sus parejas sexuales masculinas</t>
  </si>
  <si>
    <t>FunOpp_16:ActAre_549</t>
  </si>
  <si>
    <t>Facility-based testing outside of key population (KP) and adolescent girls and young women (AGYW) programs</t>
  </si>
  <si>
    <t>MCI-01452</t>
  </si>
  <si>
    <t>Dépistage au niveau des formations sanitaires, en dehors des programmes pour les populations clés et les adolescentes et les jeunes femmes</t>
  </si>
  <si>
    <t>Pruebas en establecimientos de salud fuera de los programas para poblaciones clave y niñas adolescentes y mujeres jóvenes</t>
  </si>
  <si>
    <t>FunOpp_16:ActAre_550</t>
  </si>
  <si>
    <t>Community-based testing for KP programs</t>
  </si>
  <si>
    <t>MCI-01453</t>
  </si>
  <si>
    <t>Dépistage au niveau communautaire pour les programmes destinés aux populations clés</t>
  </si>
  <si>
    <t>Pruebas a nivel comunitario en programas para poblaciones clave</t>
  </si>
  <si>
    <t>FunOpp_16:ActAre_551</t>
  </si>
  <si>
    <t>Community-based testing for AGYW and their male sexual partners programs</t>
  </si>
  <si>
    <t>MCI-01454</t>
  </si>
  <si>
    <t>Programmes de dépistage au niveau communautaire pour les adolescentes et les jeunes femmes et leurs partenaires sexuels masculins</t>
  </si>
  <si>
    <t>Pruebas a nivel comunitario dentro de los programas para niñas adolescentes y mujeres jóvenes y sus parejas sexuales masculinas</t>
  </si>
  <si>
    <t>FunOpp_16:ActAre_552</t>
  </si>
  <si>
    <t>Community-based testing outside of KP and AGYW programs</t>
  </si>
  <si>
    <t>MCI-01455</t>
  </si>
  <si>
    <t>Dépistage au niveau communautaire en dehors des programmes pour les populations clés et les adolescentes et les jeunes femmes</t>
  </si>
  <si>
    <t>Pruebas a nivel comunitario fuera de los programas para poblaciones clave y niñas adolescentes y mujeres jóvenes</t>
  </si>
  <si>
    <t>FunOpp_16:ActAre_553</t>
  </si>
  <si>
    <t>Self-testing for KP programs</t>
  </si>
  <si>
    <t>MCI-01456</t>
  </si>
  <si>
    <t>Autodépistage pour les programmes destinés aux populations clés</t>
  </si>
  <si>
    <t>Pruebas de autodiagnóstico en programas para poblaciones clave</t>
  </si>
  <si>
    <t>FunOpp_16:ActAre_554</t>
  </si>
  <si>
    <t>Self-testing for AGYW and their male sexual partners programs</t>
  </si>
  <si>
    <t>MCI-01457</t>
  </si>
  <si>
    <t>Programmes d’autodépistage pour les adolescentes et les jeunes femmes et leurs partenaires sexuels masculins</t>
  </si>
  <si>
    <t>Pruebas de autodiagnóstico en los programas para niñas adolescentes y mujeres jóvenes y sus parejas sexuales masculinas</t>
  </si>
  <si>
    <t>FunOpp_16:ActAre_555</t>
  </si>
  <si>
    <t>Self-testing outside of KP and AGYW programs</t>
  </si>
  <si>
    <t>MCI-01458</t>
  </si>
  <si>
    <t>Autodépistage en dehors des programmes pour les populations clés et les adolescentes et les jeunes femmes</t>
  </si>
  <si>
    <t>Pruebas de autodiagnóstico fuera de los programas para poblaciones clave y niñas adolescentes y mujeres jóvenes</t>
  </si>
  <si>
    <t>FunOpp_16:ActAre_556</t>
  </si>
  <si>
    <t>HIV treatment and differentiated service delivery - adults (15 and above)</t>
  </si>
  <si>
    <t>MCI-01354</t>
  </si>
  <si>
    <t>a1ODm000000GnuTMAS</t>
  </si>
  <si>
    <t>Traitement du VIH et prestation de services différenciés - Adultes (15 ans et plus)</t>
  </si>
  <si>
    <t>Tratamiento del VIH y prestación de servicios diferenciados - Adultos (de 15 años en adelante)</t>
  </si>
  <si>
    <t>FunOpp_16:ActAre_598</t>
  </si>
  <si>
    <t>HIV treatment and differentiated service delivery - children (under 15)</t>
  </si>
  <si>
    <t>MCI-01355</t>
  </si>
  <si>
    <t>Traitement du VIH et prestation de services différenciés - Enfants (de moins de 15 ans)</t>
  </si>
  <si>
    <t>Tratamiento del VIH y prestación de servicios diferenciados - Niños (menores de 15 años)</t>
  </si>
  <si>
    <t>FunOpp_16:ActAre_599</t>
  </si>
  <si>
    <t>Treatment monitoring - Drug resistance</t>
  </si>
  <si>
    <t>MCI-01356</t>
  </si>
  <si>
    <t>Suivi du traitement - Pharmacorésistance</t>
  </si>
  <si>
    <t>Monitoreo del tratamiento: farmacorresistencia</t>
  </si>
  <si>
    <t>FunOpp_16:ActAre_80</t>
  </si>
  <si>
    <t>Treatment monitoring - Viral load and antiretroviral (ARV) toxicity</t>
  </si>
  <si>
    <t>MCI-01357</t>
  </si>
  <si>
    <t>Suivi du traitement – Charge virale et toxicité des antirétroviraux</t>
  </si>
  <si>
    <t>Monitoreo del tratamiento: carga viral y toxicidad de los antirretrovirales</t>
  </si>
  <si>
    <t>FunOpp_16:ActAre_419</t>
  </si>
  <si>
    <t>Integrated management of common co-infections and co-morbidities (adults and children)</t>
  </si>
  <si>
    <t>MCI-01358</t>
  </si>
  <si>
    <t>Prise en charge intégrée des co-infections et comorbidités courantes (adultes et enfants)</t>
  </si>
  <si>
    <t>Gestión integrada de coinfecciones y comorbilidades comunes (en adultos y niños)</t>
  </si>
  <si>
    <t>FunOpp_16:ActAre_600</t>
  </si>
  <si>
    <t>Diagnosis and management of advanced disease (adults and children)</t>
  </si>
  <si>
    <t>MCI-01359</t>
  </si>
  <si>
    <t>Diagnostic et prise en charge de la maladie à un stade avancé (adultes et enfants)</t>
  </si>
  <si>
    <t>Diagnóstico y gestión de enfermedades avanzadas (en adultos y niños)</t>
  </si>
  <si>
    <t>FunOpp_16:ActAre_601</t>
  </si>
  <si>
    <t>Eliminating stigma and discrimination in all settings</t>
  </si>
  <si>
    <t>MCI-01465</t>
  </si>
  <si>
    <t>a1ODm000000GnuUMAS</t>
  </si>
  <si>
    <t>Élimination de la stigmatisation et la discrimination dans tous les contextes</t>
  </si>
  <si>
    <t>Eliminación de la estigmatización y la discriminación en todos los entornos</t>
  </si>
  <si>
    <t>FunOpp_16:ActAre_222</t>
  </si>
  <si>
    <t>Legal literacy (“Know Your Rights”) (HIV/TB)</t>
  </si>
  <si>
    <t>MCI-01466</t>
  </si>
  <si>
    <t>Éducation juridique ("Connaissez vos droits") (VIH/la TB)</t>
  </si>
  <si>
    <t>Educación sobre cuestiones jurídicas ("Conoce tus derechos") (VIH y TB)</t>
  </si>
  <si>
    <t>FunOpp_16:ActAre_223</t>
  </si>
  <si>
    <t>Ensuring nondiscriminatory provision of health care</t>
  </si>
  <si>
    <t>MCI-01467</t>
  </si>
  <si>
    <t>Garantir une offre de soins de santé non discriminatoires</t>
  </si>
  <si>
    <t>Asegurar la prestación de atención sanitaria no discriminatoria</t>
  </si>
  <si>
    <t>FunOpp_16:ActAre_224</t>
  </si>
  <si>
    <t>Increasing access to justice (HIV/TB)</t>
  </si>
  <si>
    <t>MCI-01468</t>
  </si>
  <si>
    <t>Amélioration de l'accès à la justice (TB/VIH)</t>
  </si>
  <si>
    <t>Ampliar el acceso a la justicia (VIH/TB)</t>
  </si>
  <si>
    <t>FunOpp_16:ActAre_225</t>
  </si>
  <si>
    <t>Ensuring rights-based law enforcement practices</t>
  </si>
  <si>
    <t>MCI-01469</t>
  </si>
  <si>
    <t>Garantie de l'application des droits fondamentaux</t>
  </si>
  <si>
    <t>Asegurar prácticas de aplicación de la ley basadas en los derechos</t>
  </si>
  <si>
    <t>FunOpp_16:ActAre_226</t>
  </si>
  <si>
    <t>Improving laws, regulations and polices relating to HIV and HIV/TB</t>
  </si>
  <si>
    <t>MCI-01470</t>
  </si>
  <si>
    <t>Amélioration des lois, des règlements et des politiques liés au VIH et à la co-infection VIH/TB</t>
  </si>
  <si>
    <t>Mejora de leyes, reglamentos y políticas relacionadas con el VIH y la TB y el VIH</t>
  </si>
  <si>
    <t>FunOpp_16:ActAre_227</t>
  </si>
  <si>
    <t>Reducing HIV-related gender discrimination, harmful gender norms and violence against women and girls in all their diversity</t>
  </si>
  <si>
    <t>MCI-01471</t>
  </si>
  <si>
    <t>Réduction de toutes les discriminations liées au VIH fondées sur le genre, sur des normes de genre nocives et la violence contre les femmes et les filles dans toute leur diversité</t>
  </si>
  <si>
    <t>Reducción de la discriminación por motivos de género relacionada con el VIH, las normas de género perjudiciales y la violencia contra las mujeres y las niñas en toda su diversidad</t>
  </si>
  <si>
    <t>FunOpp_16:ActAre_228</t>
  </si>
  <si>
    <t>Community mobilization and advocacy for human rights</t>
  </si>
  <si>
    <t>MCI-01472</t>
  </si>
  <si>
    <t>Mobilisation et plaidoyer communautaires en faveur des droits humains</t>
  </si>
  <si>
    <t>Movilización y abogacía comunitarias en defensa de los derechos humanos</t>
  </si>
  <si>
    <t>FunOpp_16:ActAre_423</t>
  </si>
  <si>
    <t>TB screening and diagnosis</t>
  </si>
  <si>
    <t>MCI-01360</t>
  </si>
  <si>
    <t>a1ODm000000GnuVMAS</t>
  </si>
  <si>
    <t>Dépistage et diagnostic de la TB</t>
  </si>
  <si>
    <t>Detección de casos y diagnóstico de la TB</t>
  </si>
  <si>
    <t>FunOpp_16:ActAre_87</t>
  </si>
  <si>
    <t>TB treatment, care and support</t>
  </si>
  <si>
    <t>MCI-01361</t>
  </si>
  <si>
    <t>Traitement, prise en charge et soutien de la TB</t>
  </si>
  <si>
    <t>Tratamiento, atención y apoyo para la TB</t>
  </si>
  <si>
    <t>FunOpp_16:ActAre_88</t>
  </si>
  <si>
    <t>DR-TB diagnosis/drug susceptibility testing (DST)</t>
  </si>
  <si>
    <t>MCI-01368</t>
  </si>
  <si>
    <t>a1ODm000000GnuWMAS</t>
  </si>
  <si>
    <t>Diagnostic de la TB pharmacorésistante/Test de sensibilité aux médicaments (DST)</t>
  </si>
  <si>
    <t>Diagnóstico de la TB-DR/pruebas de sensibilidad a los fármacos (PSF)</t>
  </si>
  <si>
    <t>FunOpp_16:ActAre_101</t>
  </si>
  <si>
    <t>DR-TB treatment, care and support</t>
  </si>
  <si>
    <t>MCI-01369</t>
  </si>
  <si>
    <t>Traitement, prise en charge et soutien de la TB pharmacorésistante (DR-TB)</t>
  </si>
  <si>
    <t>Tratamiento, atención y apoyo para la TB-DR</t>
  </si>
  <si>
    <t>FunOpp_16:ActAre_102</t>
  </si>
  <si>
    <t>Screening/testing for TB infection</t>
  </si>
  <si>
    <t>MCI-01507</t>
  </si>
  <si>
    <t>a1ODm000000GnuXMAS</t>
  </si>
  <si>
    <t>Dépistage/tests pour l’infection tuberculeuse</t>
  </si>
  <si>
    <t>Tamizaje y pruebas de infección por TB</t>
  </si>
  <si>
    <t>FunOpp_16:ActAre_537</t>
  </si>
  <si>
    <t>Preventive treatment</t>
  </si>
  <si>
    <t>MCI-01508</t>
  </si>
  <si>
    <t>Traitement préventif</t>
  </si>
  <si>
    <t>Tratamiento preventivo</t>
  </si>
  <si>
    <t>FunOpp_16:ActAre_538</t>
  </si>
  <si>
    <t>Infection prevention and control (IPC)</t>
  </si>
  <si>
    <t>MCI-01509</t>
  </si>
  <si>
    <t>Prévention et contrôle des infections</t>
  </si>
  <si>
    <t>Prevención y control de infecciones</t>
  </si>
  <si>
    <t>FunOpp_16:ActAre_539</t>
  </si>
  <si>
    <t>Private provider engagement in TB/DR-TB care</t>
  </si>
  <si>
    <t>MCI-01498</t>
  </si>
  <si>
    <t>a1ODm000000GnuYMAS</t>
  </si>
  <si>
    <t>Engagement des prestataires privés pour les soins de la TB/DR-TB</t>
  </si>
  <si>
    <t>Implicación de los proveedores privados en la atención de la TB/TB-DR</t>
  </si>
  <si>
    <t>FunOpp_16:ActAre_583</t>
  </si>
  <si>
    <t>Community-based TB/DR-TB care</t>
  </si>
  <si>
    <t>MCI-01499</t>
  </si>
  <si>
    <t>Prise en charge de la TB/DR-TB au niveau communautaire</t>
  </si>
  <si>
    <t>Atención comunitaria de la TB/TB-DR</t>
  </si>
  <si>
    <t>FunOpp_16:ActAre_570</t>
  </si>
  <si>
    <t>Collaboration with other programs/sectors</t>
  </si>
  <si>
    <t>MCI-01500</t>
  </si>
  <si>
    <t>Collaboration avec d’autres programmes/secteurs</t>
  </si>
  <si>
    <t>Colaboración con otros programas o sectores</t>
  </si>
  <si>
    <t>FunOpp_16:ActAre_93</t>
  </si>
  <si>
    <t>KVP - Children and adolescents</t>
  </si>
  <si>
    <t>MCI-01501</t>
  </si>
  <si>
    <t>a1ODm000000GnuZMAS</t>
  </si>
  <si>
    <t>PCV - Enfants et adolescents</t>
  </si>
  <si>
    <t>Poblaciones clave y vulnerables – Niños y adolescentes</t>
  </si>
  <si>
    <t>FunOpp_16:ActAre_413</t>
  </si>
  <si>
    <t>KVP - People in prisons/jails/detention centers</t>
  </si>
  <si>
    <t>MCI-01502</t>
  </si>
  <si>
    <t>PCV - Personnes en prison/maison d’arrêt/centres de détention</t>
  </si>
  <si>
    <t>Poblaciones clave y vulnerables - Personas en prisiones, cárceles o centros de detención</t>
  </si>
  <si>
    <t>FunOpp_16:ActAre_231</t>
  </si>
  <si>
    <t>KVP - Mobile population (migrants/refugees/IDPs)</t>
  </si>
  <si>
    <t>MCI-01503</t>
  </si>
  <si>
    <t>PCV - Population mobile (migrants/réfugiés/ personnes déplacées à l'intérieur de leur pays)</t>
  </si>
  <si>
    <t>Poblaciones clave y vulnerables - Poblaciones móviles (migrantes/refugiados/desplazados internos)</t>
  </si>
  <si>
    <t>FunOpp_16:ActAre_415</t>
  </si>
  <si>
    <t>KVP - Miners and mining communities</t>
  </si>
  <si>
    <t>MCI-01504</t>
  </si>
  <si>
    <t>PCV - Mineurs et communautés minières</t>
  </si>
  <si>
    <t>Poblaciones clave y vulnerables - Mineros y comunidades mineras</t>
  </si>
  <si>
    <t>FunOpp_16:ActAre_414</t>
  </si>
  <si>
    <t>KVP - Urban poor/slum dwellers</t>
  </si>
  <si>
    <t>MCI-01505</t>
  </si>
  <si>
    <t>PCV - Population urbaine pauvre/habitants de bidonvilles</t>
  </si>
  <si>
    <t>Poblaciones clave y vulnerables – Personas con pocos recursos en entornos urbanos/habitantes de barrios marginales</t>
  </si>
  <si>
    <t>FunOpp_16:ActAre_540</t>
  </si>
  <si>
    <t>KVP - Others</t>
  </si>
  <si>
    <t>MCI-01506</t>
  </si>
  <si>
    <t>PCV - Autres</t>
  </si>
  <si>
    <t>Poblaciones clave y vulnerables - Otros</t>
  </si>
  <si>
    <t>FunOpp_16:ActAre_106</t>
  </si>
  <si>
    <t>TB/HIV - Collaborative interventions</t>
  </si>
  <si>
    <t>MCI-01362</t>
  </si>
  <si>
    <t>a1ODm000000GnuaMAC</t>
  </si>
  <si>
    <t>TB/VIH - Interventions concertées</t>
  </si>
  <si>
    <t>TB/VIH - Intervenciones de colaboración</t>
  </si>
  <si>
    <t>FunOpp_16:ActAre_95</t>
  </si>
  <si>
    <t>TB/HIV - Screening, testing and diagnosis</t>
  </si>
  <si>
    <t>MCI-01363</t>
  </si>
  <si>
    <t>TB/VIH - Dépistage, tests et diagnostics</t>
  </si>
  <si>
    <t>TB/VIH - Tamizaje, realización de pruebas y diagnóstico</t>
  </si>
  <si>
    <t>FunOpp_16:ActAre_410</t>
  </si>
  <si>
    <t>TB/HIV - Treatment and care</t>
  </si>
  <si>
    <t>MCI-01364</t>
  </si>
  <si>
    <t>TB/VIH - Traitement et prise en charge</t>
  </si>
  <si>
    <t>TB/VIH - Tratamiento y atención</t>
  </si>
  <si>
    <t>FunOpp_16:ActAre_411</t>
  </si>
  <si>
    <t>TB/HIV - Prevention</t>
  </si>
  <si>
    <t>MCI-01365</t>
  </si>
  <si>
    <t>TB/VIH - Prévention</t>
  </si>
  <si>
    <t>TB/VIH - Prevención</t>
  </si>
  <si>
    <t>FunOpp_16:ActAre_412</t>
  </si>
  <si>
    <t>TB/HIV - Community care delivery</t>
  </si>
  <si>
    <t>MCI-01366</t>
  </si>
  <si>
    <t>TB/VIH - Prestation de soins communautaires</t>
  </si>
  <si>
    <t>TB/VIH - Prestación de servicios de atención en la comunidad</t>
  </si>
  <si>
    <t>FunOpp_16:ActAre_97</t>
  </si>
  <si>
    <t>TB/HIV - Key populations</t>
  </si>
  <si>
    <t>MCI-01367</t>
  </si>
  <si>
    <t>TB/VIH - Populations clés</t>
  </si>
  <si>
    <t>TB/VIH - Poblaciones clave</t>
  </si>
  <si>
    <t>FunOpp_16:ActAre_545</t>
  </si>
  <si>
    <t>Eliminating TB-related stigma and discrimination</t>
  </si>
  <si>
    <t>MCI-01476</t>
  </si>
  <si>
    <t>a1ODm000000GnubMAC</t>
  </si>
  <si>
    <t>Élimination de la stigmatisation et de la discrimination liées à la TB</t>
  </si>
  <si>
    <t>Eliminar la estigmatización y la discriminación relacionadas con la TB</t>
  </si>
  <si>
    <t>FunOpp_16:ActAre_436</t>
  </si>
  <si>
    <t>Ensuring people-centered and rights-based TB services at health facilities</t>
  </si>
  <si>
    <t>MCI-01477</t>
  </si>
  <si>
    <t>Garantie de services de lutte contre la TB centrés sur la personne et fondés sur les droits dans les formations sanitaires</t>
  </si>
  <si>
    <t>Asegurar servicios de TB centrados en las personas y basados en los derechos en los establecimientos de salud</t>
  </si>
  <si>
    <t>FunOpp_16:ActAre_541</t>
  </si>
  <si>
    <t>Ensuring people-centered and rights-based law enforcement practices</t>
  </si>
  <si>
    <t>MCI-01478</t>
  </si>
  <si>
    <t>Garantie des pratiques d'application des lois centrées sur la personne et fondées sur les droits</t>
  </si>
  <si>
    <t>Asegurar prácticas de aplicación de la ley centradas en las personas y basadas en los derechos</t>
  </si>
  <si>
    <t>FunOpp_16:ActAre_542</t>
  </si>
  <si>
    <t>Legal literacy (“Know Your Rights”) (TB)</t>
  </si>
  <si>
    <t>MCI-01479</t>
  </si>
  <si>
    <t>Éducation juridique ("Connaissez vos droits") (TB)</t>
  </si>
  <si>
    <t>Educación sobre cuestiones jurídicas ("Conoce tus derechos") (TB)</t>
  </si>
  <si>
    <t>FunOpp_16:ActAre_437</t>
  </si>
  <si>
    <t>Increasing access to justice (TB)</t>
  </si>
  <si>
    <t>MCI-01480</t>
  </si>
  <si>
    <t>Améliorer l'accès à la justice (TB)</t>
  </si>
  <si>
    <t>Ampliar el acceso a la justicia (TB)</t>
  </si>
  <si>
    <t>FunOpp_16:ActAre_438</t>
  </si>
  <si>
    <t>Monitoring and reforming policies, regulations and laws</t>
  </si>
  <si>
    <t>MCI-01481</t>
  </si>
  <si>
    <t>Suivi et réforme des politiques, réglementations et lois</t>
  </si>
  <si>
    <t>Monitoreo y reforma de las políticas, los reglamentos y las leyes</t>
  </si>
  <si>
    <t>FunOpp_16:ActAre_439</t>
  </si>
  <si>
    <t>Addressing needs of people in prisons and other closed settings</t>
  </si>
  <si>
    <t>MCI-01482</t>
  </si>
  <si>
    <t>Réponse aux besoins des personnes incarcérées ou se trouvant dans d’autres lieux fermés</t>
  </si>
  <si>
    <t>Atender las necesidades de las personas en centros penitenciarios y otros lugares de reclusión</t>
  </si>
  <si>
    <t>FunOpp_16:ActAre_543</t>
  </si>
  <si>
    <t>Reducing TB-related gender discrimination, harmful gender norms and violence</t>
  </si>
  <si>
    <t>MCI-01483</t>
  </si>
  <si>
    <t>Réduction de la discrimination fondée sur le genre, des normes de genre nocives et de la violence en lien avec la TB</t>
  </si>
  <si>
    <t>Reducir la discriminación por motivos de género relacionada con la TB, las normas de género perjudiciales y la violencia</t>
  </si>
  <si>
    <t>FunOpp_16:ActAre_544</t>
  </si>
  <si>
    <t>Community mobilization and advocacy, including support to TB survivor-led groups</t>
  </si>
  <si>
    <t>MCI-01484</t>
  </si>
  <si>
    <t>Mobilisation et sensibilisation de la communauté, y compris soutien aux groupes dirigés par des survivants à la TB</t>
  </si>
  <si>
    <t>Movilización y abogacía dirigidas por la comunidad, incluido el apoyo a los grupos de personas que han superado la TB</t>
  </si>
  <si>
    <t>FunOpp_16:ActAre_440</t>
  </si>
  <si>
    <t>Coordination and management of national disease control programs</t>
  </si>
  <si>
    <t>MCI-01435</t>
  </si>
  <si>
    <t>a1ODm000000GnufMAC</t>
  </si>
  <si>
    <t>Coordination et gestion de programmes nationaux de lutte contre les maladies</t>
  </si>
  <si>
    <t>Coordinación y gestión de los programas nacionales de control de enfermedades</t>
  </si>
  <si>
    <t>FunOpp_16:ActAre_167</t>
  </si>
  <si>
    <t>Grant management</t>
  </si>
  <si>
    <t>MCI-01436</t>
  </si>
  <si>
    <t>Gestion des subventions</t>
  </si>
  <si>
    <t>Gestión de subvenciones</t>
  </si>
  <si>
    <t>FunOpp_16:ActAre_168</t>
  </si>
  <si>
    <t>MCI-01437</t>
  </si>
  <si>
    <t>a1ODm000000GnugMAC</t>
  </si>
  <si>
    <t>FunOpp_16:ActAre_171</t>
  </si>
  <si>
    <t>National health sector strategy, policy &amp; regulations</t>
  </si>
  <si>
    <t>MCI-01473</t>
  </si>
  <si>
    <t>a1ODm000000GnuhMAC</t>
  </si>
  <si>
    <t>Stratégie nationale du secteur de la santé, politiques et réglementations</t>
  </si>
  <si>
    <t>Estrategia, política y regulaciones del sector sanitario nacional</t>
  </si>
  <si>
    <t>FunOpp_16:ActAre_253</t>
  </si>
  <si>
    <t>Integration/coordination across disease programs and at the service delivery level</t>
  </si>
  <si>
    <t>MCI-01474</t>
  </si>
  <si>
    <t>Intégration ou coordination au sein des programmes de lutte contre les maladies et au niveau de la prestation de services</t>
  </si>
  <si>
    <t>Integración y coordinación entre los programas de enfermedades y a nivel de la prestación de servicios</t>
  </si>
  <si>
    <t>FunOpp_16:ActAre_432</t>
  </si>
  <si>
    <t>Supporting private sector engagement</t>
  </si>
  <si>
    <t>MCI-01475</t>
  </si>
  <si>
    <t>Soutien de l'implication du secteur privé</t>
  </si>
  <si>
    <t>Apoyo de la participación del sector privado</t>
  </si>
  <si>
    <t>FunOpp_16:ActAre_529</t>
  </si>
  <si>
    <t>Community-led monitoring</t>
  </si>
  <si>
    <t>MCI-01422</t>
  </si>
  <si>
    <t>a1ODm000000GnuiMAC</t>
  </si>
  <si>
    <t>Suivi dirigé par les communautés</t>
  </si>
  <si>
    <t>Monitoreo dirigido por la comunidad</t>
  </si>
  <si>
    <t>FunOpp_16:ActAre_156</t>
  </si>
  <si>
    <t>Community-led research and advocacy</t>
  </si>
  <si>
    <t>MCI-01423</t>
  </si>
  <si>
    <t>Recherche et plaidoyer dirigés par les communautés</t>
  </si>
  <si>
    <t>Abogacía e investigación dirigidas por la comunidad</t>
  </si>
  <si>
    <t>FunOpp_16:ActAre_157</t>
  </si>
  <si>
    <t>Community engagement, linkages and coordination</t>
  </si>
  <si>
    <t>MCI-01424</t>
  </si>
  <si>
    <t>Participation, liens et coordination au sein des communautés</t>
  </si>
  <si>
    <t>Participación comunitaria, vínculos y coordinación</t>
  </si>
  <si>
    <t>FunOpp_16:ActAre_158</t>
  </si>
  <si>
    <t>Capacity building and leadership development</t>
  </si>
  <si>
    <t>MCI-01425</t>
  </si>
  <si>
    <t>Renforcement des capacités et développement du leadership</t>
  </si>
  <si>
    <t>Capacitación y desarrollo del liderazgo</t>
  </si>
  <si>
    <t>FunOpp_16:ActAre_159</t>
  </si>
  <si>
    <t>Health financing strategies and planning</t>
  </si>
  <si>
    <t>MCI-01415</t>
  </si>
  <si>
    <t>a1ODm000000GnujMAC</t>
  </si>
  <si>
    <t>Stratégies de financement du secteur de la santé et planification connexe</t>
  </si>
  <si>
    <t>Planificación y estrategias de financiamiento de la salud</t>
  </si>
  <si>
    <t>FunOpp_16:ActAre_524</t>
  </si>
  <si>
    <t>Public financial management (PFM) systems</t>
  </si>
  <si>
    <t>MCI-01416</t>
  </si>
  <si>
    <t>Systèmes de gestion des finances publiques</t>
  </si>
  <si>
    <t>Sistemas de gestión de finanzas públicas</t>
  </si>
  <si>
    <t>FunOpp_16:ActAre_148</t>
  </si>
  <si>
    <t>Routine financial management systems</t>
  </si>
  <si>
    <t>MCI-01417</t>
  </si>
  <si>
    <t>Systèmes de gestion financière de routine</t>
  </si>
  <si>
    <t>Sistemas de gestión financiera ordinaria</t>
  </si>
  <si>
    <t>FunOpp_16:ActAre_242</t>
  </si>
  <si>
    <t>Community-led advocacy and monitoring of domestic resource mobilization</t>
  </si>
  <si>
    <t>MCI-01418</t>
  </si>
  <si>
    <t>Plaidoyer et suivi dirigé par la communauté de la mobilisation des ressources nationales</t>
  </si>
  <si>
    <t>Abogacía dirigida por la comunidad y monitoreo de la movilización de recursos nacionales</t>
  </si>
  <si>
    <t>FunOpp_16:ActAre_525</t>
  </si>
  <si>
    <t>Social contracting</t>
  </si>
  <si>
    <t>MCI-01419</t>
  </si>
  <si>
    <t>Contractualisation sociale</t>
  </si>
  <si>
    <t>Contratación social</t>
  </si>
  <si>
    <t>FunOpp_16:ActAre_526</t>
  </si>
  <si>
    <t>Health financing data and analytics</t>
  </si>
  <si>
    <t>MCI-01420</t>
  </si>
  <si>
    <t>Données et analyses liées au financement de la santé</t>
  </si>
  <si>
    <t>Datos del financiamiento de la salud y análisis</t>
  </si>
  <si>
    <t>FunOpp_16:ActAre_527</t>
  </si>
  <si>
    <t>Blended financing arrangements</t>
  </si>
  <si>
    <t>MCI-01421</t>
  </si>
  <si>
    <t>Modalités de financement mixte</t>
  </si>
  <si>
    <t>Acuerdos de financiamiento mixto</t>
  </si>
  <si>
    <t>FunOpp_16:ActAre_528</t>
  </si>
  <si>
    <t>Policy, strategy, governance</t>
  </si>
  <si>
    <t>MCI-01408</t>
  </si>
  <si>
    <t>a1ODm000000GnukMAC</t>
  </si>
  <si>
    <t>Politique, stratégie, gouvernance</t>
  </si>
  <si>
    <t>Política, estrategia, gobernanza</t>
  </si>
  <si>
    <t>FunOpp_16:ActAre_465</t>
  </si>
  <si>
    <t>Storage and distribution capacity, design &amp; operations</t>
  </si>
  <si>
    <t>MCI-01409</t>
  </si>
  <si>
    <t>Capacité d’entreposage et de distribution, conception et opérations</t>
  </si>
  <si>
    <t>Capacidad, diseño y operaciones de almacenamiento y distribución</t>
  </si>
  <si>
    <t>FunOpp_16:ActAre_433</t>
  </si>
  <si>
    <t>Planning and procurement capacity</t>
  </si>
  <si>
    <t>MCI-01410</t>
  </si>
  <si>
    <t>Capacité de planification et d’achat</t>
  </si>
  <si>
    <t>Planificación y capacidad de adquisición</t>
  </si>
  <si>
    <t>FunOpp_16:ActAre_434</t>
  </si>
  <si>
    <t>Regulatory/quality assurance support</t>
  </si>
  <si>
    <t>MCI-01411</t>
  </si>
  <si>
    <t>Soutien en matière de réglementation ou d’assurance qualité</t>
  </si>
  <si>
    <t>Apoyo regulador y aseguramiento de la calidad</t>
  </si>
  <si>
    <t>FunOpp_16:ActAre_466</t>
  </si>
  <si>
    <t>Avoidance, reduction and management of health care waste</t>
  </si>
  <si>
    <t>MCI-01412</t>
  </si>
  <si>
    <t>Prévention, réduction et gestion des déchets liés aux soins de santé</t>
  </si>
  <si>
    <t>Evitar, reducir y gestionar los residuos de la atención sanitaria</t>
  </si>
  <si>
    <t>FunOpp_16:ActAre_424</t>
  </si>
  <si>
    <t>Supply chain information systems</t>
  </si>
  <si>
    <t>MCI-01413</t>
  </si>
  <si>
    <t>Systèmes d’information de la chaîne d’approvisionnement</t>
  </si>
  <si>
    <t>Sistemas de información la cadena de suministros</t>
  </si>
  <si>
    <t>FunOpp_16:ActAre_516</t>
  </si>
  <si>
    <t>Augmenting national supply chain system with outsourcing</t>
  </si>
  <si>
    <t>MCI-01414</t>
  </si>
  <si>
    <t>Élargissement du système national de la chaîne d’approvisionnement au moyen de l’externalisation</t>
  </si>
  <si>
    <t>Ampliación del sistema nacional de la cadena de suministros mediante la subcontratación</t>
  </si>
  <si>
    <t>FunOpp_16:ActAre_517</t>
  </si>
  <si>
    <t>RSSH/PP: HRH planning, management and governance including for community health workers (CHWs)</t>
  </si>
  <si>
    <t>MCI-01398</t>
  </si>
  <si>
    <t>a1ODm000000GnulMAC</t>
  </si>
  <si>
    <t>SRPS / PP : planification, gestion et gouvernance des RHS, y compris des ASC</t>
  </si>
  <si>
    <t>SSRS y preparación frente a pandemias: planificación, gestión y gobernanza de los recursos humanos para la salud, incluidos los trabajadores de salud comunitarios</t>
  </si>
  <si>
    <t>FunOpp_16:ActAre_428</t>
  </si>
  <si>
    <t>RSSH/PP: Education and production of new health workers (excluding community health workers)</t>
  </si>
  <si>
    <t>MCI-01399</t>
  </si>
  <si>
    <t>SRPS / PP : Education et développement de nouveaux agents de santé (à l’exception des ASC)</t>
  </si>
  <si>
    <t>SSRS y preparación frente a pandemias: educación y desarrollo de nuevos trabajadores sanitarios (con exclusión de los trabajadores de salud comunitarios)</t>
  </si>
  <si>
    <t>FunOpp_16:ActAre_425</t>
  </si>
  <si>
    <t>RSSH/PP: Remuneration and deployment of existing/new staff (excluding community health workers)</t>
  </si>
  <si>
    <t>MCI-01400</t>
  </si>
  <si>
    <t>SRPS / PP : rémunération et déploiement de personnel actuel ou nouveau (à l’exception des ASC)</t>
  </si>
  <si>
    <t>SSRS y preparación frente a pandemias: remuneración y despliegue del personal nuevo o existente (excepto los trabajadores de salud comunitarios)</t>
  </si>
  <si>
    <t>FunOpp_16:ActAre_426</t>
  </si>
  <si>
    <t>RSSH/PP: In-service training (excluding community health workers)</t>
  </si>
  <si>
    <t>MCI-01401</t>
  </si>
  <si>
    <t>SRPS / PP : formation continue (à l’exception des Agents de Santé Communautaires)</t>
  </si>
  <si>
    <t>SSRS y preparación frente a pandemias: formación durante la prestación de los servicios (con exclusión de los trabajadores de salud comunitarios)</t>
  </si>
  <si>
    <t>FunOpp_16:ActAre_427</t>
  </si>
  <si>
    <t>RSSH/PP: Integrated supportive supervision for health workers (excluding CHWs)</t>
  </si>
  <si>
    <t>MCI-01402</t>
  </si>
  <si>
    <t>SRPS / PP : supervision formative intégrée pour les agents de santé (à l’exception des ASC)</t>
  </si>
  <si>
    <t>SSRS y preparación frente a pandemias: supervisión de apoyo integrada para trabajadores sanitarios (con exclusión de los trabajadores de salud comunitarios)</t>
  </si>
  <si>
    <t>FunOpp_16:ActAre_521</t>
  </si>
  <si>
    <t>RSSH/PP: Quality improvement and capacity building for quality of care</t>
  </si>
  <si>
    <t>MCI-01403</t>
  </si>
  <si>
    <t>SRPS / PP : amélioration de la qualité et renforcement des capacités en matière de qualité des soins</t>
  </si>
  <si>
    <t>SSRS y preparación frente a pandemias: mejora de la calidad y capacitación para la calidad de la atención</t>
  </si>
  <si>
    <t>FunOpp_16:ActAre_522</t>
  </si>
  <si>
    <t>RSSH/PP: Community health workers: selection, pre-service training and certification</t>
  </si>
  <si>
    <t>MCI-01404</t>
  </si>
  <si>
    <t>SRPS / PP : ASC – sélection, formation initiale et certification</t>
  </si>
  <si>
    <t>SSRS y preparación frente a pandemias: selección, formación previa a la prestación del servicio y certificación de los trabajadores de salud comunitarios</t>
  </si>
  <si>
    <t>FunOpp_16:ActAre_429</t>
  </si>
  <si>
    <t>RSSH/PP: Community health workers: contracting, remuneration and retention</t>
  </si>
  <si>
    <t>MCI-01405</t>
  </si>
  <si>
    <t>SRPS / PP : ASC – contractualisation, rémunération et rétention en poste</t>
  </si>
  <si>
    <t>SSRS y preparación frente a pandemias: contratación, remuneración y retención de trabajadores de salud comunitarios</t>
  </si>
  <si>
    <t>FunOpp_16:ActAre_430</t>
  </si>
  <si>
    <t>RSSH/PP: Community health workers: In-service training</t>
  </si>
  <si>
    <t>MCI-01406</t>
  </si>
  <si>
    <t>SRPS / PP : ASC – formation continue</t>
  </si>
  <si>
    <t>SSRS y preparación frente a pandemias: formación de los trabajadores de salud comunitarios durante la prestación del servicio</t>
  </si>
  <si>
    <t>FunOpp_16:ActAre_431</t>
  </si>
  <si>
    <t>RSSH/PP: Community health workers: Integrated supportive supervision</t>
  </si>
  <si>
    <t>MCI-01407</t>
  </si>
  <si>
    <t>SRPS / PP : ASC – supervision formative intégrée</t>
  </si>
  <si>
    <t>SSRS y preparación frente a pandemias: supervisión de apoyo integrada de los trabajadores de salud comunitarios</t>
  </si>
  <si>
    <t>FunOpp_16:ActAre_523</t>
  </si>
  <si>
    <t>RSSH/PP: National laboratory governance and management structures</t>
  </si>
  <si>
    <t>MCI-01485</t>
  </si>
  <si>
    <t>a1ODm000000GnumMAC</t>
  </si>
  <si>
    <t>SRPS / PP : structures nationales de gestion et de gouvernance des laboratoires</t>
  </si>
  <si>
    <t>SSRS y preparación frente a pandemias: estructuras de gestión y gobernanza de los laboratorios nacionales</t>
  </si>
  <si>
    <t>FunOpp_16:ActAre_447</t>
  </si>
  <si>
    <t>RSSH/PP: Quality management systems and accreditation</t>
  </si>
  <si>
    <t>MCI-01486</t>
  </si>
  <si>
    <t>SRPS / PP : systèmes de gestion de la qualité et accréditation</t>
  </si>
  <si>
    <t>SSRS y preparación frente a pandemias: sistemas de gestión de la calidad y acreditación</t>
  </si>
  <si>
    <t>FunOpp_16:ActAre_449</t>
  </si>
  <si>
    <t>RSSH/PP: Laboratory Information systems</t>
  </si>
  <si>
    <t>MCI-01487</t>
  </si>
  <si>
    <t>SRPS / PP : systèmes d’information de laboratoire</t>
  </si>
  <si>
    <t>SSRS y preparación frente a pandemias: sistemas de información de laboratorios</t>
  </si>
  <si>
    <t>FunOpp_16:ActAre_450</t>
  </si>
  <si>
    <t>RSSH/PP: Network optimization and geospatial analysis</t>
  </si>
  <si>
    <t>MCI-01488</t>
  </si>
  <si>
    <t>SRPS / PP : optimisation du réseau et analyse géospatiale</t>
  </si>
  <si>
    <t>SSRS y preparación frente a pandemias: optimización de la red y análisis geoespacial</t>
  </si>
  <si>
    <t>FunOpp_16:ActAre_530</t>
  </si>
  <si>
    <t>RSSH/PP: Laboratory-based surveillance</t>
  </si>
  <si>
    <t>MCI-01489</t>
  </si>
  <si>
    <t>SRPS / PP : surveillance en laboratoire</t>
  </si>
  <si>
    <t>SSRS y preparación frente a pandemias: vigilancia laboratorial</t>
  </si>
  <si>
    <t>FunOpp_16:ActAre_531</t>
  </si>
  <si>
    <t>RSSH/PP: Laboratory supply chain systems</t>
  </si>
  <si>
    <t>MCI-01490</t>
  </si>
  <si>
    <t>SRPS / PP : systèmes d’approvisionnement des laboratoires</t>
  </si>
  <si>
    <t>SSRS y preparación frente a pandemias: sistemas de la cadena de suministros para los laboratorios</t>
  </si>
  <si>
    <t>FunOpp_16:ActAre_451</t>
  </si>
  <si>
    <t>RSSH/PP: Specimen referral and transport system</t>
  </si>
  <si>
    <t>MCI-01491</t>
  </si>
  <si>
    <t>SRPS / PP : système d’envoi et de transport des échantillons</t>
  </si>
  <si>
    <t>SSRS y preparación frente a pandemias: sistema de derivación y transporte de muestras</t>
  </si>
  <si>
    <t>FunOpp_16:ActAre_532</t>
  </si>
  <si>
    <t>RSSH/PP: Biosafety and biosecurity, infrastructure and equipment</t>
  </si>
  <si>
    <t>MCI-01492</t>
  </si>
  <si>
    <t>SRPS / PP : biosûreté et biosécurité, infrastructure et matériel</t>
  </si>
  <si>
    <t>SSRS y preparación frente a pandemias: bioseguridad, bioprotección, equipamiento e infraestructura</t>
  </si>
  <si>
    <t>FunOpp_16:ActAre_448</t>
  </si>
  <si>
    <t>RSSH/PP: Bulk Oxygen supply</t>
  </si>
  <si>
    <t>MCI-01494</t>
  </si>
  <si>
    <t>a1ODm000000GnunMAC</t>
  </si>
  <si>
    <t>SRPS / PP : approvisionnement en oxygène en vrac</t>
  </si>
  <si>
    <t>SSRS y preparación frente a pandemias: suministro de oxígeno a granel</t>
  </si>
  <si>
    <t>FunOpp_16:ActAre_533</t>
  </si>
  <si>
    <t>RSSH/PP: Oxygen distribution and storage</t>
  </si>
  <si>
    <t>MCI-01495</t>
  </si>
  <si>
    <t>SRPS / PP : distribution et stockage d’oxygène</t>
  </si>
  <si>
    <t>SSRS y preparación frente a pandemias: distribución y almacenamiento del oxígeno</t>
  </si>
  <si>
    <t>FunOpp_16:ActAre_534</t>
  </si>
  <si>
    <t>RSSH/PP: Oxygen delivery and respiratory care</t>
  </si>
  <si>
    <t>MCI-01496</t>
  </si>
  <si>
    <t>SRPS / PP : administration d’oxygène et soins respiratoires</t>
  </si>
  <si>
    <t>SSRS y preparación frente a pandemias: administración de oxígeno y atención respiratoria</t>
  </si>
  <si>
    <t>FunOpp_16:ActAre_535</t>
  </si>
  <si>
    <t>RSSH/PP: Oxygen support systems</t>
  </si>
  <si>
    <t>MCI-01497</t>
  </si>
  <si>
    <t>SRPS / PP : systèmes de soutien en matière d’oxygène</t>
  </si>
  <si>
    <t>SSRS y preparación frente a pandemias: sistemas de apoyo relacionado con el oxígeno</t>
  </si>
  <si>
    <t>FunOpp_16:ActAre_536</t>
  </si>
  <si>
    <t>Routine reporting</t>
  </si>
  <si>
    <t>MCI-01426</t>
  </si>
  <si>
    <t>a1ODm000000GnuoMAC</t>
  </si>
  <si>
    <t>Rapportage des données de routine</t>
  </si>
  <si>
    <t>Informes rutinarios</t>
  </si>
  <si>
    <t>FunOpp_16:ActAre_161</t>
  </si>
  <si>
    <t>Surveillance for HIV, tuberculosis and malaria</t>
  </si>
  <si>
    <t>MCI-01427</t>
  </si>
  <si>
    <t>Surveillance du VIH, de la TB et du paludisme</t>
  </si>
  <si>
    <t>Vigilancia para el VIH, la TB y la malaria</t>
  </si>
  <si>
    <t>FunOpp_16:ActAre_519</t>
  </si>
  <si>
    <t>RSSH/PP: Surveillance for priority epidemic-prone diseases and events</t>
  </si>
  <si>
    <t>MCI-01428</t>
  </si>
  <si>
    <t>SRPS / PP : surveillance des maladies et des événements prioritaires susceptibles de provoquer des épidémies</t>
  </si>
  <si>
    <t>SSRS y preparación frente a pandemias: vigilancia de eventos y enfermedades con potencial epidémico prioritarios</t>
  </si>
  <si>
    <t>FunOpp_16:ActAre_520</t>
  </si>
  <si>
    <t>Surveys</t>
  </si>
  <si>
    <t>MCI-01429</t>
  </si>
  <si>
    <t>Enquêtes</t>
  </si>
  <si>
    <t>Encuestas</t>
  </si>
  <si>
    <t>FunOpp_16:ActAre_163</t>
  </si>
  <si>
    <t>Data quality</t>
  </si>
  <si>
    <t>MCI-01430</t>
  </si>
  <si>
    <t>Qualité des données</t>
  </si>
  <si>
    <t>Calidad de los datos</t>
  </si>
  <si>
    <t>FunOpp_16:ActAre_239</t>
  </si>
  <si>
    <t>Analyses, evaluations, reviews and data use</t>
  </si>
  <si>
    <t>MCI-01431</t>
  </si>
  <si>
    <t>Analyses, évaluations, examens et utilisation des données</t>
  </si>
  <si>
    <t>Análisis, evaluaciones, revisiones y uso de los datos</t>
  </si>
  <si>
    <t>FunOpp_16:ActAre_162</t>
  </si>
  <si>
    <t>Administrative data sources</t>
  </si>
  <si>
    <t>MCI-01432</t>
  </si>
  <si>
    <t>Sources de données administratives</t>
  </si>
  <si>
    <t>Fuentes de datos administrativos</t>
  </si>
  <si>
    <t>FunOpp_16:ActAre_164</t>
  </si>
  <si>
    <t>Civil registration and vital statistics</t>
  </si>
  <si>
    <t>MCI-01433</t>
  </si>
  <si>
    <t>Registres et statistiques de l’état civil</t>
  </si>
  <si>
    <t>Registro civil y estadísticas vitales</t>
  </si>
  <si>
    <t>FunOpp_16:ActAre_165</t>
  </si>
  <si>
    <t>Operational Research</t>
  </si>
  <si>
    <t>MCI-01434</t>
  </si>
  <si>
    <t>Recherche opérationnelle</t>
  </si>
  <si>
    <t>Investigación operativa</t>
  </si>
  <si>
    <t>FunOpp_16:ActAre_518</t>
  </si>
  <si>
    <t>PRIORITIZED ABOVE ALLOCATION REQUEST (PAAR)</t>
  </si>
  <si>
    <t>Language</t>
  </si>
  <si>
    <t>USD Equivalent</t>
  </si>
  <si>
    <t>CONTEXTUAL INFORMATION</t>
  </si>
  <si>
    <t>Provide contextual information relevant to the prioritized above allocation request, explaining prioritization and the strategic focus of the modules proposed for additional funding and how it will complement the allocation request to achieve higher impact.  
The response may include for example: 
• any highlights of the epidemiological context
• outstanding programmatic gaps that need to be addressed 
• any considerations or data that informed the request
• explanations clarifying linkages to the allocation funding
For additional space, the applicant can expand the row height for a bigger box</t>
  </si>
  <si>
    <t xml:space="preserve">In the table below, provide a prioritized above allocation request. If deemed technically sound and strategically focused by the TRP, interventions will be included on the Register of Unfunded Quality Demand. They can be funded from several sources throughout the grant life cycle, including grant savings and efficiencies, Global Fund's portfolio optimization, private sector investments, and/or Debt2Health or other blended finance agreements. 
The above allocation request should present a coherent investment approach with a limited number of large and strategically focused interventions selected to achieve high impact. Applicants are also encouraged to include prioritized interventions related to pandemic preparedness and investments that could potentially be financed through innovative (blended) finance mechanisms, in case additional funding becomes available during the grant lifecycle. A clear rationale should be given for the selected modules and interventions, and the request should be aligned with the programming of the allocation. Applicants should indicate a relative priority order for funding each intervention requested (i.e., high, medium, or low priority). 
Under the Brief Rationale the request should provide high-level assumptions and rationale for the budget amount, linked to information on expected activities. Lump sums are strongly discouraged. The prioritized above allocation request should be ambitious, representing at least 30 percent of the allocation amount. 
Table guidance for the applicant:
 •	 The modules/interventions of the request should be ranked in order of decreasing importance (with priority level "high" meaning highest priority/importance). 
 •	 To align with the Global Fund modules and interventions, please select them ONLY from each drop-down.
 •	 Only whole numbers should be entered.
 •	 For additional space, the applicant can expand the width and height of each cell for a bigger box.
 •	 For additional modules (in case there is insufficient space), please insert additional rows.
 </t>
  </si>
  <si>
    <t xml:space="preserve">Intervention </t>
  </si>
  <si>
    <t>Amount Requested (Allocation Currency)</t>
  </si>
  <si>
    <t>Amount Requested (USD)</t>
  </si>
  <si>
    <t xml:space="preserve">Brief Rationale, including expected outcomes and impact (explain how the request builds on the allocation). 
Provide high-level assumptions and rationale for the budget. </t>
  </si>
  <si>
    <t>TRP Recommended Amount (Allocation Currency)</t>
  </si>
  <si>
    <t>TRP Recommended Amount (USD)</t>
  </si>
  <si>
    <t>TRP Notes (only mandatory for "Not Recommended", partially recommended, or when priority rating differs)</t>
  </si>
  <si>
    <t>TOTAL AMOUNT</t>
  </si>
  <si>
    <t>ADDITIONAL INFORMATION</t>
  </si>
  <si>
    <t>Instructions for Applicant:
• Select the corresponding module
• Select the corresponding intervention
• Enter the corresponding requested amount
• Enter the additional information you wish to add to the Brief Rationale section from the tab "Applicant-Candidat-Solicitante"</t>
  </si>
  <si>
    <t>Intervention</t>
  </si>
  <si>
    <t>Amount requested</t>
  </si>
  <si>
    <t>Additional rationale</t>
  </si>
  <si>
    <t>Language2</t>
  </si>
  <si>
    <t>Document Title</t>
  </si>
  <si>
    <t>Version</t>
  </si>
  <si>
    <t>Header 1</t>
  </si>
  <si>
    <t>Summary Info 1</t>
  </si>
  <si>
    <t>Summary Info 2</t>
  </si>
  <si>
    <t>Summary Info 3</t>
  </si>
  <si>
    <t>Summary Info 4</t>
  </si>
  <si>
    <t>Summary Info 5</t>
  </si>
  <si>
    <t>Header 2</t>
  </si>
  <si>
    <t>Header 2 Instructions</t>
  </si>
  <si>
    <t>Header 3</t>
  </si>
  <si>
    <t>Header 3 Instructions</t>
  </si>
  <si>
    <t>PAAR 1</t>
  </si>
  <si>
    <t>PAAR 2</t>
  </si>
  <si>
    <t>PAAR 3</t>
  </si>
  <si>
    <t>PAAR 4</t>
  </si>
  <si>
    <t>PAAR 5</t>
  </si>
  <si>
    <t>PAAR 6</t>
  </si>
  <si>
    <t>PAAR 7</t>
  </si>
  <si>
    <t>PAAR 8</t>
  </si>
  <si>
    <t>PAAR 9</t>
  </si>
  <si>
    <t>PAAR 10</t>
  </si>
  <si>
    <t>PAAR 11</t>
  </si>
  <si>
    <t>Header 4</t>
  </si>
  <si>
    <t>Header 4 Instructions</t>
  </si>
  <si>
    <t>Additional Info 1</t>
  </si>
  <si>
    <t>Additional Info 2</t>
  </si>
  <si>
    <t>Additional Info 3</t>
  </si>
  <si>
    <t>Additional Info 4</t>
  </si>
  <si>
    <t>Column1</t>
  </si>
  <si>
    <t>Instructions</t>
  </si>
  <si>
    <t>PAAR 12</t>
  </si>
  <si>
    <t>PAAR 13</t>
  </si>
  <si>
    <t>PAAR 14</t>
  </si>
  <si>
    <t>PAAR 15</t>
  </si>
  <si>
    <t>Instructions Tab 1</t>
  </si>
  <si>
    <t>Instructions Tab 2</t>
  </si>
  <si>
    <t>Instructions Tab 3</t>
  </si>
  <si>
    <t>Instructions Tab 4</t>
  </si>
  <si>
    <t>Instructions Tab 5</t>
  </si>
  <si>
    <t>Instructions Tab 6</t>
  </si>
  <si>
    <t>Instructions Tab 7</t>
  </si>
  <si>
    <t>Instructions Tab 8</t>
  </si>
  <si>
    <t>Instructions Tab 9</t>
  </si>
  <si>
    <t>Instructions Tab 10</t>
  </si>
  <si>
    <t>Instructions Tab 11</t>
  </si>
  <si>
    <t>Instructions Tab 12</t>
  </si>
  <si>
    <t>Instructions Tab 13</t>
  </si>
  <si>
    <t>Instructions Tab 14</t>
  </si>
  <si>
    <t>Instructions Tab 15</t>
  </si>
  <si>
    <t>Instructions Tab 16</t>
  </si>
  <si>
    <t>Instructions Tab 17</t>
  </si>
  <si>
    <t>Instructions Tab 18</t>
  </si>
  <si>
    <t>Instructions Tab 19</t>
  </si>
  <si>
    <t>Instructions Tab 20</t>
  </si>
  <si>
    <t>Instructions Tab 21</t>
  </si>
  <si>
    <t>Instructions Tab 22</t>
  </si>
  <si>
    <t>Instructions Tab 23</t>
  </si>
  <si>
    <t>Instructions Tab 24</t>
  </si>
  <si>
    <t>Instructions Tab 25</t>
  </si>
  <si>
    <t>Instructions Tab 26</t>
  </si>
  <si>
    <t>Instructions Tab 27</t>
  </si>
  <si>
    <t>Instructions Tab 28</t>
  </si>
  <si>
    <t>Instructions Tab 29</t>
  </si>
  <si>
    <t>Instructions Tab 30</t>
  </si>
  <si>
    <t>Instructions Tab 31</t>
  </si>
  <si>
    <t>Instructions Tab 32</t>
  </si>
  <si>
    <t>Instructions Tab 33</t>
  </si>
  <si>
    <t>Instructions Tab 34</t>
  </si>
  <si>
    <t>Instructions Tab 35</t>
  </si>
  <si>
    <t>Instructions Tab 36</t>
  </si>
  <si>
    <t>Instructions Tab 37</t>
  </si>
  <si>
    <t>Instructions Tab 38</t>
  </si>
  <si>
    <t>Instructions Tab 39</t>
  </si>
  <si>
    <t>Instructions Tab 40</t>
  </si>
  <si>
    <t>Instructions Tab 41</t>
  </si>
  <si>
    <t>Instructions Tab 42</t>
  </si>
  <si>
    <t>Instructions Tab 43</t>
  </si>
  <si>
    <t>Instructions Tab 44</t>
  </si>
  <si>
    <t>Instructions Tab 45</t>
  </si>
  <si>
    <t>Instructions Tab 46</t>
  </si>
  <si>
    <t>Instructions Tab 47</t>
  </si>
  <si>
    <t>Instructions Tab 48</t>
  </si>
  <si>
    <t>Instructions Tab 49</t>
  </si>
  <si>
    <t>Instructions Tab 50</t>
  </si>
  <si>
    <t>Instructions Tab 51</t>
  </si>
  <si>
    <t>Instructions Tab 52</t>
  </si>
  <si>
    <t>Instructions Tab 53</t>
  </si>
  <si>
    <t>Instructions Tab 54</t>
  </si>
  <si>
    <t>Instructions Tab 55</t>
  </si>
  <si>
    <t>Instructions Tab 56</t>
  </si>
  <si>
    <t>Version: August 2018</t>
  </si>
  <si>
    <t>SUMMARY INFORMATION</t>
  </si>
  <si>
    <t>Country or Group of Countries</t>
  </si>
  <si>
    <t>Component(s)</t>
  </si>
  <si>
    <t>Funding request this request relates to</t>
  </si>
  <si>
    <t>Currency</t>
  </si>
  <si>
    <t>Total above allocation request</t>
  </si>
  <si>
    <t xml:space="preserve">In the table below, provide a prioritized above allocation request. If deemed technically sound and strategically focused by the TRP, interventions will be included on the Register of Unfunded Quality Demand. They can be funded from several sources throughout the grant life cycle, including grant savings and efficiencies, Global Fund's portfolio optimization, private sector investments, and/or Debt2Health or other blended finance agreements. 
The above allocation request should present a coherent investment approach with a limited number of large and strategically focused interventions selected to achieve high impact. Applicants are also encouraged to include prioritized interventions related to pandemic preparedness and investments that could potentially be financed through innovative (blended) finance mechanisms, in case additional funding becomes available during the grant lifecycle. A clear rationale should be given for the selected modules and interventions, and the request should be aligned with the programming of the allocation. Applicants should indicate a relative priority order for funding each intervention requested (i.e., high, medium, or low priority). 
Under the Brief Rationale the request should provide high-level assumptions and rationale for the budget amount, linked to information on expected activities. Lump sums are strongly discouraged. The prioritized above allocation request should be ambitious, representing at least 30 percent of the allocation amount. 
Table guidance for the applicant:
 •	 The modules/interventions of the request should be ranked in order of decreasing importance (with priority level "high" meaning highest priority/importance). 
 •	 To align with the Global Fund modules and interventions, please select them ONLY from each drop-down.
 •	 Only whole numbers should be entered.
 •	 For additional space, the applicant can expand the width and height of each cell for a bigger box.
 •	 For additional modules (in case there is insufficient space), please insert additional rows.
</t>
  </si>
  <si>
    <t>TRP amount approved (allocation currency)</t>
  </si>
  <si>
    <t>TRP recommended amount</t>
  </si>
  <si>
    <t>Translated Brief Rationale (filled in by A2F only)</t>
  </si>
  <si>
    <t>Total Above Allocation Request</t>
  </si>
  <si>
    <t>Instructions for applicants
Applicants are first requested to provide contextual information about the Prioritized Above Allocation Request in the field “Contextual Information” at the top of the PAAR tab.  This field should include information about why the selected modules were identified and prioritized for additional funding.  
The full list of PAAR interventions should be entered in the table “Prioritized Above Allocation Request (PAAR)”.  Applicants should enter data into columns A, B, D, F and H, starting from the “Applicant Priority Rating” and ending with the “Brief Rationale”. The content for the three first columns is selected from pick-up lists. Ensure that the correct priority rating, module and intervention are selected for each individual line. The column “Amount Requested (USD)” is automatically completed once the value of the prior column is entered.
Please note: The fields “Brief Rationale (Translated)” and the last three green columns are not to be filled in by the applicants.
Please ensure that all applicant fields have been entered in the “Prioritized Above Allocation Request (PAAR)” table. Once the contextual information and columns A-F are completed, please save the Excel file and include it as part of documents submitted with the Funding Request.</t>
  </si>
  <si>
    <t>TRP amount approved (USD)</t>
  </si>
  <si>
    <t>Error Messages (if relevant)</t>
  </si>
  <si>
    <t>The selected module does not exist.</t>
  </si>
  <si>
    <t>The selected intervention does not exist</t>
  </si>
  <si>
    <t>Instructions for completing the Prioritized Above Allocation Request template</t>
  </si>
  <si>
    <t>I. Introduction</t>
  </si>
  <si>
    <t>1. These instructions guide applicants on how to complete the Prioritized Above Allocation Request (PAAR) excel template.</t>
  </si>
  <si>
    <t>2. The PAAR is an essential part of the funding request. It highlights prioritized and costed modules and interventions for which funding is needed but cannot be funded from the country's allocation. PAAR is submitted at the funding request stage to ensure that all applicants have interventions ready to be integrated into grants as soon as new funding is identified or savings become available.</t>
  </si>
  <si>
    <t>3. The PAAR excel template provides a list of standardized Global Fund modules and interventions. These are aligned with the latest technical guidance and are explained in the updated Modular Framework Handbook.</t>
  </si>
  <si>
    <t>4. Interventions that are eligible for Global Fund financing and that the Technical Review Panel (TRP) consider quality demand will be included in the Register of Unfunded Quality Demand (UQD). The TRP will also designate a priority rating and indicate the amount of funding recommended for these interventions. Prioritized interventions can be incorporated into grants if and when additional funding becomes available, either in grant-making or during grant implementation. Please refer to the Operational Policy Note (OPN) on Design and Review of Funding Requests for more details on PAAR.</t>
  </si>
  <si>
    <t>II. General Guidance</t>
  </si>
  <si>
    <t>5. The PAAR excel template is specific for each applicant and funding request and should be generated in the Global Fund Grant Operating System (GOS) by the Country Team at the funding request stage. Applicants will use one PAAR template per funding request, regardless of the components and the number of nominated Principal Recipients included in the funding request. Applicants should complete only the "PAAR" tab. 
Note: For joint funding requests that include two or more components, applicants should complete one PAAR template using the template provided by the Country Team.</t>
  </si>
  <si>
    <t>6. The PAAR excel template is available in English, French and Spanish. To change the language, select the preferred language on the "PAAR" tab. Applicants are recommended to select the language only once and before completing the PAAR.</t>
  </si>
  <si>
    <t>7. The PAAR excel template is compatible with MS Excel 2010 or later versions. Drop-down menus and formulas might not work in MS Excel 2007 or earlier versions. Applicants with earlier MS versions are requested to upgrade to MS Excel 2010 or later versions before working on this file.</t>
  </si>
  <si>
    <t>8. The PAAR excel template is protected. Applicants should not modify or edit the drop-downs or protected cells. Modifying the file in this way will result in the loss of some functionality and will not allow import into GOS. PAAR templates that were subject to modification will be rejected, and applicants will be requested to resubmit the information in a new template.</t>
  </si>
  <si>
    <t>9. When copying/pasting data, applicants should ensure they do not overwrite any formula and pre-populated fields. Likewise, applicants should not overwrite drop-down values. The only acceptable options are those provided in the drop-down lists, i.e., applicant priority rating and standardized modules and interventions aligned with the Global Fund Modular Framework.</t>
  </si>
  <si>
    <t>III. Instructions</t>
  </si>
  <si>
    <t>10. The detailed instructions for completing different sections of the "PAAR" tab are provided below.
Note: The "PAAR (EN)" tab is reserved for auto-translation of the "PAAR" tab and for the TRP review. The tab should not be filled in by applicants.</t>
  </si>
  <si>
    <t>Summary Information</t>
  </si>
  <si>
    <t xml:space="preserve">Country or Group of Countries /
Component(s) /
Funding Request this request relates to /
Currency </t>
  </si>
  <si>
    <t>These fields are pre-populated from GOS when the template is generated and before it is shared with applicants.</t>
  </si>
  <si>
    <t xml:space="preserve">Total Above Allocation Request </t>
  </si>
  <si>
    <t>This field is calculated automatically when the applicant completes the "Amount Requested (Allocation Currency)” column.
Note: It is recommended that the amount of the PAAR should represent at least 30 percent of the country’s allocation and be  focused on fewer, larger, strategically focused and high-impact investments.</t>
  </si>
  <si>
    <t xml:space="preserve">This field is calculated automatically when the TRP completes the "TRP Recommended Amount (Allocation Currency)" column and assigns a recommended amount for each module/intervention. </t>
  </si>
  <si>
    <t>Contextual Information</t>
  </si>
  <si>
    <t>Applicants are requested to provide contextual information about their PAAR request in the "Contextual Information" section. The PAAR request complements the country’s allocation. This section aims to situate the PAAR request within the total allocation request and explain how it will complement the allocation to achieve a higher impact.</t>
  </si>
  <si>
    <t>Prioritized Above Allocation Request (PAAR)</t>
  </si>
  <si>
    <t>Applicants should complete the columns "Applicant Priority Rating", "Module", "Intervention", "Amount Requested (Allocation Currency)" and "Brief Rationale". Applicants are encouraged not to list small activities but focus on larger and high-impact investments. 
Note: Applicants are advised to complete the columns in the listed sequence.</t>
  </si>
  <si>
    <t>Applicant Priority Rating /
Module / Intervention</t>
  </si>
  <si>
    <t>Applicants should prioritize modules and interventions by selecting applicant priority ratings (i.e., high, medium, or low priority). The applicant priority rating, module and intervention should be selected from the drop-down list. Applicants are encouraged to demonstrate prioritization in their PAAR request, i.e., not all items should be marked as "High" priority.</t>
  </si>
  <si>
    <t>The drop-down lists are automatically pre-populated with modules and interventions applicable to the funding request's component(s). Refer to the Global Fund Modular Framework for the full list of modules and interventions.</t>
  </si>
  <si>
    <t>Applicants are also encouraged to include prioritized interventions related to pandemic preparedness, and investments that could potentially be financed through innovative (blended) finance mechanisms in case additional funding becomes available during the grant lifecycle.</t>
  </si>
  <si>
    <t>Ensure that the correct priority rating, module and intervention are selected for each line and that the input is consistent across different fields.</t>
  </si>
  <si>
    <t>Budget information in the PAAR should be at a higher level than budget information in the allocation request, given that a PAAR is unfunded at the time of the request. While the level of budget information should be kept at a higher level in the PAAR, applicants should provide high-level assumptions and rationale for the budget amount under Brief Rationale. Lump sums in the budget are strongly discouraged.</t>
  </si>
  <si>
    <t>Applicants should enter the requested amount for each module/intervention. As per the Global Fund rounding policy, only whole numbers should be entered.</t>
  </si>
  <si>
    <t>This column is automatically completed once the value of the prior column, "Amount Requested (Allocation Currency)", is entered. If the request is in Euro, the amount will be automatically converted to US$ based on the conversion rate applicable for the allocation period.</t>
  </si>
  <si>
    <t xml:space="preserve">A brief rationale explaining how the PAAR builds on the allocation request, including expected outcomes and impact, should be entered in this field. In addition, applicants should provide high-level assumptions and rationale for the budget, and an indication of the activities associated with the budgeted amount. </t>
  </si>
  <si>
    <t xml:space="preserve">TRP Priority Rating /
TRP Recommended Amount (Allocation Currency)/
TRP Recommended Amount (USD) /
TRP Notes </t>
  </si>
  <si>
    <t xml:space="preserve">The columns with the green heading are reserved for the TRP and are not to be filled in by applicants. </t>
  </si>
  <si>
    <t>The "TRP Recommended Amount (USD)" is calculated automatically when TRP completes the "TRP Recommended Amount (Allocation Currency)". If the request is in Euro, the amount will be automatically converted to US$ based on the conversion rate applicable for the allocation period.</t>
  </si>
  <si>
    <t>The TRP will assess the technical soundness and strategic focus of interventions. The TRP will also review the prioritization of PAAR interventions and the reasonableness of the amount requested per intervention. Following their assessment, the TRP may propose a different priority rating, recommend a lower amount than the one requested by the applicant or not recommend an intervention as quality demand. Where the TRP's priority rating or recommended amount differs from the applicant's priority rating or requested amount, or when the TRP does not recommend an intervention or module for funding, the TRP is expected to provide a comment clarifying the rationale behind the recommendation. TRP-recommended interventions will be added to the UQD Register to direct investments once additional sources of funds become available through the Global Fund or external sources.</t>
  </si>
  <si>
    <t>Error messages are automatically triggered and are linked to either an error in selecting module, intervention, or the requested amount.</t>
  </si>
  <si>
    <t>PAAR (EN) tab
(hidden for applicants)</t>
  </si>
  <si>
    <t xml:space="preserve">The tab of the PAAR labeled "PAAR (EN)" is reserved for auto-translation of the "PAAR" tab and for the TRP review. The tab should not be filled in by applicants. Applicants should complete only the "PAAR" tab. </t>
  </si>
  <si>
    <t>Once the "Contextual Information" field and the "Prioritized Above Allocation Request (PAAR)" table are completed in the "PAAR" tab, please save the excel file and submit it with the funding request.</t>
  </si>
  <si>
    <t xml:space="preserve">Date Generated: </t>
  </si>
  <si>
    <t>The selected Module / Intervention does not exist.</t>
  </si>
  <si>
    <t>The selected Module and Intervention do not match.</t>
  </si>
  <si>
    <t>The selected Applicant Priority Rating is invalid.</t>
  </si>
  <si>
    <t>Please enter a valid amount.</t>
  </si>
  <si>
    <t>No error</t>
  </si>
  <si>
    <t>Please enter a whole number.</t>
  </si>
  <si>
    <t>Français</t>
  </si>
  <si>
    <t>Langue</t>
  </si>
  <si>
    <t>DEMANDE HIÉRARCHISÉE DE FINANCEMENT AU-DELÀ DE LA SOMME ALLOUÉE (PAAR)</t>
  </si>
  <si>
    <r>
      <t>Version: Ao</t>
    </r>
    <r>
      <rPr>
        <sz val="11"/>
        <color theme="1"/>
        <rFont val="Calibri"/>
        <family val="2"/>
      </rPr>
      <t>ût</t>
    </r>
    <r>
      <rPr>
        <sz val="11"/>
        <color theme="1"/>
        <rFont val="Calibri"/>
        <family val="2"/>
        <scheme val="minor"/>
      </rPr>
      <t xml:space="preserve"> 2018</t>
    </r>
  </si>
  <si>
    <t>INFORMATIONS SOMMAIRES</t>
  </si>
  <si>
    <t>Pays ou groupe de pays</t>
  </si>
  <si>
    <t>Composante(s)</t>
  </si>
  <si>
    <t>Demande de financement reliée à cette requête</t>
  </si>
  <si>
    <t>Devise</t>
  </si>
  <si>
    <t>Montant total du PAAR</t>
  </si>
  <si>
    <t>INFORMATION CONTEXTUELLE</t>
  </si>
  <si>
    <t>Veuillez fournir des informations contextuelles pertinentes pour la demande de financement hiérarchisée au-delà de la somme allouée, en expliquant l’ordre de priorité et l’orientation stratégique des modules proposés pour un financement supplémentaire et la manière dont ils compléteront la demande de financement pour obtenir un impact plus marqué.  
La réponse peut inclure, par exemple : 
• des points saillants du contexte épidémiologique
• des lacunes programmatiques importantes devant être comblées 
• toute considération ou donnée ayant servi de fondement à la demande
• des explications clarifiant les liens avec la somme allouée
Pour agrandir la cellule ci-dessous, le candidat peut ajuster la hauteur de la ligne.</t>
  </si>
  <si>
    <r>
      <t>DEMANDE HI</t>
    </r>
    <r>
      <rPr>
        <sz val="11"/>
        <color theme="1"/>
        <rFont val="Calibri"/>
        <family val="2"/>
      </rPr>
      <t>É</t>
    </r>
    <r>
      <rPr>
        <sz val="11"/>
        <color theme="1"/>
        <rFont val="Calibri"/>
        <family val="2"/>
        <scheme val="minor"/>
      </rPr>
      <t>RARCHIS</t>
    </r>
    <r>
      <rPr>
        <sz val="11"/>
        <color theme="1"/>
        <rFont val="Calibri"/>
        <family val="2"/>
      </rPr>
      <t>É</t>
    </r>
    <r>
      <rPr>
        <sz val="11"/>
        <color theme="1"/>
        <rFont val="Calibri"/>
        <family val="2"/>
        <scheme val="minor"/>
      </rPr>
      <t>E DE FINANCEMENT AU-DEL</t>
    </r>
    <r>
      <rPr>
        <sz val="11"/>
        <color theme="1"/>
        <rFont val="Calibri"/>
        <family val="2"/>
      </rPr>
      <t>À</t>
    </r>
    <r>
      <rPr>
        <sz val="11"/>
        <color theme="1"/>
        <rFont val="Calibri"/>
        <family val="2"/>
        <scheme val="minor"/>
      </rPr>
      <t xml:space="preserve"> DE LA SOMME ALLOU</t>
    </r>
    <r>
      <rPr>
        <sz val="11"/>
        <color theme="1"/>
        <rFont val="Calibri"/>
        <family val="2"/>
      </rPr>
      <t>É</t>
    </r>
    <r>
      <rPr>
        <sz val="11"/>
        <color theme="1"/>
        <rFont val="Calibri"/>
        <family val="2"/>
        <scheme val="minor"/>
      </rPr>
      <t>E (PAAR)</t>
    </r>
  </si>
  <si>
    <t>Dans le tableau ci-dessous, veuillez fournir une demande de financement hiérarchisée au-delà de la somme allouée. Les interventions que le CTEP jugera solides sur le plan technique et ciblées sur le plan stratégique seront incluses dans le registre des demandes de qualité non financées. Les interventions peuvent être prises en charge par plusieurs sources tout au long du cycle de vie de la subvention, notamment par les économies et gains d’efficacité liés à la subvention, l’optimisation du portefeuille du Fonds mondial, les investissements du secteur privé et/ou Debt2Health ou d’autres accords de financement mixte. 
La demande de financement au-delà de la somme allouée doit présenter une approche d’investissement cohérente avec un nombre limité d’interventions importantes et ciblées sur le plan stratégique choisies pour obtenir un impact marqué. Les candidats sont également encouragés à inclure des interventions prioritaires liées à la préparation aux pandémies et des investissements qui pourraient être financés par des mécanismes de financement novateurs (mixtes), au cas où un financement supplémentaire deviendrait disponible au cours du cycle de vie de la subvention. Une justification claire doit être donnée pour les interventions et les modules choisis, et la demande doit être alignée sur la programmation de la somme allouée. Les candidats doivent indiquer un ordre de priorité relatif pour le financement de chaque intervention demandée (c.-à-d. priorité élevée, moyenne ou faible). 
Sous « Courte justification », la demande doit fournir des hypothèses de haut niveau et la justification du montant du budget, liées à des informations sur les activités prévues. Les montants forfaitaires sont fortement déconseillés. La demande de financement hiérarchisée au-delà de la somme allouée doit être ambitieuse et représenter au moins 30 % de la somme allouée. 
Tableau d’orientation pour le candidat :
 •	 Les interventions / modules de la demande doivent être classés par ordre décroissant (le niveau de priorité « élevé » signifiant la plus haute priorité / importance). 
 •	 Pour vous aligner sur les modules et les interventions du Fonds mondial, veuillez les sélectionner UNIQUEMENT dans chaque menu déroulant.
 •	 Seuls des nombres entiers doivent être saisis.
 •	 Pour agrandir les cellules ci-dessous, le candidat peut ajuster la hauteur des lignes.
 •	 Pour les modules supplémentaires (s’il n’y a pas suffisamment de place), veuillez insérer des lignes supplémentaires.</t>
  </si>
  <si>
    <t>Niveau de priorité défini par le candidat</t>
  </si>
  <si>
    <t>Montant demandé (devise de la somme allouée)</t>
  </si>
  <si>
    <t>Montant demandé (dollars US)</t>
  </si>
  <si>
    <t>Courte justification, comprenant les résultats et l’impact attendus (expliquant comment la demande s’appuie sur la somme allouée) 
Présenter des hypothèses de haut niveau et une justification du budget.</t>
  </si>
  <si>
    <t>Montant recommandé par le CTEP (devise de la somme allouée)</t>
  </si>
  <si>
    <t>Montant recommandé par le CTEP</t>
  </si>
  <si>
    <t>Niveau de priorité défini par le CTEP</t>
  </si>
  <si>
    <t>Brève justification traduite (remplie uniquement par A2F)</t>
  </si>
  <si>
    <t>MONTANT TOTAL</t>
  </si>
  <si>
    <t>Remarques du CTEP (obligatoire seulement pour les examens « Non recommandés », partiellement recommandés ou lorsque le niveau de priorité diffère)</t>
  </si>
  <si>
    <t>Instruction pour le candidat: 
• Entrer le module concerné
• Entrer l'intervention concernée
• Entrer le montant demandé concerné
• Entrer les informations additionnelles que vous voulez ajouter à la justification de la tab principale "Applicant-Candidat-Solicitante"</t>
  </si>
  <si>
    <t>Montant demandé</t>
  </si>
  <si>
    <t>Justification supplémentaire</t>
  </si>
  <si>
    <t>Montant total de la demande de financement hiérarchisée au-delà de la somme allouée</t>
  </si>
  <si>
    <t>Instructions pour les candidats
Sélectionnez la langue avec laquelle vous allez travailler avant de commencer le remplissage de ce format.
Les candidats sont d’abord invités à fournir des informations contextuelles sur la demande hiérarchisée de financement au-delà de la somme allouée (PAAR) dans le champ «Information contextuelle» en haut de l’onglet PAAR. Ce champ doit inclure des informations sur les raisons pour lesquelles les modules sélectionnés ont été identifiés et classés par ordre de priorité pour un financement supplémentaire.
La liste complète des interventions PAAR doit être inscrite dans le tableau «demande hiérarchisée de financement au-delà de la somme allouée (PAAR)». Les candidats doivent saisir les données dans les colonnes A, B, D, F et H, en commençant par «la cote de priorité» et en finissant par «la brève justification». Le contenu des trois premières colonnes est sélectionné dans les listes de contrôle. Assurez-vous que le classement de priorité, le module et l'intervention corrects sont sélectionnés pour chaque ligne. La colonne «Montant demandé (USD)» est automatiquement remplie une fois la valeur de la colonne précédente saisie.
Remarque: les champs «brève justification (traduite)» et les trois dernières colonnes vertes ne doivent pas être remplis par les candidats.
Assurez-vous que tous les champs du demandeur ont été entrés dans le tableau «demande hiérarchisée de financement au-delà de la somme allouée (PAAR)». Une fois les informations contextuelles et les colonnes A à F complétées, sauvegardez le fichier Excel et intégrez-le dans les documents joints à la demande de financement.</t>
  </si>
  <si>
    <t>Montant approuvé par PRT (US$)</t>
  </si>
  <si>
    <t>Messages d’erreur (le cas échéant)</t>
  </si>
  <si>
    <t>Le module sélectionné n’existe pas.</t>
  </si>
  <si>
    <t>L’intervention sélectionnée n’existe pas</t>
  </si>
  <si>
    <t>Instructions pour remplir le formulaire de la demande de financement hiérarchisée au-delà de la somme allouée</t>
  </si>
  <si>
    <t>1. Les présentes instructions visent à aider les candidats à remplir le formulaire Excel de la demande de financement hiérarchisée au-delà de la somme allouée (PAAR).</t>
  </si>
  <si>
    <t>2. La PAAR est un élément essentiel de la demande de financement. Elle met en évidence des interventions et des modules prioritaires et chiffrés pour lesquels un financement est nécessaire, mais qui ne peuvent pas être financés par la somme allouée au pays. La PAAR est soumise à l’étape de la demande de financement afin que tous les candidats disposent d’interventions prêtes à être intégrées aux subventions dès qu’un nouveau financement ou que des économies deviennent disponibles.</t>
  </si>
  <si>
    <t>3. Le formulaire Excel de la PAAR fournit une liste d’interventions et de modules normalisés du Fonds mondial. Ceux-ci sont alignés sur les dernières orientations techniques et sont expliqués dans le Manuel du cadre modulaire mis à jour.</t>
  </si>
  <si>
    <t>4. Les interventions admissibles au financement du Fonds mondial et que le Comité technique d’examen des propositions (CTEP) considère comme étant une demande de qualité seront incluses dans le registre des demandes de qualité non financées. Le CTEP désignera également un niveau de priorité et indiquera le montant de financement recommandé pour ces interventions. Les interventions prioritaires peuvent être incorporées aux subventions si et lorsque des fonds supplémentaires deviennent disponibles, soit dans le cadre de l’établissement de la subvention, soit pendant la mise en œuvre de la subvention. Veuillez consulter la Note de politique opérationnelle sur la conception et l’examen des demandes de financement pour plus de détails sur la PAAR.</t>
  </si>
  <si>
    <t>II. Consignes générales</t>
  </si>
  <si>
    <t>5. Le formulaire Excel de la PAAR est spécifique à chaque candidat et demande de financement et doit être généré dans le système de gestion des subventions (GOS) du Fonds mondial par l’équipe de pays à l’étape de la demande de financement. Les candidats utiliseront un formulaire de la PAAR par demande de financement, peu importe les composantes et le nombre de récipiendaires principaux désignés inclus dans la demande de financement. Les candidats doivent remplir uniquement l'onglet  « PAAR ». 
Remarque : Pour des demandes de financement conjointes comprenant deux composantes ou plus, les candidats sont tenus de remplir un seul formulaire de la PAAR en utilisant celui fourni par l’équipe de pays.</t>
  </si>
  <si>
    <t>6. Le formulaire Excel de la PAAR existe en anglais, en français et en espagnol. Pour changer la langue, veuillez sélectionner la langue souhaitée dans l’onglet « PAAR ». Il est recommandé aux candidats de choisir la langue une seule fois, et ce avant de remplir la PAAR.</t>
  </si>
  <si>
    <t>7. Le formulaire Excel de la PAAR est compatible avec les versions 2010 et ultérieures de MS Excel. Les menus déroulants et formules sont en effet susceptibles de ne pas fonctionner avec les versions 2007 ou antérieures de MS Excel. Les candidats détenteurs de versions antérieures sont priés de passer à la version 2010 de MS Excel ou à une version ultérieure avant de commencer à travailler sur ce fichier.</t>
  </si>
  <si>
    <t>8. Le formulaire Excel de la PAAR est protégé. Les candidats ne doivent pas modifier les menus déroulants ou les cellules protégées. Modifier le fichier entraînera la perte de certaines fonctionnalités et empêchera l’importation du fichier dans le GOS. Les formulaires de la PAAR ayant été modifiés seront rejetés et il sera demandé aux candidats de soumettre un nouveau formulaire contenant leurs informations.</t>
  </si>
  <si>
    <t>9. En copiant/collant des données, les candidats doivent s’assurer qu’ils n’écrasent pas les formules et les champs préremplis. De même, les candidats ne doivent pas remplacer les valeurs des menus déroulants. Les seules options acceptables sont celles fournies dans les menus déroulants, c’est-à-dire le niveau de priorité défini par le candidat et les interventions et les modules normalisés alignés sur le cadre modulaire du Fonds mondial.</t>
  </si>
  <si>
    <t>10. Pour remplir les différentes sections de l'onglet  « PAAR », veuillez suivre les instructions détaillées ci-dessous.
Remarque : L'onglet « PAAR (EN) » est réservé à la traduction automatique de l'onglet « PAAR » et à l'examen du CTEP. L'onglet ne doit pas être rempli par les candidats.</t>
  </si>
  <si>
    <t>Informations sommaires</t>
  </si>
  <si>
    <t xml:space="preserve">Pays ou groupe de pays /
Composante(s) /
Demande de financement reliée à cette requête /
Devise </t>
  </si>
  <si>
    <t>Ces champs sont préremplis à partir du GOS lorsque le formulaire est généré et avant d’être transmis aux candidats.</t>
  </si>
  <si>
    <t>Ce champ est calculé automatiquement lorsque le candidat remplit la colonne « Montant demandé (devise de la somme allouée) ».
Remarque : Il est recommandé que le montant de la PAAR représente au moins 30 % de la somme allouée au pays, et que la demande soit axée sur des investissements moins nombreux, plus importants, ciblés sur le plan stratégique et à fort impact.</t>
  </si>
  <si>
    <t xml:space="preserve">Ce champ est calculé automatiquement lorsque le CTEP remplit la colonne « Montant recommandé par le CTEP (devise de la somme allouée) » et alloue un montant recommandé pour chaque module / intervention. </t>
  </si>
  <si>
    <t>Informations contextuelles</t>
  </si>
  <si>
    <t xml:space="preserve">Les candidats sont priés de fournir des informations contextuelles sur leur PAAR dans la section « Informations contextuelles ». La PAAR complète la somme allouée au pays. Cette section vise à situer la PAAR dans le cadre de la demande de financement totale et à expliquer comment elle complétera la somme allouée pour atteindre un impact plus marqué. </t>
  </si>
  <si>
    <t>Demande de financement hiérarchisée au-delà de la somme allouée (PAAR)</t>
  </si>
  <si>
    <t>Les candidats doivent remplir les colonnes « Niveau de priorité défini par le candidat », « Module », « Intervention », « Montant demandé (devise de la somme allouée) » et « Courte justification ». Les candidats sont priés de ne pas lister les petites activités, mais de se concentrer sur les investissements plus importants et à fort impact. 
Remarque : Les candidats sont priés de remplir les colonnes dans l’ordre indiqué.</t>
  </si>
  <si>
    <t>Niveau de priorité défini par le candidat /
Module / Intervention</t>
  </si>
  <si>
    <t xml:space="preserve">Les candidats doivent classer les modules et les interventions par ordre de priorité en sélectionnant les niveaux de priorité définis par les candidats (c.-à-d. priorité élevée, moyenne ou faible). Le niveau de priorité défini par le candidat, le module et l’intervention doivent être choisis à partir du menu déroulant. Les candidats sont encouragés à démontrer l’établissement des priorités dans leur PAAR, c.-à-d. que les éléments ne doivent pas tous correspondre à une « priorité élevée ».	 </t>
  </si>
  <si>
    <t>Les menus déroulants sont automatiquement préremplis avec des modules et des interventions applicables aux composantes de la demande de financement. Se reporter au Cadre modulaire du Fonds mondial pour la liste complète des modules et des interventions.</t>
  </si>
  <si>
    <t>Les candidats sont également encouragés à inclure des interventions prioritaires liées à la préparation aux pandémies et des investissements qui pourraient être financés par des mécanismes de financement novateurs (mixtes) au cas où un financement supplémentaire deviendrait disponible au cours du cycle de vie de la subvention.</t>
  </si>
  <si>
    <t>Assurez-vous que le niveau de priorité, le module et l’intervention sont correctement sélectionnés pour chaque ligne et que la saisie est cohérente dans les différents champs.</t>
  </si>
  <si>
    <t>Les informations budgétaires de la PAAR doivent être plus générales que les informations budgétaires de la demande d’allocation, étant donné qu’une PAAR n’est pas financée au moment de la demande. Même si les informations budgétaires doivent être plus générales dans la PAAR, les candidats doivent fournir des hypothèses de haut niveau et une justification du montant du budget sous « Courte justification ». Les montants forfaitaires dans le budget sont fortement déconseillés.</t>
  </si>
  <si>
    <t>Les candidats doivent inscrire le montant demandé pour chaque module / intervention. Conformément à la politique d’arrondissement du Fonds mondial, seuls les nombres entiers doivent être indiqués.</t>
  </si>
  <si>
    <t xml:space="preserve">Cette colonne est automatiquement remplie une fois que la valeur de la colonne précédente, « Montant demandé (devise de la somme allouée) », est saisie. Si la demande est faite en euros, le montant sera automatiquement converti en dollars US, sur la base du taux de conversion applicable pour la période d’allocation.	 </t>
  </si>
  <si>
    <t>Courte justification</t>
  </si>
  <si>
    <t>Une courte justification expliquant comment la PAAR s’appuie sur la demande de financement, y compris sur les résultats et l’impact attendus, doit être saisie dans ce champ. En outre, les candidats doivent présenter des hypothèses de haut niveau et une justification du budget, ainsi qu’une indication des activités associées au montant budgétisé.</t>
  </si>
  <si>
    <t>Niveau de priorité défini par le CTEP /
Montant recommandé par le CTEP (devise de la somme allouée) /
Montant recommandé par le CTEP (dollars US) /
Remarques du CTEP</t>
  </si>
  <si>
    <t xml:space="preserve">Les colonnes dont l’intitulé est vert sont réservées au CTEP et ne doivent pas être remplies par les candidats. </t>
  </si>
  <si>
    <t>Le Montant recommandé par le CTEP (dollars US) est calculé automatiquement lorsque le CTEP remplit le « Montant recommandé par le CTEP (devise de la somme allouée) ».Si la demande est faite en euros, le montant sera automatiquement converti en dollars US, sur la base du taux de conversion applicable pour la période d’allocation.</t>
  </si>
  <si>
    <t>Le CTEP évaluera le bien-fondé technique et l’orientation stratégique des interventions. Le CTEP examinera également l’ordre de priorité des interventions de la PAAR et le caractère raisonnable du montant demandé par intervention. Après son évaluation, le CTEP peut proposer un niveau de priorité différent, recommander un montant inférieur à celui demandé par le candidat ou ne pas recommander une intervention comme demande de qualité. Lorsque le niveau de priorité ou le montant recommandé par le CTEP diffère du niveau de priorité ou du montant demandé par le candidat, ou lorsque le CTEP ne recommande pas d’intervention ou de module pour un financement, le CTEP devra idéalement justifier sa recommendation au moyen d’un commentaire. Les interventions recommandées par le CTEP seront ajoutées au registre des demandes de qualité non financées pour les investissements directs dès que des sources de financement supplémentaires seront disponibles par le biais du Fonds mondial ou de sources externes.</t>
  </si>
  <si>
    <t>Les messages d’erreur sont déclenchés automatiquement et sont liés à une erreur dans le choix du module, de l’intervention ou du montant demandé.</t>
  </si>
  <si>
    <t>Onglet « PAAR (EN) »
(caché pour les candidats)</t>
  </si>
  <si>
    <t>L'onglet de la PAAR intitulé « PAAR (EN) » est réservé à la traduction automatique de l'onglet « PAAR » et à l'examen du CTEP. L'onglet ne doit pas être rempli par les candidats. Les candidats doivent remplir uniquement l'onglet « PAAR ».</t>
  </si>
  <si>
    <t xml:space="preserve">Lorsque le champ « Informations contextuelles » et le tableau « Demande de financement hiérarchisée au-delà de la somme allouée (PAAR) » sont remplis dans l'onglet « PAAR », veuillez sauvegarder le fichier Excel et le soumettre avec la demande de financement. </t>
  </si>
  <si>
    <t>Date de création :</t>
  </si>
  <si>
    <t>Montant recommandé par le CTEP (dollars US)</t>
  </si>
  <si>
    <t>Le module ou l'intervention sélectionnée n’existe pas.</t>
  </si>
  <si>
    <t>Le module et l'intervention sélectionnés ne correspondent pas.</t>
  </si>
  <si>
    <t>Le niveau de priorité défini par le candidat n’est pas valide.</t>
  </si>
  <si>
    <t>Merci d'entrer un chiffre ou un nombre.</t>
  </si>
  <si>
    <t>Pas d’erreur</t>
  </si>
  <si>
    <t>Merci de soumettre un chiffre rond.</t>
  </si>
  <si>
    <t>Équivalent en dollars US</t>
  </si>
  <si>
    <t>Español</t>
  </si>
  <si>
    <t>Idioma</t>
  </si>
  <si>
    <t>SOLICITUD PRIORIZADA DE MONTO POR ENCIMA DE LA ASIGNACIÓN (PAAR)</t>
  </si>
  <si>
    <r>
      <t>Versi</t>
    </r>
    <r>
      <rPr>
        <sz val="11"/>
        <color theme="1"/>
        <rFont val="Calibri"/>
        <family val="2"/>
      </rPr>
      <t>ó</t>
    </r>
    <r>
      <rPr>
        <sz val="11"/>
        <color theme="1"/>
        <rFont val="Calibri"/>
        <family val="2"/>
        <scheme val="minor"/>
      </rPr>
      <t>n: Agosto 2018</t>
    </r>
  </si>
  <si>
    <t>INFORMACIÓN RESUMIDA</t>
  </si>
  <si>
    <t>País o grupo de países</t>
  </si>
  <si>
    <t>Componente(s)</t>
  </si>
  <si>
    <t>Solicitud de financiamiento relacionada con esta PAAR</t>
  </si>
  <si>
    <t>Moneda</t>
  </si>
  <si>
    <t xml:space="preserve">Total de solicitud de monto por encima de la asignación </t>
  </si>
  <si>
    <t>INFORMACIÓN CONTEXTUAL</t>
  </si>
  <si>
    <t>Proporcione información contextual relacionada con la solicitud priorizada por encima del monto asignado, explicando la priorización y el enfoque estratégico de los módulos propuestos para que reciban financiamiento adicional y cómo complementará la solicitud de financiamiento de asignación con el fin de conseguir una mayor repercusión.  
La respuesta puede incluir lo siguiente: 
• cualquier aspecto destacado del contexto epidemiológico
• deficiencias programáticas destacadas que deben abordarse 
• cualquier consideración o datos que fundamenten la solicitud
• explicaciones que aclaren los vínculos con el financiamiento de la asignación
Si necesita más espacio, el solicitante puede ampliar la altura de la fila</t>
  </si>
  <si>
    <r>
      <t>SOLICITUD PRIORIZADA DE MONTO POR ENCIMA DE LA ASIGNACI</t>
    </r>
    <r>
      <rPr>
        <sz val="11"/>
        <color theme="1"/>
        <rFont val="Calibri"/>
        <family val="2"/>
      </rPr>
      <t>Ó</t>
    </r>
    <r>
      <rPr>
        <sz val="11"/>
        <color theme="1"/>
        <rFont val="Calibri"/>
        <family val="2"/>
        <scheme val="minor"/>
      </rPr>
      <t>N (PAAR)</t>
    </r>
  </si>
  <si>
    <t>En la siguiente tabla, presente la solicitud priorizada por encima del monto asignado. Si el PRT la considera sólida desde un punto de vista técnico y enfocada estratégicamente, las intervenciones se incluirán en el Registro de demanda de calidad no financiada. Estas intervenciones pueden financiarse mediante diversas fuentes a lo largo del ciclo de vida de la subvención, por ejemplo, con ahorros y eficiencias de las subvenciones, la optimización del portafolio del Fondo Mundial, las inversiones del sector privado o los acuerdos de Debt2Health o de otros mecanismos de financiamiento mixto. 
La solicitud por encima del monto asignado debe presentar un enfoque de inversión coherente con un número limitado de intervenciones de gran envergadura y enfocadas estratégicamente, seleccionadas para lograr una repercusión elevada. En caso de que se disponga de fondos adicionales durante el ciclo de vida de la subvención, se anima a los solicitantes a que incluyan también las intervenciones prioritarias relacionadas con la preparación frente a pandemias y las inversiones que podrían financiarse mediante mecanismos de financiamiento (mixto) innovador. Es necesario proporcionar una justificación clara de los módulos e intervenciones seleccionados y la solicitud debe estar alineada con la programación de la asignación. Los solicitantes deben indicar una prioridad relativa para financiar cada intervención solicitada (a saber, prioridad alta, media o baja). 
Dentro de "Breve justificación", la solicitud debe incluir supuestos de alto nivel y la justificación del monto presupuestado, vinculados con información sobre las actividades previstas. Se desaconseja encarecidamente incluir sumas globales. La solicitud priorizada por encima del monto asignado debe ser ambiciosa y representar al menos el 30% del monto de la asignación. 
Indicaciones sobre las tablas para el solicitante:
 •	 Los módulos o intervenciones de la solicitud deben aparecer en orden de importancia decreciente (el nivel de prioridad "alta" equivale a la mayor prioridad o importancia). 
 •	 Para que los módulos e intervenciones se correspondan con los del Fondo Mundial, selecciónelos ÚNICAMENTE de cada menú desplegable.
 •	 Solo se deben introducir números enteros.
 •	 Si necesita más espacio, el solicitante puede ampliar la altura y el ancho de cada celda.
 •	 Para módulos adicionales (si el espacio es insuficiente), inserte nuevas filas.</t>
  </si>
  <si>
    <t>Nivel de prioridad (para el Solicitante)</t>
  </si>
  <si>
    <t>Módulo</t>
  </si>
  <si>
    <t>Intervención</t>
  </si>
  <si>
    <t>Monto solicitado (moneda de asignación)</t>
  </si>
  <si>
    <t>Monto solicitado (USD)</t>
  </si>
  <si>
    <t xml:space="preserve">Breve justificación, incluidos resultados y repercusión previstos (explique cómo la solicitud se fundamenta en la asignación). 
Proporcione supuestos de alto nivel y la justificación del presupuesto. </t>
  </si>
  <si>
    <t>Cantidad aprobada por PRT (divisa de alocación)</t>
  </si>
  <si>
    <t>Monto recomendado por el PRT</t>
  </si>
  <si>
    <t>Nivel de prioridad según el PRT</t>
  </si>
  <si>
    <t>Breve justificación traducida (completada solo por A2F)</t>
  </si>
  <si>
    <t>MONTO TOTAL</t>
  </si>
  <si>
    <t>Notas del PRT (solo obligatorio para "No recomendado", “parcialmente recomendado” o cuando la clasificación de prioridad es diferente)</t>
  </si>
  <si>
    <t>Instrucciones para el solicitante:
• Escribe el módulo correspondiente
• Escribe la intervención correspondiente
• Escribe el monto solicitado correspondiente
• Escribe la información adicional que desea agregar a la justificación en la hoja principal "Applicant-Candidat-Solicitante"</t>
  </si>
  <si>
    <t>Justificación adicional</t>
  </si>
  <si>
    <t>Total de la solicitud por encima del monto asignado</t>
  </si>
  <si>
    <t>Instrucciones para solicitantes
Seleccione el lenguage con el que se va a trabajar antes de comenzar el llenado de este formato.
Inicialmente se requiere que los solicitantes  proporcionen información contextual sobre la solicitud priorizada de monto por encima de la asignación (PAAR por sus siglas en inglés) en el campo "Información contextual" en la parte superior de la pestaña PAAR. Este campo debe incluir información sobre por qué los módulos seleccionados fueron identificados y priorizados para financiamiento adicional.
La lista completa de intervenciones PAAR debe ingresarse en la tabla de " solicitud priorizada de monto por encima de la asignación (PAAR)". Los solicitantes deben ingresar los datos en las columnas A, B, D, F y H, comenzando por la "Nivel de prioridad (para el Solicitante)" y terminando con la "Breve justificación". El contenido de las tres primeras columnas se selecciona de las listas de pre-selección del formato. Asegúrese de seleccionar la clasificación de prioridad, el módulo y la intervención correctos para cada línea individual. La columna "Monto solicitado (USD)" se completa automáticamente una vez que se ingresa el valor de la columna anterior.
Tenga en cuenta que los solicitantes NO deben completar los campos "Breve justificación (traducida)" y las últimas tres columnas verdes.
Asegúrese de haber ingresado todos los campos del solicitante en la tabla de " solicitud priorizada de monto por encima de la asignación (PAAR)". Una vez que la información contextual y las columnas A-F estén completas, guarde el archivo Excel e inclúyalo como parte de los documentos presentados con la Solicitud de financiamiento.</t>
  </si>
  <si>
    <t>Cantidad aprobada por PRT (US$)</t>
  </si>
  <si>
    <t>Mensajes de error (si corresponde)</t>
  </si>
  <si>
    <t>El módulo seleccionado no existe.</t>
  </si>
  <si>
    <t>La intervencion seleccionada no existe</t>
  </si>
  <si>
    <t>Instrucciones para cumplimentar la plantilla de la solicitud priorizada por encima del monto asignado</t>
  </si>
  <si>
    <t>I. Introducción</t>
  </si>
  <si>
    <t>1. Estas instrucciones explican a los solicitantes cómo rellenar la plantilla Excel de la solicitud priorizada por encima del monto asignado (PAAR).</t>
  </si>
  <si>
    <t>2. La PAAR es una parte fundamental de la solicitud de financiamiento. Destaca los módulos e intervenciones presupuestados y priorizados para los cuales se necesita financiamiento, pero que no pueden financiarse mediante la asignación nacional. La PAAR se envía en la fase de solicitud de financiamiento para garantizar que todos los solicitantes cuenten con intervenciones listas para integrarse en las subvenciones tan pronto como se identifiquen nuevos fondos o se disponga de ahorros.</t>
  </si>
  <si>
    <t>3. Esta plantilla presenta una lista de módulos e intervenciones estandarizados del Fondo Mundial, que están alineados con las últimas directrices técnicas y se explican en el Manual del marco modular actualizado.</t>
  </si>
  <si>
    <t>4. Las intervenciones que son elegibles para recibir financiamiento del Fondo Mundial y que el PRT considere como demanda de calidad se incluirán en el Registro de demanda de calidad no financiada. El PRT también designará un nivel de prioridad e indicará el monto de financiamiento recomendado para estas intervenciones. Las intervenciones priorizadas se pueden incorporar en subvenciones si y cuando se dispone de financiamiento adicional, ya sea durante la preparación de la subvención o durante su ejecución. Para más información sobre la PAAR, consulte la nota de política operativa sobre el diseño y la revisión de las solicitudes de financiamiento.</t>
  </si>
  <si>
    <t>II. Directrices generales</t>
  </si>
  <si>
    <t>5. La plantilla en Excel de la PAAR es específica para cada solicitante y solicitud de financiamiento, y el Equipo de País debe generarla en el Sistema Operativo de Subvenciones del Fondo Mundial en la fase de la solicitud de financiamiento. Los solicitantes utilizarán una plantilla de PAAR por solicitud de financiamiento, independientemente de los componentes y del número de Receptores Principales designados que se incluyan en dicha solicitud. Los solicitantes sólo deben rellenar la pestaña "PAAR". 
Nota: Para las solicitudes de financiamiento conjunto que engloben dos o más componentes, los solicitantes deben cumplimentar una plantilla de PAAR, proporcionada por el Equipo de País.</t>
  </si>
  <si>
    <t>6. La plantilla en Excel de la PAAR está disponible en inglés, francés y español. Para cambiar el idioma, selecciónelo en la pestaña "PAAR". Se recomienda a los solicitantes seleccionar el idioma una sola vez y antes de cumplimentar la PAAR.</t>
  </si>
  <si>
    <t>7. La plantilla en Excel de la PAAR es compatible con MS Excel 2010 o versiones posteriores. Es posible que algunos menús desplegables y fórmulas no funcionen en MS Excel 2007 o versiones anteriores. Los solicitantes que tengan versiones de MS anteriores deben actualizarlas a MS Excel 2010 o versiones posteriores antes de trabajar con este archivo.</t>
  </si>
  <si>
    <t>8. La plantilla en Excel de la PAAR está protegida. Los solicitantes no deben modificar ni editar los menús desplegables ni las celdas protegidas. Si lo hacen, se perderán funcionalidades y no será posible importar la plantilla en el Sistema Operativo de Subvenciones del Fondo Mundial. Se rechazarán las plantillas de la PAAR que hayan sido modificadas y los solicitantes deberán reenviar la información en una nueva plantilla.</t>
  </si>
  <si>
    <t>9. Al copiar y pegar datos, los solicitantes deberán asegurarse de no sobrescribir ninguna fórmula ni campos rellenados automáticamente. De igual modo, no sobrescribirán los valores de los desplegables. Las únicas opciones disponibles son las que se proporcionan en las listas desplegables, es decir, el nivel de prioridad según el solicitante y los módulos e intervenciones estandarizados alineados con el marco modular del Fondo Mundial.</t>
  </si>
  <si>
    <t>III. Instrucciones</t>
  </si>
  <si>
    <t xml:space="preserve">10. A continuación figuran las instrucciones detalladas para cumplimentar las diferentes secciones de la plantilla en Excel de la PAAR.
Nota: La pestaña "PAAR (EN)" está reservada para la traducción automática de la pestaña "PAAR" y para el PRT. Los solicitantes no deben rellenarla. </t>
  </si>
  <si>
    <t>Información Resumida</t>
  </si>
  <si>
    <t xml:space="preserve">País o grupo de países/
Componente(s)/
Solicitud de financiamiento relacionada con esta PAAR/
Moneda </t>
  </si>
  <si>
    <t>Estos campos se rellenan automáticamente desde el Sistema Operativo de Subvenciones cuando se genera la plantilla y antes de compartirla con los solicitantes.</t>
  </si>
  <si>
    <t>Este campo se calcula automáticamente cuando el solicitante completa la columna "Monto solicitado (moneda de asignación)".
Nota: Se recomienda que el monto de la PAAR represente como mínimo el 30% de la asignación nacional y que se centre en un número reducido de inversiones de mayor envergadura y repercusión que estén enfocadas estratégicamente.</t>
  </si>
  <si>
    <t xml:space="preserve">Este campo se calcula automáticamente cuando el PRT completa la columna "Monto recomendado por el PRT (moneda de asignación)" y asigna un monto recomendado a cada módulo o intervención. </t>
  </si>
  <si>
    <t>Información contextual</t>
  </si>
  <si>
    <t xml:space="preserve">Los solicitantes deben proporcionar información contextual sobre su PAAR en la sección "Información contextual". La PAAR complementa la asignación nacional. Esta sección pretende situar la PAAR con relación a la solicitud de financiamiento de asignación total y explicar cómo complementa la asignación para lograr una mayor repercusión. </t>
  </si>
  <si>
    <t>Solicitud priorizada por encima del monto asignado (PAAR)</t>
  </si>
  <si>
    <t>Los solicitantes deben completar las columnas "Nivel de prioridad según el solicitante", "Módulo", "Intervención", "Monto solicitado (moneda de asignación)". Se recomienda los solicitantes no enumerar pequeñas actividades, sino centrarse en inversiones de mayor envergadura y repercusión. 
Nota: Se recomienda a los solicitantes completar las columnas en la secuencia indicada.</t>
  </si>
  <si>
    <t>Nivel de prioridad según el solicitante/
Módulo/Intervención</t>
  </si>
  <si>
    <t xml:space="preserve">Los solicitantes deben priorizar los módulos e intervenciones seleccionando un nivel de prioridad (es decir, prioridad alta, media o baja). El nivel de prioridad según el solicitante, el módulo y la intervención deben seleccionarse en la lista desplegable. Se recomienda a los solicitantes demostrar una priorización real en la PAAR, es decir, no deben asignar una prioridad "alta" a todos los elementos.	 </t>
  </si>
  <si>
    <t>Las listas desplegables se rellenan automáticamente con los módulos e intervenciones correspondientes a los componentes de la solicitud de financiamiento. Consulte la lista completa de módulos e intervenciones en el Marco modular del Fondo Mundial .</t>
  </si>
  <si>
    <t>En caso de que se disponga de fondos adicionales durante el ciclo de vida de la subvención, se anima a los solicitantes a que incluyan también intervenciones prioritarias relacionadas con la preparación frente a pandemias y las inversiones que podrían financiarse mediante mecanismos de financiamiento (mixto) innovador.</t>
  </si>
  <si>
    <t>Asegúrese de seleccionar el nivel de prioridad, el módulo y la intervención correctos para cada línea y de que la información introducida coincida en los diferentes campos.</t>
  </si>
  <si>
    <t>La información presupuestaria que figura en la PAAR debe ser de mayor nivel que la que figura en la solicitud de financiamiento de asignación, puesto que la PAAR no está financiada en el momento de presentar la solicitud. Aunque el nivel de información presupuestaria debe mantenerse en un nivel más alto en la PAAR, los solicitantes deben proporcionar supuestos de alto nivel y la justificación del monto presupuestado en la columna "Breve justificación". Se desaconseja encarecidamente incluir sumas globales en el presupuesto.</t>
  </si>
  <si>
    <t>Los solicitantes deben introducir el monto solicitado para cada módulo o intervención. En virtud de la política de redondeo del Fondo Mundial, solo se deben introducir números enteros.</t>
  </si>
  <si>
    <t>Esta columna se completa automáticamente una vez que se introduce el valor de la columna previa, "Monto solicitado (moneda de asignación)". Si la solicitud está en euros, el monto se convertirá automáticamente en dólares en función del tipo de cambio aplicable para el período de asignación.</t>
  </si>
  <si>
    <t>Breve justificación</t>
  </si>
  <si>
    <t>En este campo se debe proporcionar una breve justificación que explique cómo la PAAR se fundamenta en la solicitud de financiamiento de asignación, así como los resultados y repercusión previstos. Además, los solicitantes deben proporcionar supuestos de alto nivel y la justificación del presupuesto, así como una indicación de las actividades asociadas con el monto presupuestado.</t>
  </si>
  <si>
    <t xml:space="preserve">Nivel de prioridad según el PRT/
Monto recomendado por el PRT (moneda de asignación)/
Monto recomendado por el PRT (USD)/
Notas del PRT </t>
  </si>
  <si>
    <t xml:space="preserve">Las columnas con un encabezado verde están reservadas para el PRT y los solicitantes no deben rellenarlas. </t>
  </si>
  <si>
    <t>El "Monto recomendado por el PRT (USD)" se rellena automáticamente a partir del "Monto recomendado por el PRT (moneda de asignación)" introducido por el PRT. Si la solicitud está en euros, el monto se convertirá automáticamente en dólares en función del tipo de cambio aplicable para el período de asignación.</t>
  </si>
  <si>
    <t>El PRT evaluará la solidez técnica y el enfoque estratégico de las intervenciones. El PRT también revisará la priorización de las intervenciones de la PAAR y si el monto solicitado por intervención es razonable. Tras su evaluación, el PRT puede proponer un nivel de prioridad diferente, recomendar un monto menor que el propuesto por el solicitante o no recomendar una intervención como demanda de calidad. Cuando el nivel de prioridad o el monto recomendado por el PRT difieren de los propuestos por el solicitante, o cuando el PRT no recomienda financiar una intervención o módulo, este debe proporcionar un comentario donde aclare los motivos para la recomendación. Las intervenciones recomendadas por el PRT se añadirán al Registro de la demanda de calidad no financiada para que reciban inversiones directas una vez se disponga de fuentes de financiamiento adicionales externas o a través del Fondo Mundial.</t>
  </si>
  <si>
    <t>Los mensajes de error saltan de forma automática y están vinculados a un error en el módulo seleccionado, la intervención o el monto solicitado.</t>
  </si>
  <si>
    <t>Pestaña "PAAR (EN)"
(oculto por los solicitantes)</t>
  </si>
  <si>
    <t>La pestaña del PAAR con la etiqueta "PAAR (EN)" está reservada para la traducción automática de la pestaña "PAAR" y para la revisión del PRT. Ésa no debe estar completada por los solicitantes. Los solicitantes sólo deben rellenar la pestaña "PAAR".</t>
  </si>
  <si>
    <t xml:space="preserve">Una vez cumplimente el campo "Información contextual" y la tabla "Solicitud priorizada por encima del monto asignado (PAAR)" de la pestaña "PAAR", guarde el archivo Excel y envíelo con la solicitud de financiamiento. </t>
  </si>
  <si>
    <t>Fecha de generación:</t>
  </si>
  <si>
    <t>Monto recomendado por el PRT (moneda de asignación)</t>
  </si>
  <si>
    <t>Monto recomendado por el PRT (USD)</t>
  </si>
  <si>
    <t>El módulo o la intervención no existe.</t>
  </si>
  <si>
    <t>El módulo y la intervención no se corresponden.</t>
  </si>
  <si>
    <t>El nivel de prioridad según el solicitante no es válido.</t>
  </si>
  <si>
    <t>Por favor introduce un número.</t>
  </si>
  <si>
    <t>Por favor introduce un número entero.</t>
  </si>
  <si>
    <t>Equivalente en USD</t>
  </si>
  <si>
    <t>Indique, para los módulos VIH, la población objetivo relevante.</t>
  </si>
  <si>
    <t>Component</t>
  </si>
  <si>
    <t>TRP Priority</t>
  </si>
  <si>
    <t>High</t>
  </si>
  <si>
    <t>Comprehensive prevention programs for men who have sex with men</t>
  </si>
  <si>
    <t>Prevention programs for general population</t>
  </si>
  <si>
    <t>Behavioral interventions as part of programs for the general population</t>
  </si>
  <si>
    <t>EUR</t>
  </si>
  <si>
    <t>Medium</t>
  </si>
  <si>
    <t>Comprehensive prevention programs for people who inject drugs and their partners</t>
  </si>
  <si>
    <t>Condoms as part of programs for the general population</t>
  </si>
  <si>
    <t>Malaria</t>
  </si>
  <si>
    <t>Low</t>
  </si>
  <si>
    <t>Comprehensive prevention programs for sex workers and their clients</t>
  </si>
  <si>
    <t>Male circumcision</t>
  </si>
  <si>
    <t>RSSH</t>
  </si>
  <si>
    <t>Elevé</t>
  </si>
  <si>
    <t>Not Recommended</t>
  </si>
  <si>
    <t>Comprehensive prevention programs for transgender people</t>
  </si>
  <si>
    <t>Diagnosis and treatment of sexually transmitted infections and other sexual health services for the general population</t>
  </si>
  <si>
    <t>Moyen</t>
  </si>
  <si>
    <t>Comprehensive programs for people in prisons and other closed settings</t>
  </si>
  <si>
    <t>Orphan and vulnerable children package</t>
  </si>
  <si>
    <t>Integrated</t>
  </si>
  <si>
    <t>Faible</t>
  </si>
  <si>
    <t>HIV Testing Services</t>
  </si>
  <si>
    <t>Linkages between HIV programs and RMNCH</t>
  </si>
  <si>
    <t>VIH/SIDA</t>
  </si>
  <si>
    <t>Alto</t>
  </si>
  <si>
    <t>Prevention of mother-to-child transmission</t>
  </si>
  <si>
    <t>Gender-based violence prevention and treatment programs for general population</t>
  </si>
  <si>
    <t>Tuberculose</t>
  </si>
  <si>
    <t>Medio</t>
  </si>
  <si>
    <t>Non recommandé</t>
  </si>
  <si>
    <t>Prevention programs for adolescents and youth, in and out of school</t>
  </si>
  <si>
    <t>Other interventions for the general population</t>
  </si>
  <si>
    <t>Paludisme</t>
  </si>
  <si>
    <t>Bajo</t>
  </si>
  <si>
    <t>Community empowerment for men who have sex with men</t>
  </si>
  <si>
    <t>SRPS</t>
  </si>
  <si>
    <t>Prevention programs for other vulnerable populations</t>
  </si>
  <si>
    <t>Addressing stigma, discrimination and violence against men who have sex with men</t>
  </si>
  <si>
    <t>Behavioral interventions for men who have sex with men</t>
  </si>
  <si>
    <t>Integré</t>
  </si>
  <si>
    <t>No recomendado</t>
  </si>
  <si>
    <t>Programs to reduce human rights-related barriers to HIV services</t>
  </si>
  <si>
    <t>Condoms and lubricant programming for men who have sex with men</t>
  </si>
  <si>
    <t>Pre-exposure prophylaxis (PrEP) for men who have sex with men</t>
  </si>
  <si>
    <t>Harm reduction interventions for men who have sex with men who inject drugs</t>
  </si>
  <si>
    <t>RSSH: Procurement and supply chain management systems</t>
  </si>
  <si>
    <t>HIV testing services for men who have sex with men</t>
  </si>
  <si>
    <t>SRSS</t>
  </si>
  <si>
    <t>RSSH: Health management information system and monitoring and evaluation</t>
  </si>
  <si>
    <t>Diagnosis and treatment of sexually transmitted infections and other sexual health services for men who have sex with men</t>
  </si>
  <si>
    <t>RSSH: Human resources for health, including community health workers</t>
  </si>
  <si>
    <t>Prevention and management of coinfections and comorbidities men who have sex with men</t>
  </si>
  <si>
    <t>Integrados</t>
  </si>
  <si>
    <t>RSSH: Integrated service delivery and quality improvement</t>
  </si>
  <si>
    <t>Interventions for young men who have sex with men</t>
  </si>
  <si>
    <t>RSSH: Financial management systems</t>
  </si>
  <si>
    <t>Other interventions for men who have sex with men</t>
  </si>
  <si>
    <t>RSSH: National health strategies</t>
  </si>
  <si>
    <t>Disease</t>
  </si>
  <si>
    <t>RSSH: Community responses and systems</t>
  </si>
  <si>
    <t>Addressing stigma, discrimination and violence against sex workers</t>
  </si>
  <si>
    <t>RSSH: Program management</t>
  </si>
  <si>
    <t>Behavioral interventions for sex workers</t>
  </si>
  <si>
    <t>Multidrug-resistant TB</t>
  </si>
  <si>
    <t>Condoms and lubricant programming for sex workers</t>
  </si>
  <si>
    <t>Pre-exposure prophylaxis (PrEP) for sex workers</t>
  </si>
  <si>
    <t>TB care and prevention</t>
  </si>
  <si>
    <t>Harm reduction interventions for sex workers who inject drugs</t>
  </si>
  <si>
    <t>HIV testing services for sex workers</t>
  </si>
  <si>
    <t>Applicant Rating</t>
  </si>
  <si>
    <t>Diagnosis and treatment of sexually transmittedinfections and othersexual and reproductivehealth services for sex workers</t>
  </si>
  <si>
    <t>Prevention and management of co-infections and co-morbidities for sex workers</t>
  </si>
  <si>
    <t>Interventions for young people who sell sex</t>
  </si>
  <si>
    <t>Programmes de prévention complets destinés aux hommes ayant des rapports sexuels avec des hommes (HSH)</t>
  </si>
  <si>
    <t>Programas de prevención integral para hombres que tienen relaciones sexuales con hombres</t>
  </si>
  <si>
    <t>Other interventions for sex workers and their clients</t>
  </si>
  <si>
    <t>Programmes de prévention complets destinés aux consommateurs de drogues injectables et à leurs partenaires</t>
  </si>
  <si>
    <t>Programas de prevención integral para personas que consumen drogas y sus parejas</t>
  </si>
  <si>
    <t>Community empowerment for people who inject drugs</t>
  </si>
  <si>
    <t>Programmes de prévention complets destinés aux professionnels du sexe et à leurs clients</t>
  </si>
  <si>
    <t>Programas de prevención integral para trabajadores del sexo y sus clientes</t>
  </si>
  <si>
    <t>Addressing stigma, discrimination and violence against people who inject drugs</t>
  </si>
  <si>
    <t>Programmes de prévention complets destinés aux transgenres</t>
  </si>
  <si>
    <t>Programas de prevención integral para personas transgénero</t>
  </si>
  <si>
    <t>Behavioral interventions for people who inject drugs</t>
  </si>
  <si>
    <t>Programmes complets destinés aux personnes en détention ou se trouvant dans d'autres lieux fermés</t>
  </si>
  <si>
    <t>Programas integrales para personas privadas de libertad en centros penitenciarios y otros lugares de reclusión</t>
  </si>
  <si>
    <t>Condoms and lubricant programming for people who inject drugs</t>
  </si>
  <si>
    <t>Services de dépistage du VIH</t>
  </si>
  <si>
    <t>Servicios de diagnóstico de VIH</t>
  </si>
  <si>
    <t>Case management</t>
  </si>
  <si>
    <t>Overdose prevention and management</t>
  </si>
  <si>
    <t>Prévention de la transmission de la mère à l'enfant (PTME)</t>
  </si>
  <si>
    <t>PTMI</t>
  </si>
  <si>
    <t>HIV testing services for people who inject drugs</t>
  </si>
  <si>
    <t>Programmes de prévention destinés aux adolescents et aux jeunes, scolarisés ou non</t>
  </si>
  <si>
    <t>Programas de prevención para adolescentes y jóvenes, dentro y fuera de los centros educativos</t>
  </si>
  <si>
    <t>Specific prevention interventions</t>
  </si>
  <si>
    <t>Diagnosis and treatment of sexually transmitted infections and other sexual health services for people who inject drugs</t>
  </si>
  <si>
    <t>Programmes de prévention destinés à la population générale</t>
  </si>
  <si>
    <t>Programas de prevención para la población general</t>
  </si>
  <si>
    <t>Vector control</t>
  </si>
  <si>
    <t>Needle and syringe programs for people who inject drugs and their partners</t>
  </si>
  <si>
    <t>Programmes de prévention destinés aux autres populations vulnérables</t>
  </si>
  <si>
    <t>Programas de prevención para otras poblaciones vulnerables</t>
  </si>
  <si>
    <t>Opioid substitution therapy and other drug dependence treatment for people who inject drugs</t>
  </si>
  <si>
    <t>Prevention and management of co-infections and comorbidities for people who inject drugs</t>
  </si>
  <si>
    <t>Programmes visant à réduire les obstacles liés aux droits humains qui entravent l'accès aux services VIH</t>
  </si>
  <si>
    <t>Programas para reducir las barreras relacionadas a los derechos humanos para acceder a los servicios de VIH</t>
  </si>
  <si>
    <t>Interventions for young people who inject drugs</t>
  </si>
  <si>
    <t>Other interventions for people who inject drugs and their partners</t>
  </si>
  <si>
    <t>SRPS: Systèmes de gestion des achats et de la chaîne d'approvisionnement</t>
  </si>
  <si>
    <t>SRSS: Sistemas de gestión de la cadena de adquisiciones y suministros</t>
  </si>
  <si>
    <t>Addressing stigma, discrimination and violence against transgender people</t>
  </si>
  <si>
    <t>SRPS: Système de gestion et d'information sanitaire et suivi et évaluation</t>
  </si>
  <si>
    <t>SRSS: Sistemas de información en salud y monitoreo y evaluación</t>
  </si>
  <si>
    <t>Behavioral interventions for transgender people</t>
  </si>
  <si>
    <t>SRPS: Ressources humaines pour la santé, y compris agents de santé communautaires</t>
  </si>
  <si>
    <t>SRSS: Recursos humanos para la salud, incluidos trabajadores de salud comunitarios</t>
  </si>
  <si>
    <t>Condoms and lubricant programming for transgender people</t>
  </si>
  <si>
    <t>SRPS: Prestation de services intégrés et amélioration de la qualité</t>
  </si>
  <si>
    <t>SRSS: Prestación de servicios integrados y mejora de la calidad</t>
  </si>
  <si>
    <t>Pre-exposure prophylaxis (PrEP) and other biomedical interventions for transgender people</t>
  </si>
  <si>
    <t>SRPS: Système de gestion financière</t>
  </si>
  <si>
    <t>SRSS: Sistemas de gestión financiera</t>
  </si>
  <si>
    <t>Harm reduction interventions for transgender people with substance use</t>
  </si>
  <si>
    <t>SRPS: Stratégies nationales de santé</t>
  </si>
  <si>
    <t>SRSS: Estrategias nacionales de salud</t>
  </si>
  <si>
    <t>HIV testing services for transgender people</t>
  </si>
  <si>
    <t>SRPS: Ripostes et systèmes communautaires</t>
  </si>
  <si>
    <t>SRSS: Respuestas y sistemas comunitarios</t>
  </si>
  <si>
    <t>Diagnosis and treatment of sexually transmitted infections and sexual health services for transgender people</t>
  </si>
  <si>
    <t>SRPS: Gestion de programme</t>
  </si>
  <si>
    <t>SRSS: Gestión de programas</t>
  </si>
  <si>
    <t>Prevention and management of co-infections and co-morbidities for transgender people</t>
  </si>
  <si>
    <t>Tuberculose multirésistante</t>
  </si>
  <si>
    <t>Tuberculosis multirresistente</t>
  </si>
  <si>
    <t>Interventions for young transgender people</t>
  </si>
  <si>
    <t>Prise en charge et prévention de la tuberculose</t>
  </si>
  <si>
    <t>Atención y prevención de la tuberculosis</t>
  </si>
  <si>
    <t>Other interventions for transgender people</t>
  </si>
  <si>
    <t>Prise en charge des cas</t>
  </si>
  <si>
    <t>Gestión de casos</t>
  </si>
  <si>
    <t>Community empowerment for people in prisons and other closed settings</t>
  </si>
  <si>
    <t>Interventions de prévention spécifiques</t>
  </si>
  <si>
    <t>Intervenciones de prevención específicas</t>
  </si>
  <si>
    <t>Addressing stigma, discrimination and violence against people in prisons and other closed settings</t>
  </si>
  <si>
    <t>Lutte antivectorielle</t>
  </si>
  <si>
    <t>Control de vectores</t>
  </si>
  <si>
    <t>Behavioral interventions for people in prisons and other closed settings</t>
  </si>
  <si>
    <t>Changement de comportement dans le cadre des programmes destinés à la population générale</t>
  </si>
  <si>
    <t>Cambio del comportamiento como parte de programas para la población general</t>
  </si>
  <si>
    <t>Condoms and lubricant programming for people in prisons and other closed settings</t>
  </si>
  <si>
    <t>Préservatifs dans le cadre des programmes destinés à la population générale</t>
  </si>
  <si>
    <t>Preservativos como parte de programas para la población general</t>
  </si>
  <si>
    <t>Pre-exposure prophylaxis (PrEP) for people in prisons and other closed settings</t>
  </si>
  <si>
    <t>Circoncision masculine</t>
  </si>
  <si>
    <t>Circuncisión masculina</t>
  </si>
  <si>
    <t>Harm reduction interventions for people in prisons and other closed settings</t>
  </si>
  <si>
    <t>Diagnostic et traitement des infections sexuellement transmissibles et autres services liés à la santé sexuelle pour la population générale</t>
  </si>
  <si>
    <t>Diagnóstico y tratamiento de ITS y otros servicios de salud sexual y reproductiva para la población general</t>
  </si>
  <si>
    <t>HIV testing services for people in prisons and other closed settings</t>
  </si>
  <si>
    <t>Paquet d'interventions pour les orphelins et les enfants vulnérables (OEV)</t>
  </si>
  <si>
    <t>Paquete para huérfanos y niños vulnerables</t>
  </si>
  <si>
    <t>Diagnosis and treatment of sexually transmitted infections and other sexual and reproductive health services for people in prisons and other closed settings</t>
  </si>
  <si>
    <t>Liens entre les programmes de lutte contre le VIH, et la santé reproductive maternelle, néonatale et infantile</t>
  </si>
  <si>
    <t>Vínculos entre programas de VIH y la salud sexual y reproductiva, materna, neonatal e infantil</t>
  </si>
  <si>
    <t>Prevention and management of coinfections and comorbidities for people in prisons and other closed settings</t>
  </si>
  <si>
    <t>Programmes de prévention et de traitement de la violence basée sur le genre</t>
  </si>
  <si>
    <t>Programas de prevención y tratamiento de la violencia de género para la población general</t>
  </si>
  <si>
    <t>Other interventions for people in prisons and other closed settings</t>
  </si>
  <si>
    <t>Autres interventions réalisées auprès de la population générale</t>
  </si>
  <si>
    <t>Otras intervenciones para la población general</t>
  </si>
  <si>
    <t>Behavioral interventions for other vulnerable populations</t>
  </si>
  <si>
    <t>Lutte contre la stigmatisation, la discrimination et la violence contre les HSH</t>
  </si>
  <si>
    <t>Empoderamiento de las comunidades a favor de los hombres que tienen relaciones sexuales con hombres</t>
  </si>
  <si>
    <t>Male and female condoms for other vulnerable populations</t>
  </si>
  <si>
    <t>Abordar el estigma, la discriminación y la violencia contra los hombres que tienen relaciones sexuales con hombres</t>
  </si>
  <si>
    <t>HIV testing services for other vulnerable populations</t>
  </si>
  <si>
    <t>Interventions pour le changement de comportement ciblant les HSH</t>
  </si>
  <si>
    <t>Intervenciones conductuales para hombres que tienen relaciones sexuales con hombres</t>
  </si>
  <si>
    <t>Diagnosis and treatment of sexually transmitted infections and other sexual health services for other vulnerable populations</t>
  </si>
  <si>
    <t>Interventions relatives aux préservatifs et aux lubrifiants pour les HSH</t>
  </si>
  <si>
    <t>Other interventions for other vulnerable populations</t>
  </si>
  <si>
    <t>Prophylaxie préexposition (PrEP) pour les HSH</t>
  </si>
  <si>
    <t>Profilaxis previa a la exposición para hombres que tienen relaciones sexuales con hombres</t>
  </si>
  <si>
    <t>Behavioral change as part of programs for adolescent and youth</t>
  </si>
  <si>
    <t>Interventions de réduction des risques parmi les HSH consommateurs de drogues injectables</t>
  </si>
  <si>
    <t>Intervenciones de reducción de daños para hombres que tienen relaciones sexuales con hombres que consumen drogas inyectables</t>
  </si>
  <si>
    <t>Male and female condoms for adolescents and youth, in and out of school</t>
  </si>
  <si>
    <t>Services de dépistage du VIH destinés au HSH</t>
  </si>
  <si>
    <t>Servicios de pruebas de VIH para hombres que tienen relaciones sexuales con hombres</t>
  </si>
  <si>
    <t>Gender-based violence prevention and treatment programs for adolescents and youth</t>
  </si>
  <si>
    <t>Diagnostic et traitement des infections sexuellement transmissibles et autres services liés à la santé sexuelle pour les HSH</t>
  </si>
  <si>
    <t>Diagnóstico y tratamiento de ITS y otros servicios de salud sexual y reproductiva para hombres que tienen relaciones sexuales con hombres</t>
  </si>
  <si>
    <t>Pre-exposure prophylaxis (PrEP) for adolescents and youth</t>
  </si>
  <si>
    <t>Prévention et gestion des co-infections et des comorbidités HSH</t>
  </si>
  <si>
    <t>Prevención y tratamiento de coinfecciones y comorbilidades para hombres que tienen relaciones sexuales con hombres</t>
  </si>
  <si>
    <t>HIV testing services for adolescents and youth, in and out of school</t>
  </si>
  <si>
    <t>Interventions destinées aux hjeunes hommes ayant des rapports sexuels avec des hommes</t>
  </si>
  <si>
    <t>Intervenciones para hombres jóvenes que tienen relaciones sexuales con hombres</t>
  </si>
  <si>
    <t>Community mobilization and norms change</t>
  </si>
  <si>
    <t>Autres interventions ciblant les HSH</t>
  </si>
  <si>
    <t>Otras intervenciones para hombres que tienen relaciones sexuales con hombres</t>
  </si>
  <si>
    <t>Addressing stigma, discrimination and legal barriers to care for adolescents and youth</t>
  </si>
  <si>
    <t>Autonomisation communautaire parmi les professionnels du sexe</t>
  </si>
  <si>
    <t>Empoderamiento de las comunidades a favor de los trabajadores sexuales</t>
  </si>
  <si>
    <t>Socioeconomic approaches</t>
  </si>
  <si>
    <t>Lutte contre la stigmatisation, la discrimination et la violence contre les professionnels du sexe</t>
  </si>
  <si>
    <t>Abordar el estigma, la discriminación y la violencia contra los trabajadores sexuales</t>
  </si>
  <si>
    <t>Interventions pour le changement de comportement ciblant les professionnels du sexe</t>
  </si>
  <si>
    <t>Intervenciones conductuales para trabajadores sexuales</t>
  </si>
  <si>
    <t>Keeping girls in school</t>
  </si>
  <si>
    <t>Interventions relatives aux préservatifs et aux lubrifiants pour les professionnels du sexe</t>
  </si>
  <si>
    <t>Programas de preservativos y lubricantes para trabajadores sexuales</t>
  </si>
  <si>
    <t>Other interventions for adolescent and youth</t>
  </si>
  <si>
    <t>Prophylaxie préexposition (PrEP) pour les professionnels de sexe</t>
  </si>
  <si>
    <t>Profilaxis previa a la exposición para trabajadores sexuales</t>
  </si>
  <si>
    <t>Prong 1: Primary prevention of HIV infection among women of childbearing age</t>
  </si>
  <si>
    <t>Interventions de réduction des risques parmi les professionnels du sexe consommateurs des drogues injectables</t>
  </si>
  <si>
    <t>Intervenciones de reducción de daños para trabajadores sexuales que se inyectan drogas</t>
  </si>
  <si>
    <t>Prong 2: Preventing unintended pregnancies among women living with HIV</t>
  </si>
  <si>
    <t>Services de dépistage du VIH destinés aux professionnels du sexe</t>
  </si>
  <si>
    <t>Servicios de pruebas de VIH para trabajadores sexuales</t>
  </si>
  <si>
    <t>Prong 3: Preventing vertical HIV transmission</t>
  </si>
  <si>
    <t>Diagnostic et traitement des IST et autres services liés à la santé sexuelle et reproductive pour les professionnels du sexe</t>
  </si>
  <si>
    <t>Diagnóstico y tratamiento de ITS y otros servicios de salud sexual y reproductiva para trabajadores sexuales</t>
  </si>
  <si>
    <t>Prong 4: Treatment, care and support to mothers living with HIV, their children and families</t>
  </si>
  <si>
    <t>Prévention et gestion des co-infections et des comorbidités pour les professionnels du sexe</t>
  </si>
  <si>
    <t>Prevención y tratamiento de coinfecciones y comorbilidades para trabajadores sexuales</t>
  </si>
  <si>
    <t>Other interventions for PMTCT</t>
  </si>
  <si>
    <t>Interventions destinées aux jeunes ayant des rapports sexuels payants</t>
  </si>
  <si>
    <t>Intervenciones para jóvenes trabajadores sexuales</t>
  </si>
  <si>
    <t>Differentiated HIV testing services</t>
  </si>
  <si>
    <t>Autres interventions ciblant les professionnels du sexe et de leurs clients</t>
  </si>
  <si>
    <t>Otras intervenciones para trabajadores sexuales y sus clientes</t>
  </si>
  <si>
    <t>HIV care</t>
  </si>
  <si>
    <t>Autonomisation communautaire parmi les consommateurs de drogues injectables</t>
  </si>
  <si>
    <t>Empoderamiento de las comunidades a favor de personas que se inyectan drogas</t>
  </si>
  <si>
    <t>Differentiated antiretroviral therapy service delivery</t>
  </si>
  <si>
    <t>Lutte contre la stigmatisation, la discrimination et la violence contre les consommateurs de drogues injectables</t>
  </si>
  <si>
    <t>Abordar el estigma, la discriminación y la violencia contra personas que consumen drogas inyectables</t>
  </si>
  <si>
    <t>Treatment monitoring - drug resistance surveillance</t>
  </si>
  <si>
    <t>Interventions pour le changement de comportement ciblant les usagers de drogues injectables</t>
  </si>
  <si>
    <t>Intervenciones conductuales para personas que consumen drogas inyectables</t>
  </si>
  <si>
    <t>Treatment monitoring – Viral load</t>
  </si>
  <si>
    <t>Programmes relatifs aux préservatifs et aux lubrifiants pour les consommateurs de drogues injectables</t>
  </si>
  <si>
    <t>Programas de preservativos y lubricantes para personas que consumen drogas inyectables</t>
  </si>
  <si>
    <t>Treatment adherence</t>
  </si>
  <si>
    <t>Prévention et gestion des overdoses</t>
  </si>
  <si>
    <t>Prevención y tratamiento de la sobredosis</t>
  </si>
  <si>
    <t>Prevention, diagnosis and treatment of opportunistic infections</t>
  </si>
  <si>
    <t>Services de dépistage du VIH destinés aux consommateurs de drogues injectables</t>
  </si>
  <si>
    <t>Servicios de pruebas de VIH para personas que consumen drogas inyectables</t>
  </si>
  <si>
    <t>Counseling and psycho-social support</t>
  </si>
  <si>
    <t>Diagnostic et traitement des infections sexuellement transmissibles et autres services liés à la santé sexuelle pour les consommateurs de drogues injectables</t>
  </si>
  <si>
    <t>Diagnóstico y tratamiento de ITS y otros servicios de salud sexual y reproductiva para personas que consumen drogas inyectables</t>
  </si>
  <si>
    <t>Other interventions for treatment</t>
  </si>
  <si>
    <t>Interventions liées aux aiguilles et aux seringues destinées aux consommateurs de drogues injectables et à leurs partenaires</t>
  </si>
  <si>
    <t>Programas de agujas y jeringas para personas que consumen drogas inyectables y sus parejas</t>
  </si>
  <si>
    <t>TB/HIV collaborative interventions</t>
  </si>
  <si>
    <t>Traitement de substitution aux opiacés et autre drogue de dépendance pour les consommateurs de drogues injectables</t>
  </si>
  <si>
    <t>Terapia de sustitución de opiáceos y otros tratamientos para la drogodependencia de personas que consumen drogas inyectables</t>
  </si>
  <si>
    <t>Engaging all care providers (TB/HIV)</t>
  </si>
  <si>
    <t>Prévention et gestion des co-infections et des comorbidités pour les consommateurs de drogues injectables</t>
  </si>
  <si>
    <t>Prevención y tratamiento de coinfecciones y comorbilidades para personas que consumen drogas inyectables</t>
  </si>
  <si>
    <t>Community TB/HIV care delivery</t>
  </si>
  <si>
    <t>Interventions destinées aux jeunes consommateurs de drogues injectables</t>
  </si>
  <si>
    <t>Intervenciones para jóvenes que consumen drogas inyectables</t>
  </si>
  <si>
    <t>Key populations (TB/HIV) – prisoners</t>
  </si>
  <si>
    <t>Autres interventions ciblant les consommateurs de drogues injectables et de leurs partenaires</t>
  </si>
  <si>
    <t>Otras intervenciones para personas que consumen drogas inyectables y sus parejas</t>
  </si>
  <si>
    <t>Key populations (TB/HIV) – Others</t>
  </si>
  <si>
    <t>Autonomisation communautaires parmi les transgenres</t>
  </si>
  <si>
    <t>Empoderamiento de las comunidades a favor de personas transgénero</t>
  </si>
  <si>
    <t>Collaborative activities with other programs and sectors (TB/HIV)</t>
  </si>
  <si>
    <t>Lutte contre la stigmatisation, la disrimination et la violence contre les transgenres</t>
  </si>
  <si>
    <t>Abordar el estigma, la discriminación y la violencia contra personas transgénero</t>
  </si>
  <si>
    <t>Removing human rights- and gender-related barriers to TB/ HIV collaborative programming</t>
  </si>
  <si>
    <t>Interventions pour le changement de comportement parmi les transgenres</t>
  </si>
  <si>
    <t>Intervenciones conductuales para personas transgénero</t>
  </si>
  <si>
    <t>Other TB/HIV intervention(s)</t>
  </si>
  <si>
    <t>Programmes relatifs aux préservatifs et aux lubrifiants pour les transgenres</t>
  </si>
  <si>
    <t>Stigma and discrimination reduction</t>
  </si>
  <si>
    <t>Prophylaxie préexposition et autres interventions biomédicales pour les transgenres</t>
  </si>
  <si>
    <t>Profilaxis previa a la exposición y otras intervenciones biomédicas para personas transgénero</t>
  </si>
  <si>
    <t>Legal literacy (“Know Your Rights”)</t>
  </si>
  <si>
    <t>Interventions de réduction des risques liés à la consommation de drogues pour les transgenres</t>
  </si>
  <si>
    <t>Intervenciones de reducción de daños para personas transgénero que consumen drogas</t>
  </si>
  <si>
    <t>Training of health care providers on human rights and medical ethics related to HIV and HIV/TB</t>
  </si>
  <si>
    <t>Services de dépistage du VIH destinés aux transgenres</t>
  </si>
  <si>
    <t>Servicios de diagnóstico de VIH para personas transgénero</t>
  </si>
  <si>
    <t>HIV and HIV/TB-related legal services</t>
  </si>
  <si>
    <t>Diagnostic et traitement des IST et services liés à la santé sexuelle pour les transgenres</t>
  </si>
  <si>
    <t>Diagnóstico y tratamiento de ITS y servicios de salud sexual y reproductiva para personas transgénero</t>
  </si>
  <si>
    <t>Sensitization of lawmakers and law enforcement agents</t>
  </si>
  <si>
    <t>Prévention et gestion des co-infections et des comorbidités pour les transgenres</t>
  </si>
  <si>
    <t>Prevención y tratamiento de coinfecciones y comorbilidades para personas transgénero</t>
  </si>
  <si>
    <t>Interventions destinées aux jeunes transgenres</t>
  </si>
  <si>
    <t>Intervenciones para jóvenes transgénero</t>
  </si>
  <si>
    <t>Autres interventions ciblant les transgenres</t>
  </si>
  <si>
    <t>Otras intervenciones para personas transgénero</t>
  </si>
  <si>
    <t>Other intervention(s) to reduce human rightsrelated barriers to HIV services</t>
  </si>
  <si>
    <t>Autonomisation communautaire parmi les personnes en détention ou se trouvant dans d'autres lieux fermés</t>
  </si>
  <si>
    <t>Empoderamiento de las comunidades en favor de personas privadas de libertad en centros penitenciarios y otros lugares de reclusión</t>
  </si>
  <si>
    <t>Policy, planning, coordination and management of national disease control programs</t>
  </si>
  <si>
    <t>Lutte contre la stigmatisation, la discrimination et la violence contre les personnes en détention ou se trouvant dans d'autres lieux fermés</t>
  </si>
  <si>
    <t>Abordar el estigma, la discriminación y la violencia contra personas en centros penitenciarios y otros lugares de reclusión</t>
  </si>
  <si>
    <t>Interventions pour le changement de comportement parmi les personnes en détention ou se trouvant dans d'autres lieux fermés</t>
  </si>
  <si>
    <t>Intervenciones conductuales para personas privadas de libertad en centros penitenciarios y otros lugares de reclusión</t>
  </si>
  <si>
    <t>Other program management intervention(s)</t>
  </si>
  <si>
    <t>Programmes relatifs aux préservatifs et aux lubrifiants pour les personnes en détention ou se trouvant dans d'autres lieux fermés</t>
  </si>
  <si>
    <t>Programas de preservativos y lubricantes para personas en centros penitenciarios y otros lugares de reclusión</t>
  </si>
  <si>
    <t>Case detection and diagnosis</t>
  </si>
  <si>
    <t>Prophylaxie préexposition (PrEP) pour les personnes en détention ou se trouvant dans d'autres lieux fermés</t>
  </si>
  <si>
    <t>Profilaxis previa a la exposición (PrEP) para personas privadas de libertad en centros penitenciarios y otros lugares de reclusión</t>
  </si>
  <si>
    <t>Treatment</t>
  </si>
  <si>
    <t>Interventions de réduction des risques parmi les personnes en détention ou se trouvant dans d'autres lieux fermés</t>
  </si>
  <si>
    <t>Intervenciones de reducción de daños para personas privadas de libertad en centros penitenciarios y otros lugares de reclusión</t>
  </si>
  <si>
    <t>Prevention</t>
  </si>
  <si>
    <t>Services de dépistage du VIH destinés aux personnes en détention ou se trouvant dans d'autres lieux fermés</t>
  </si>
  <si>
    <t>Servicios de diagnóstico de VIH para personas privadas de libertad en centros penitenciarios y otros lugares de reclusión</t>
  </si>
  <si>
    <t>Engaging all care providers (TB care and prevention)</t>
  </si>
  <si>
    <t>Diagnostic et traitement des IST et autres srvices liés à la santé sexuelle et reproductive pour les personnes en détention ou se trouvant dans d'autres lieux fermés</t>
  </si>
  <si>
    <t>Diagnóstico y tratamiento de ITS y otros servicios de salud sexual y reproductiva para personas privadas de libertad en centros penitenciarios y otros lugares de reclusión</t>
  </si>
  <si>
    <t>Community TB care delivery</t>
  </si>
  <si>
    <t>Prévention et gestion des co-infections et des comorbidités pour les personnes en détention ou se trouvant dans d'autres lieux fermés</t>
  </si>
  <si>
    <t>Prevención y tratamiento de coinfecciones y comorbilidades para personas privadas de libertad en centros penitenciarios y otros lugares de reclusión</t>
  </si>
  <si>
    <t>Key populations (TB care and prevention) – Prisoners</t>
  </si>
  <si>
    <t>Autres interventions ciblant les personnes en détention ou se trouvant dans d'autres lieux fermés</t>
  </si>
  <si>
    <t>Otras intervenciones para personas privadas de libertad en centros penitenciarios y otros lugares de reclusión</t>
  </si>
  <si>
    <t>Key populations (TB care and prevention) – Others</t>
  </si>
  <si>
    <t>Interventions pour le changement de comportement parmi les autres populations vulnérables</t>
  </si>
  <si>
    <t>Intervenciones conductuales para otras poblaciones vulnerables</t>
  </si>
  <si>
    <t>Collaborative activities with other programs and sectors (TB care and prevention)</t>
  </si>
  <si>
    <t>Préservatifs féminins et masculins pour les autres populations vulnérables</t>
  </si>
  <si>
    <t>Preservativos masculinos y femeninos para otras poblaciones vulnerables</t>
  </si>
  <si>
    <t>Removing human rights- and gender-related barriers to TB care and prevention</t>
  </si>
  <si>
    <t>Services de dépistage du VIH destinés aux autres populations vulnérables</t>
  </si>
  <si>
    <t>Servicios de diagnósticos de VIH para otras poblaciones vulnerables</t>
  </si>
  <si>
    <t>Other TB care and prevention intervention(s)</t>
  </si>
  <si>
    <t>Diagnostic et traitement dees IST et autres services liés à la santé sexuelle pour les autres populations vulnérables</t>
  </si>
  <si>
    <t>Diagnóstico y tratamiento de ITS y otros servicios de salud sexual y reproductiva para otras poblaciones vulnerables</t>
  </si>
  <si>
    <t>Case detection and diagnosis: MDR-TB</t>
  </si>
  <si>
    <t>Autres interventions ciblant les autres populations vulnérables</t>
  </si>
  <si>
    <t>Otras intervenciones para otras poblaciones vulnerables</t>
  </si>
  <si>
    <t>Treatment: MDR-TB</t>
  </si>
  <si>
    <t>Changement des comportements dans le cadre des programmes destinés aux adolescents et aux jeunes</t>
  </si>
  <si>
    <t>Intervenciones para cambio del comportamiento como parte de programas para adolescentes y jóvenes</t>
  </si>
  <si>
    <t>Prevention for MDR-TB</t>
  </si>
  <si>
    <t>Préservatifs féminins et masculins pour les adolescents et les jeunes, scolarisés ou non</t>
  </si>
  <si>
    <t>Preservativos masculinos y femeninos para adolescentes y jóvenes, dentro y fuera de los centros educativos</t>
  </si>
  <si>
    <t>Engaging all care providers (MDR-TB)</t>
  </si>
  <si>
    <t>Programmes de prévention et de traitement de la violence basée sur le genre pour les adolescents et les jeunes</t>
  </si>
  <si>
    <t>Programas de prevención y tratamiento de la violencia de género para adolescentes y jóvenes</t>
  </si>
  <si>
    <t>Community MDR-TB care delivery</t>
  </si>
  <si>
    <t>Prophylaxie préexposition (PrEP) par voir orale pour les adolescents et les jeunes</t>
  </si>
  <si>
    <t>Profilaxis previa a la exposición para adolescentes y jóvenes</t>
  </si>
  <si>
    <t>Key populations (MDR-TB) – Prisoners</t>
  </si>
  <si>
    <t>Services de dépistage du VIH destinés aux adolescents et aux jeunes, scolarisés ou non</t>
  </si>
  <si>
    <t>Servicios de diagnóstico de VIH para adolescentes y jóvenes, dentro y fuera de los centros educativos</t>
  </si>
  <si>
    <t>Key populations (MDR-TB) – Others</t>
  </si>
  <si>
    <t>Mobilisation communautaire et changement des normes</t>
  </si>
  <si>
    <t>Movilización comunitaria y cambio de normas</t>
  </si>
  <si>
    <t>Collaborative activities with other programs and sectors (MDR-TB)</t>
  </si>
  <si>
    <t>Lutte contre la stigmatisation, la discrimination et les obstacles jurifiques à l'accès aux soins</t>
  </si>
  <si>
    <t>Abordar el estigma, la discriminación y las barreras jurídicas en la atención a adolescentes y jóvenes</t>
  </si>
  <si>
    <t>Removing human rights- and gender-related barriers to MDR-TB treatment</t>
  </si>
  <si>
    <t>Approches socio-économiques</t>
  </si>
  <si>
    <t>Enfoques socioeconómicos</t>
  </si>
  <si>
    <t>Other MDR-TB intervention(s)</t>
  </si>
  <si>
    <t>Liens entre les programmes de lutte contre le VIH, les programmes de santé reproductive, maternelle, néonatale et infantile</t>
  </si>
  <si>
    <t>Vinculación entre los programas de VIH, salud sexual y reproductiva, materna, neonatal e infantil y tuberculosis para adolescentes, niñas y mujeres jóvenes</t>
  </si>
  <si>
    <t>Long-lasting insecticidal nets – Mass campaign</t>
  </si>
  <si>
    <t>Maintien des filles à l'école</t>
  </si>
  <si>
    <t>Mantener a las niñas en la escuela</t>
  </si>
  <si>
    <t>Long-lasting insecticidal nets – Continuous distribution</t>
  </si>
  <si>
    <t>Autres interventions ciblant les adolescents et des jeunes</t>
  </si>
  <si>
    <t>Otras intervenciones para adolescentes y jóvenes</t>
  </si>
  <si>
    <t>Indoor residual spraying</t>
  </si>
  <si>
    <t>Volet 1: prévention primaire de l'infection au VIH chet les femmes en âge de procérer</t>
  </si>
  <si>
    <t>Vertiente 1: Prevención primaria de la infección por el VIH en mujeres en edad reproductiva</t>
  </si>
  <si>
    <t>Other vector control measures</t>
  </si>
  <si>
    <t>Volet 2: prévention des grossesses non désirées chez les femmes vivant avec le VIH</t>
  </si>
  <si>
    <t>Vertiente 2: Prevención de embarazos no deseados en mujeres que viven con el VIH</t>
  </si>
  <si>
    <t>Entomological monitoring</t>
  </si>
  <si>
    <t>Volet 3: prévention de la transmissio verticale du VIH</t>
  </si>
  <si>
    <t>Vertiente 3: Prevención de la transmisión maternoinfantil del VIH</t>
  </si>
  <si>
    <t>Information, education, communication/Behavior change communications (vector control)</t>
  </si>
  <si>
    <t>Volet 4: traitement, prise en charge et soutien des mères vivant avec le VIH, de leurs enfants et de leurs familles</t>
  </si>
  <si>
    <t>Vertiente 4: Atención, tratamiento y apoyo para madres que viven con el VIH, así como para sus hijos y familias</t>
  </si>
  <si>
    <t>Removing human rights- and gender-related barriers to vector control programs</t>
  </si>
  <si>
    <t>Autres interventions de prévention de la transmission de la mère à l'enfant</t>
  </si>
  <si>
    <t>Otras intervenciones de PTMI</t>
  </si>
  <si>
    <t>Facility-based treatment</t>
  </si>
  <si>
    <t>Services différenciés de dépistage du VIH</t>
  </si>
  <si>
    <t>Servicios diferenciados de diagnóstico de VIH</t>
  </si>
  <si>
    <t>Epidemic preparedness</t>
  </si>
  <si>
    <t>Prise en charge du VIH</t>
  </si>
  <si>
    <t>Atención para el VIH</t>
  </si>
  <si>
    <t>Integrated community case management (iCCM)</t>
  </si>
  <si>
    <t>Prestation de services différenciés pour les traitement antirétroviraux</t>
  </si>
  <si>
    <t>Prestación de servicios diferenciados de tratamiento antirretroviral</t>
  </si>
  <si>
    <t>Active case detection and investigation (elimination phase)</t>
  </si>
  <si>
    <t>Suivi du traitement - surveillance de la pharmacoérsistance</t>
  </si>
  <si>
    <t>Seguimiento del tratamiento: vigilancia de la farmacorresistencia</t>
  </si>
  <si>
    <t>Therapeutic efficacy surveillance</t>
  </si>
  <si>
    <t>Suivi du traitement - charge virale</t>
  </si>
  <si>
    <t>Seguimiento del tratamiento: carga vírica</t>
  </si>
  <si>
    <t>Severe malaria</t>
  </si>
  <si>
    <t>Observance du traitement</t>
  </si>
  <si>
    <t>Adherencia al tratamiento</t>
  </si>
  <si>
    <t>Private sector case management</t>
  </si>
  <si>
    <t>Prévention, diagnostic et traitement des infections opportunistes</t>
  </si>
  <si>
    <t>Prevención, diagnóstico y tratamiento de infecciones oportunistas</t>
  </si>
  <si>
    <t>Ensuring drug and other health product quality</t>
  </si>
  <si>
    <t>Conseil et soutien psycho-social</t>
  </si>
  <si>
    <t>Asesoramiento y apoyo psicosocial</t>
  </si>
  <si>
    <t>Information, education, communication/behavior change communication (case management)</t>
  </si>
  <si>
    <t>Autres interventions réalisées dans le cadre du traitement</t>
  </si>
  <si>
    <t>Otras intervenciones para el tratamiento</t>
  </si>
  <si>
    <t>Removing human rights- and gender-related barriers to case management</t>
  </si>
  <si>
    <t>Interventions conjointes de lutte contre la tuberculose et le VIH</t>
  </si>
  <si>
    <t>Intervenciones colaborativas de tuberculosis y VIH</t>
  </si>
  <si>
    <t>Other case management intervention(s)</t>
  </si>
  <si>
    <t>Implication de tous les prestataires de soins TB/HIV</t>
  </si>
  <si>
    <t>Incorporar a todos los proveedores de servicios de salud (TB/VIH)</t>
  </si>
  <si>
    <t>Intermittent preventive treatment – In pregnancy</t>
  </si>
  <si>
    <t>Prise en charge communautaire de la coinfection TB/HIV</t>
  </si>
  <si>
    <t>Prestación de atención comunitaria para la TB/VIH</t>
  </si>
  <si>
    <t>Intermittent preventive treatment – In infancy</t>
  </si>
  <si>
    <t>Populations clés (TB/VIH) - prisonniers ou personnes se trouvant dans d'autres lieux fermés</t>
  </si>
  <si>
    <t>Poblaciones clave (TB/VIH): personas privadas de libertad en centros penitenciarios y en otros lugares de reclusión</t>
  </si>
  <si>
    <t>Seasonal malaria chemoprevention</t>
  </si>
  <si>
    <t>Populations clàs (TB/VIH) - autres</t>
  </si>
  <si>
    <t>Poblaciones clave (TB/VIH): otras</t>
  </si>
  <si>
    <t>Mass drug administration</t>
  </si>
  <si>
    <t>Activtiés conjointes avec d'autres programmes et secteurs (TB/VIH)</t>
  </si>
  <si>
    <t>Actividades de colaboración con otros programas y sectores (TB/VIH)</t>
  </si>
  <si>
    <t>Information, education, communication/Behavior change communications (specific prevention interventions)</t>
  </si>
  <si>
    <t>Suppression des obstacles liés aux droits humains et au genre qui entravent les programmes conjoints de lutte contre la tuberculose/VIH</t>
  </si>
  <si>
    <t>Eliminar las barreras relacionadas a los derechos humanos y género para las actividades colaborativas TB/VIH</t>
  </si>
  <si>
    <t>Removing human rights- and gender-related barriers to specific prevention interventions</t>
  </si>
  <si>
    <t>Autres interventions relatives à la coinfection TB/VIH</t>
  </si>
  <si>
    <t>Otras intervenciones TB/VIH</t>
  </si>
  <si>
    <t>Other specific prevention intervention(s)</t>
  </si>
  <si>
    <t>Réduction de la stigmatisation et de la discrimination</t>
  </si>
  <si>
    <t>Reducción del estigma y la discriminación</t>
  </si>
  <si>
    <t>National costed supply chain master plan, and implementation</t>
  </si>
  <si>
    <t>Acquisition de notions de droit ("Connaissez vos droits")</t>
  </si>
  <si>
    <t>Conocimientos jurídicos (“Conoce tus derechos”)</t>
  </si>
  <si>
    <t>Procurement strategy</t>
  </si>
  <si>
    <t>Formation des professionnels de santé en matière de droits humans et d'éthique médicale liés à la lutte contre le VIH et à la lutte conjointe contre le VIH/la tuberculose</t>
  </si>
  <si>
    <t>Formación de los proveedores de servicios de salud sobre los derechos humanos y ética médica en relación con el VIH y la TB/VIH.</t>
  </si>
  <si>
    <t>Supply chain infrastructure and development of tools</t>
  </si>
  <si>
    <t>Services juridiques liés au VIH et à la co-infection VIH/tuberculose</t>
  </si>
  <si>
    <t>Servicios jurídicos relacionados con el VIH y la TB/VIH.</t>
  </si>
  <si>
    <t>National product selection, registration and quality monitoring</t>
  </si>
  <si>
    <t>Sensibilisation des législateurs et des agents de la force publique</t>
  </si>
  <si>
    <t>Sensibilización de los legisladores y cuerpos de seguridad</t>
  </si>
  <si>
    <t>Other procurement and supply chain management intervention(s)</t>
  </si>
  <si>
    <t>Amélioration des lois, des réglementations et des politiques relatives au VIH et à la co-infection VIH/tuberculose</t>
  </si>
  <si>
    <t>Mejora de leyes, reglamentos y políticas relacionadas con el VIH y la TB/VIH.</t>
  </si>
  <si>
    <t>Réduction de la discrimination basée sur le genre, des normes de genre nuisibles et de la violence contre les femmes et les filles dans toute leur diversité, en lien avec le VIH</t>
  </si>
  <si>
    <t>Reducir la discriminación relacionada con el género y el VIH, las normas de género dañinas y la violencia contra mujeres y niñas en toda su diversidad</t>
  </si>
  <si>
    <t>Program and data quality</t>
  </si>
  <si>
    <t>Autres interventions destinées à la réduction des barrières aux services de VIH relatives aux droits de l'Homme</t>
  </si>
  <si>
    <t>Otras intervenciones para reducir las barreras de derechos humanos para accesar a los servicios de VIH</t>
  </si>
  <si>
    <t>Analysis, review and transparency</t>
  </si>
  <si>
    <t>Politiques, planification, coordination et gestion des programmes nationaux de lutte contre les maladies</t>
  </si>
  <si>
    <t>Política, planificación, coordinación y gestión de los programas nacionales de control de enfermedades</t>
  </si>
  <si>
    <t>Administrative and financial data sources</t>
  </si>
  <si>
    <t>Autre gestion de programme</t>
  </si>
  <si>
    <t>Otro gestión de subvenciones</t>
  </si>
  <si>
    <t>Vital registration system</t>
  </si>
  <si>
    <t>Dépistage et diagnostic des cas</t>
  </si>
  <si>
    <t>Detección de casos y diagnóstico</t>
  </si>
  <si>
    <t>Other health information systems and monitoring and evaluation intervention(s)</t>
  </si>
  <si>
    <t>Traitement</t>
  </si>
  <si>
    <t>Tratamiento</t>
  </si>
  <si>
    <t>Capacity building for health workers, including those at community level</t>
  </si>
  <si>
    <t>Prévention</t>
  </si>
  <si>
    <t>Prevención</t>
  </si>
  <si>
    <t>Retention and scale-up of health workers, including for community health workers</t>
  </si>
  <si>
    <t>Participation de tous les prestataires de soins (prise en charge et prevention de la TB)</t>
  </si>
  <si>
    <t>Incorporar a todos los proveedores de servicios de salud (atención y prevención de la tuberculosis)</t>
  </si>
  <si>
    <t>Other health and community workforce intervention(s)</t>
  </si>
  <si>
    <t>Prise en charge communautaire de la tuberculose</t>
  </si>
  <si>
    <t>Prestación de atención comunitaria para la tuberculosis</t>
  </si>
  <si>
    <t>Supportive policy and programmatic environment</t>
  </si>
  <si>
    <t>Populations clés (prise en charge et prévention de la TB) - prisonniers</t>
  </si>
  <si>
    <t>Poblaciones clave (Atención y prevención de TB): personas privadas de libertad</t>
  </si>
  <si>
    <t>Service organization and facility management</t>
  </si>
  <si>
    <t>Populations clés (prise en charge et prévention de la TB) - autres</t>
  </si>
  <si>
    <t>Poblaciones clave (Atención y prevención de TB): Otros</t>
  </si>
  <si>
    <t>Laboratory systems for disease prevention, control, treatment and disease surveillance</t>
  </si>
  <si>
    <t>Activités conjointes avec d'autres programmes et secteurs (prise en charge et prévention de la TB)</t>
  </si>
  <si>
    <t>Actividades de colaboración con otros programas y sectores (Atención y prevención de TB)</t>
  </si>
  <si>
    <t>Improving service delivery infrastructure</t>
  </si>
  <si>
    <t>Suppression des obstacles liés aux droits humains et au genre qui entravent l'accès aux services de prévention et de prise en charge de la tuberculose</t>
  </si>
  <si>
    <t>Eliminar las barreras relacionadas a los derechos humanos y género para la atención y prevención de TB</t>
  </si>
  <si>
    <t>Provider-initiated feedback mechanisms</t>
  </si>
  <si>
    <t>Autres interventions relatives à la prise en charge et prévention de la TB</t>
  </si>
  <si>
    <t>Otras intervenciones para la atención y prevención de TB</t>
  </si>
  <si>
    <t>Other service delivery intervention(s)</t>
  </si>
  <si>
    <t>Détection et diagnostic des cas: tuberculose multirésistante</t>
  </si>
  <si>
    <t>Detección de casos y diagnóstico: TB-MDR</t>
  </si>
  <si>
    <t>Public financial management strengthening</t>
  </si>
  <si>
    <t>Traitement: tuberculose multirésistante</t>
  </si>
  <si>
    <t>Tratamiento: TB-MDR</t>
  </si>
  <si>
    <t>Routine financial management improvement (non-public financial management)</t>
  </si>
  <si>
    <t>Prévention de la tuberculose multirésistante</t>
  </si>
  <si>
    <t>Prevención de la TB-MDR</t>
  </si>
  <si>
    <t>Other financial management intervention(s)</t>
  </si>
  <si>
    <t>Participation de tous les prestataires de soins (TB-MR)</t>
  </si>
  <si>
    <t>Implicar a todos los proveedores de atención (TB-MDR)</t>
  </si>
  <si>
    <t>National health strategies, alignment with diseasespecific plans, health sector governance and financing</t>
  </si>
  <si>
    <t>Prise en charge communautaire de la TB-MR</t>
  </si>
  <si>
    <t>Prestación de atención comunitaria para TB-MDR</t>
  </si>
  <si>
    <t>Other policy and governance intervention(s)</t>
  </si>
  <si>
    <t>Populations clés (TB-MR) - prisonniers</t>
  </si>
  <si>
    <t>Poblaciones clave (TB-MDR): personas privadas de libertad</t>
  </si>
  <si>
    <t>Community-based monitoring</t>
  </si>
  <si>
    <t>Populations clés (TB-MR) - autres</t>
  </si>
  <si>
    <t>Poblaciones clave (TB-MDR): otros</t>
  </si>
  <si>
    <t>Community-led advocacy</t>
  </si>
  <si>
    <t>Activités conjointes avec d'autres programmes et secteurs (TB-MR)</t>
  </si>
  <si>
    <t>Actividades de colaboración con otros programas y sectores (TB-MDR)</t>
  </si>
  <si>
    <t>Social mobilization, building community linkages, collaboration and coordination</t>
  </si>
  <si>
    <t>Suppression des obstacles liés aux droits humains et au genre qui entravent l'accès au traitement l'accès au traitement de la tuberculose multirésistante</t>
  </si>
  <si>
    <t>Eliminar las barreras relacionadas a los derechos humanos y género para TB-MDR</t>
  </si>
  <si>
    <t>Institutional capacity building, planning and leadership development</t>
  </si>
  <si>
    <t>Autres interventions relatives à la TB-MR</t>
  </si>
  <si>
    <t>Otras intervenciones para TB-MDR</t>
  </si>
  <si>
    <t>Other other community responses and systems intervention(s)</t>
  </si>
  <si>
    <t>Moustiquaires imprégnées d'insecticide de longue durée d'action: campagne de masse</t>
  </si>
  <si>
    <t>Mosquiteros tratados con insecticida de larga duración (MILD) – Campaña a gran escala</t>
  </si>
  <si>
    <t>Moustiquaires imprégnées d'insecticide de longue durée d'action: distribution continue</t>
  </si>
  <si>
    <t>Mosquiteros tratados con insecticida de larga duración (MILD) – Distribución continua</t>
  </si>
  <si>
    <t>Pulvérisation intradomiciliaire à effet rémanent</t>
  </si>
  <si>
    <t>Fumigación de interiores con insecticida de acción residual (FIR)</t>
  </si>
  <si>
    <t>Autres mesures de lutte antivectorielle</t>
  </si>
  <si>
    <t>Otras medidas de control de vectores</t>
  </si>
  <si>
    <t>Surveillance entomologique</t>
  </si>
  <si>
    <t>Seguimiento entomológico</t>
  </si>
  <si>
    <t>IEC/CCC (lutte antivectorielle)</t>
  </si>
  <si>
    <t>IEC/CCC (Control de vectores)</t>
  </si>
  <si>
    <t>Suppression des obstacles liés aux droits humains et au genre entravant l'accès aux programmes de lutte antivectorielle</t>
  </si>
  <si>
    <t>Eliminar los obstáculos relacionados con los derechos humanos y el género en los programas de control de vectores</t>
  </si>
  <si>
    <t>Traitement en milieu hospitalier</t>
  </si>
  <si>
    <t>Tratamiento en centros sanitarios</t>
  </si>
  <si>
    <t>Préparation aux épidémies</t>
  </si>
  <si>
    <t>Preparación ante epidemias</t>
  </si>
  <si>
    <t>Prise en charge inétgrée des cas au niveau communautaire</t>
  </si>
  <si>
    <t>Gestión integrada de casos en la comunidad</t>
  </si>
  <si>
    <t>Dépistage actif des cas et investigation (phase d'élimination)</t>
  </si>
  <si>
    <t>Detección activa de casos e investigación (fase de eliminación)</t>
  </si>
  <si>
    <t>Surveillance de l'efficacité thérapeutique)</t>
  </si>
  <si>
    <t>Vigilancia de la eficacia terapéutica</t>
  </si>
  <si>
    <t>Paludisme grave</t>
  </si>
  <si>
    <t>Malaria grave</t>
  </si>
  <si>
    <t>Prise en charge dans le secteur privé</t>
  </si>
  <si>
    <t>Gestión de casos en el sector privado</t>
  </si>
  <si>
    <t>Assurance Qualité des médicaments et produits de santé</t>
  </si>
  <si>
    <t>Asegurando la calidad de medicamentos y otros productos de salud</t>
  </si>
  <si>
    <t>IEC/CCC (prise en charge)</t>
  </si>
  <si>
    <t>IEC/CCC Gestión de casos</t>
  </si>
  <si>
    <t>Suppression des obstacles liés aux droits humains et au genre qui entravent l'accès aux interventions de prise en charge</t>
  </si>
  <si>
    <t>Eliminar las barreras relacionadas a los derechos humanos y género para la gestión de casos</t>
  </si>
  <si>
    <t>Autres interventions relatives à la prise en charge</t>
  </si>
  <si>
    <t>Otras intervenciones para la gestión de casos</t>
  </si>
  <si>
    <t>Traitement préventif intermittent: femmes enceintes</t>
  </si>
  <si>
    <t>Tratamiento preventivo intermitente – Durante el embarazo</t>
  </si>
  <si>
    <t>Traitement préventif intermittent: nourrissons</t>
  </si>
  <si>
    <t>Tratamiento preventivo intermitente – Durante la infancia</t>
  </si>
  <si>
    <t>Chimioprévention du paludisme saisonnier</t>
  </si>
  <si>
    <t>Quimioprevención estacional de la malaria</t>
  </si>
  <si>
    <t>Administration de médicaments à grande échelle</t>
  </si>
  <si>
    <t>Administración masiva de medicamentos</t>
  </si>
  <si>
    <t>IEC/CCC (interventions de préventions spécifiques)</t>
  </si>
  <si>
    <t>IEC/CCC Intervenciones de prevención específicas</t>
  </si>
  <si>
    <t>Suppression des obstacles liés aux droits humains et au genre qui entravent l'accès aux interventions de préventions spécificiques</t>
  </si>
  <si>
    <t>Eliminar las barreras relacionadas a los derechos humanos y género para las intervenciones específicas de prevención</t>
  </si>
  <si>
    <t>Autres interventions de prévention spécifique</t>
  </si>
  <si>
    <t>Otras intervenciones específicas para la prevención</t>
  </si>
  <si>
    <t>Elaboration et mise en œuvre d'un plan national chiffé relatif à la chaîne d'approvisionnement</t>
  </si>
  <si>
    <t>Plan maestro nacional presupuestado de la cadena de suministros, e implementación</t>
  </si>
  <si>
    <t>Stratégie d'achat</t>
  </si>
  <si>
    <t>Estrategia de adquisiciones</t>
  </si>
  <si>
    <t>Infrastructure de la cha'ine d'approvisionnement et élabortion d'outils</t>
  </si>
  <si>
    <t>Infraestructura de la cadena de suministros y desarrollo de herramientas</t>
  </si>
  <si>
    <t>Processus nationaux de sélection, d'homologation et de suivi de la qualité des produits</t>
  </si>
  <si>
    <t>Selección, registro y monitoreo de la calidad de productos nacionales</t>
  </si>
  <si>
    <t>Autres interventions relatives aux achats et à la chaîne d'approvisionnement</t>
  </si>
  <si>
    <t>Otras intervenciones para la gestión de adquisiciones y cadena de suministros</t>
  </si>
  <si>
    <t>Presentación de informes rutinarios</t>
  </si>
  <si>
    <t>Qualité du programme et des données</t>
  </si>
  <si>
    <t>Calidad de los programas y de los datos</t>
  </si>
  <si>
    <t>Analyse, revues et transparence</t>
  </si>
  <si>
    <t>Análisis, revisión y transparencia</t>
  </si>
  <si>
    <t>Sources de données administratives et financières</t>
  </si>
  <si>
    <t>Fuentes de datos administrativos y financieros</t>
  </si>
  <si>
    <t>Système d'enregistrement de l'état civil</t>
  </si>
  <si>
    <t>Sistema de registro civil</t>
  </si>
  <si>
    <t>Autres interventions relatives aux systèmes d'informations sanitaires et S&amp;E</t>
  </si>
  <si>
    <t>Otras intervenciones para sistemas de información en salud y monitoreo y evaluación</t>
  </si>
  <si>
    <t>Renforcement des capacités des prestataires de santé, y compris au niveau communautaire</t>
  </si>
  <si>
    <t>Desarrollo de capacidad para trabajadores de salud, incluyendo los del nivel comunitario</t>
  </si>
  <si>
    <t>Rétention et renforcement des effectifs du secteur de la santé, y compris des agents de santé communautaires</t>
  </si>
  <si>
    <t>Retención y ampliación del número de trabajadores de salud, incluidos los trabajadores comunitarios</t>
  </si>
  <si>
    <t>Autres interventions relatives aux effectifs du secteur de santé y compris au  niveau communautaire</t>
  </si>
  <si>
    <t>Otras intervenciones para recursos humanos de salud, incluyendo los trabajadores comunitarios</t>
  </si>
  <si>
    <t>Environnement politique et programmatique favorable</t>
  </si>
  <si>
    <t>Entorno político y programático propicio</t>
  </si>
  <si>
    <t>Organisation des services et gestion des établissessments</t>
  </si>
  <si>
    <t>Organización de servicios y gestión de salud</t>
  </si>
  <si>
    <t>Réseaux de laboratoires pour la prévention, le contrôle, la prise en charge et la surveillance des maladies</t>
  </si>
  <si>
    <t>Sistemas de laboratorio para la prevención, el control, el tratamiento y la vigilancia de enfermedades</t>
  </si>
  <si>
    <t>Amélioration de l'infrastructure de prestation de services</t>
  </si>
  <si>
    <t>Mejorar la infraestructura de la prestación de servicios</t>
  </si>
  <si>
    <t>Dispositifs de retour d'information à l'initiative des prestataires</t>
  </si>
  <si>
    <t>Mecanismos de retroalimentación iniciados por los prestadores de servicios</t>
  </si>
  <si>
    <t>Autres interventions relatives à la prestation de services</t>
  </si>
  <si>
    <t>Otras intervenciones para la prestación de servicios</t>
  </si>
  <si>
    <t>Renforcement de la gestion des finances publiques</t>
  </si>
  <si>
    <t>Fortalecimiento de la gestión financiera pública</t>
  </si>
  <si>
    <t>Amélioration de la gestion des finances courantes (hors dépenses publiques)</t>
  </si>
  <si>
    <t>Mejora de la gestión financiera rutinaria (no pública)</t>
  </si>
  <si>
    <t>Autres interventions relatives à la gestion financier</t>
  </si>
  <si>
    <t>Otras intervenciones para sistemas de gestión financiera</t>
  </si>
  <si>
    <t>Stratégies sanitaires nationales, alignement avec les plans maladie spécifiques, gouvernance du secteur de la santé et financement</t>
  </si>
  <si>
    <t>Estrategias nacionales en salud, alineamiento con planes específicos de enfermedades, gobernanza y financiamiento en el ector salud</t>
  </si>
  <si>
    <t>Autres interventions relatives à la politique et à la gouvernance</t>
  </si>
  <si>
    <t>Otras intervenciones para política y gobernanza</t>
  </si>
  <si>
    <t>Suivi au niveau communautaire</t>
  </si>
  <si>
    <t>Monitoreo a nivel comunitario</t>
  </si>
  <si>
    <t>Plaidoyer communautaire</t>
  </si>
  <si>
    <t>Abogacía comunitaria</t>
  </si>
  <si>
    <t>Mobilisation sociale, renforcement des liens communautaires, de la collaboration et de la coordination</t>
  </si>
  <si>
    <t>Movilización social, establecimiento de vínculos comunitarios, colaboración y coordinación</t>
  </si>
  <si>
    <t>Renforcement des capacités institutionnelles, de planification et de direction</t>
  </si>
  <si>
    <t>Desarrollo de capacidades institucionales, planificación y liderazgo</t>
  </si>
  <si>
    <t>Autres interventions relatives aux réponses et systèmes communautaires</t>
  </si>
  <si>
    <t>Otras intervenciones para respuestas y sistemas comunitarios</t>
  </si>
  <si>
    <t>Políticas, planificación, coordinación y gestión de programas nacionales de control de enfermedades</t>
  </si>
  <si>
    <t>French</t>
  </si>
  <si>
    <t>Spanish</t>
  </si>
  <si>
    <t>Version Number</t>
  </si>
  <si>
    <t>Date</t>
  </si>
  <si>
    <t>Incidents</t>
  </si>
  <si>
    <t>Description</t>
  </si>
  <si>
    <t>Modified By</t>
  </si>
  <si>
    <t>US-3982</t>
  </si>
  <si>
    <t>Enabled Instructions sheet and provided translations in English, French, Spanish languages</t>
  </si>
  <si>
    <t>INC123523</t>
  </si>
  <si>
    <t>Blocking the import when 'TRP Review Outcome' is in 'Grant Making' and Profile is 'Country Team'</t>
  </si>
  <si>
    <t>INC124066</t>
  </si>
  <si>
    <t>Formula modification in PAAR sheet at F117 location</t>
  </si>
  <si>
    <t>Modified Formula at  'PaarLineToUpsert' Sheet X1 cell.
Existing : =COUNTA(PAAR!D29:D213)-SUMPRODUCT(COUNTIF(PAAR!D29:D213,"--select--"))
Modified: =COUNTA(PAAR!$B$30:$B$116)</t>
  </si>
  <si>
    <t>INC124942</t>
  </si>
  <si>
    <t>PAAR Sheet, F29:F116, G29:G116, L29:L116 formatted cells to enter only whole numbers</t>
  </si>
  <si>
    <t>INC126081</t>
  </si>
  <si>
    <t>Adjusted Column widths and provided access by enabling Format Cells and Format Rows options.</t>
  </si>
  <si>
    <t>REQ0030326
(US-4321)</t>
  </si>
  <si>
    <t>Enhancement request: color coding</t>
  </si>
  <si>
    <t>Umesh Ghane</t>
  </si>
  <si>
    <t>REQ0034526
(US-4322)</t>
  </si>
  <si>
    <t>Navigation fixes &amp; column name in PAAR template</t>
  </si>
  <si>
    <t>REQ0030498
(US-4323)</t>
  </si>
  <si>
    <t>Enhancement: move all hidden columns to end of document</t>
  </si>
  <si>
    <t>94ba0d93-3574-4c2a-9e5c-27b0aa380139</t>
  </si>
  <si>
    <t xml:space="preserve">     </t>
  </si>
  <si>
    <t>PickListValue</t>
  </si>
  <si>
    <t>PickListKey</t>
  </si>
  <si>
    <t>AIM_Funding_Request__c.AIM_Funding_Request_Currency__c</t>
  </si>
  <si>
    <t>AIM_Funding_Request__c.AIM_TRP_Review_Outcome__c</t>
  </si>
  <si>
    <t>AIM_Funding_Request__c.PAAR_Status__c</t>
  </si>
  <si>
    <t>L1FR_PAAR_UQD_Intervention__c.L1FR_TRP_Priority__c</t>
  </si>
  <si>
    <t>L1FR_PAAR_UQD_Intervention__c.L1FR_Applicant_Priority_Rating__c</t>
  </si>
  <si>
    <t>L1FR_PAAR_UQD_Intervention__c.L1FR_Status__c</t>
  </si>
  <si>
    <t>CHF</t>
  </si>
  <si>
    <t>Grant Making</t>
  </si>
  <si>
    <t>Pre-import Quality Control</t>
  </si>
  <si>
    <t>Iteration</t>
  </si>
  <si>
    <t>A2F / CT Feedback</t>
  </si>
  <si>
    <t>Inactive</t>
  </si>
  <si>
    <t>Revised review approach</t>
  </si>
  <si>
    <t>Awaiting Import</t>
  </si>
  <si>
    <t>Expired</t>
  </si>
  <si>
    <t>AFN</t>
  </si>
  <si>
    <t>IT Feedback</t>
  </si>
  <si>
    <t>AMD</t>
  </si>
  <si>
    <t>Not Approved</t>
  </si>
  <si>
    <t>AUD</t>
  </si>
  <si>
    <t>Import verified</t>
  </si>
  <si>
    <t>BAM</t>
  </si>
  <si>
    <t>BDT</t>
  </si>
  <si>
    <t>BGN</t>
  </si>
  <si>
    <t>BTN</t>
  </si>
  <si>
    <t>CNY</t>
  </si>
  <si>
    <t>COP</t>
  </si>
  <si>
    <t>DOP</t>
  </si>
  <si>
    <t>GBP</t>
  </si>
  <si>
    <t>GEL</t>
  </si>
  <si>
    <t>GHS</t>
  </si>
  <si>
    <t>GNF</t>
  </si>
  <si>
    <t>GTQ</t>
  </si>
  <si>
    <t>IDR</t>
  </si>
  <si>
    <t>ILS</t>
  </si>
  <si>
    <t>INR</t>
  </si>
  <si>
    <t>JMD</t>
  </si>
  <si>
    <t>JOD</t>
  </si>
  <si>
    <t>JPY</t>
  </si>
  <si>
    <t>KES</t>
  </si>
  <si>
    <t>KZT</t>
  </si>
  <si>
    <t>MAD</t>
  </si>
  <si>
    <t>MGA</t>
  </si>
  <si>
    <t>MKD</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</si>
  <si>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</si>
  <si>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</si>
  <si>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</si>
  <si>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</si>
  <si>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</si>
  <si>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</si>
  <si>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</si>
  <si>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</si>
  <si>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</si>
  <si>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</si>
  <si>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</si>
  <si>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</si>
  <si>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</si>
  <si>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</si>
  <si>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</si>
  <si>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</si>
  <si>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</si>
  <si>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</si>
  <si>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</si>
  <si>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</si>
  <si>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</si>
  <si>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</si>
  <si>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</si>
  <si>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</si>
  <si>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</si>
  <si>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</si>
  <si>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</si>
  <si>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</si>
  <si>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</si>
  <si>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</si>
  <si>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</si>
  <si>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</si>
  <si>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</si>
  <si>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</si>
  <si>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</si>
  <si>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</si>
  <si>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BOB</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</si>
  <si>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</si>
  <si>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</si>
  <si>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</si>
  <si>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</si>
  <si>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</si>
  <si>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</si>
  <si>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</si>
  <si>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</si>
  <si>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</si>
  <si>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</si>
  <si>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</si>
  <si>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</si>
  <si>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</si>
  <si>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</si>
  <si>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</si>
  <si>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</si>
  <si>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</si>
  <si>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</si>
  <si>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</si>
  <si>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</si>
  <si>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</si>
  <si>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</si>
  <si>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</si>
  <si>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</si>
  <si>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</si>
  <si>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</si>
  <si>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</si>
  <si>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</si>
  <si>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</si>
  <si>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</si>
  <si>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</si>
  <si>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</si>
  <si>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</si>
  <si>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</si>
  <si>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</si>
  <si>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</si>
  <si>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</si>
  <si>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</si>
  <si>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</si>
  <si>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</si>
  <si>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</si>
  <si>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</si>
  <si>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</si>
  <si>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</si>
  <si>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</si>
  <si>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</si>
  <si>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MVR</t>
  </si>
  <si>
    <t>MWK</t>
  </si>
  <si>
    <t>MXN</t>
  </si>
  <si>
    <t>MYR</t>
  </si>
  <si>
    <t>NIO</t>
  </si>
  <si>
    <t>NPR</t>
  </si>
  <si>
    <t>OMR</t>
  </si>
  <si>
    <t>PAB</t>
  </si>
  <si>
    <t>PEN</t>
  </si>
  <si>
    <t>PKR</t>
  </si>
  <si>
    <t>PLN</t>
  </si>
  <si>
    <t>QAR</t>
  </si>
  <si>
    <t>RON</t>
  </si>
  <si>
    <t>RWF</t>
  </si>
  <si>
    <t>SAR</t>
  </si>
  <si>
    <t>SBD</t>
  </si>
  <si>
    <t>SCR</t>
  </si>
  <si>
    <t>SDG</t>
  </si>
  <si>
    <t>SGD</t>
  </si>
  <si>
    <t>SHP</t>
  </si>
  <si>
    <t>SKK</t>
  </si>
  <si>
    <t>SOS</t>
  </si>
  <si>
    <t>SYP</t>
  </si>
  <si>
    <t>TJS</t>
  </si>
  <si>
    <t>TOP</t>
  </si>
  <si>
    <t>TRY</t>
  </si>
  <si>
    <t>TTD</t>
  </si>
  <si>
    <t>TWD</t>
  </si>
  <si>
    <t>UGX</t>
  </si>
  <si>
    <t>UYU</t>
  </si>
  <si>
    <t>UZS</t>
  </si>
  <si>
    <t>VND</t>
  </si>
  <si>
    <t>VUV</t>
  </si>
  <si>
    <t>WST</t>
  </si>
  <si>
    <t>XCD</t>
  </si>
  <si>
    <t>XPF</t>
  </si>
  <si>
    <t>MZN</t>
  </si>
  <si>
    <t>TMT</t>
  </si>
  <si>
    <t>ZMW</t>
  </si>
  <si>
    <t>SSP</t>
  </si>
  <si>
    <t>BYN</t>
  </si>
  <si>
    <t>MRU</t>
  </si>
  <si>
    <t>STN</t>
  </si>
  <si>
    <t>VES</t>
  </si>
  <si>
    <t>ANG</t>
  </si>
  <si>
    <t>BMD</t>
  </si>
  <si>
    <t>CUP</t>
  </si>
  <si>
    <t>IBBS and PSE among sex workers to plan, implement, and monitor prevention programs.</t>
  </si>
  <si>
    <t>Conduct an assessment and develop a set of services to effectively respond to new psychoactive substances, including chemsex.
- Conduct a national study on new psychoactive substances to learn about the prevalence, patterns, risks and needs of people involved in the activity; 
- Develop new sustainable interventions in this area, including those that go beyond the HIV response and include, for example, community-based mental health interventions; 
- Provide training to health care providers and community representatives on various harm reduction and new substance use issues.</t>
  </si>
  <si>
    <t>Ongoing professional development of staff members of NGOs.
Services of local experts on the development of regulatory documents for the professionalization of community human resources (how to integrate civil society human resources into the state professional standards and regulation);
Creation of mechanism and institution on the basis of existing educational institution for professionalization of community human resources and training of specialists (not less than 50% of employees of HIV-service NGOs).</t>
  </si>
  <si>
    <t>Determine and calculate the cost of a package of clinical and non-clinical services along the continuum of HIV and hemocontact viral hepatitis treatment: services of experts (international and local) to identify and cost elements of HIV and HBV services.</t>
  </si>
  <si>
    <t>OST and other medically assisted addiction treatment, procurement of buprenorphine for 200 OST clients for 3 years</t>
  </si>
  <si>
    <t>Procurement of SLD for TB treatment, and pyridoxine to prevent side effects of treatment (buffer for 2027)
Bdq(20) Bedaquiline 20 Dispersible tablet(s)
Bdq(100) Bedaquiline 100mg Uncoated tablet(s)
Cfz(50) Clofazimine 50 mg Capsules
Cfz(100) Clofazimine 100mg Capsules
Cs(125) Cycloserine 125mg Capsules
Cs(250) Cycloserine 250mg Capsules
Dlm(25) Delamanid 25mg Soluble tablets
Dlm(50) Delamanid 50mg Coated Tablets
E(100) Ethambutol 100mg Coated Tablets
H(300) Isoniazid 300mg Uncoated Tablets
Lfx(100) Levofloxacin 100mg Soluble Tablets
Lzd(150) Linezolid 150mg Soluble tablets
Lzd(600) Linezolid 600mg Coated tablets
Mfx(400) Moxifloxacin 400mg Coated tablets
Pa(200) Pretomanid 200 mg Coated tablets</t>
  </si>
  <si>
    <t>Purchase of a set of 8 ultra-portable X-ray machines with artificial intelligence (CAD) at $100,000 (cost of staff training is included, 3-year service warranty) + purchase of 9 vehicles at $15,000 to provide mobility for screening teams using ultra-portable X-ray machines.</t>
  </si>
  <si>
    <t>Additional module for NRL</t>
  </si>
  <si>
    <t>Expansion of KPs' access to HIV prevention and self-testing services (purchase of 50 vending machines at a cost of $8,000 per unit).</t>
  </si>
  <si>
    <t>Support for an additional 10 street lawyers and two qualified attorneys for 3 years</t>
  </si>
  <si>
    <t>WHO EURO technical assistance for the evaluation of the country's TB laboratory network and its optimization</t>
  </si>
  <si>
    <t>Providing TPT to people from contacts (rifapentine) for 2027 with PSM</t>
  </si>
  <si>
    <t>Viral hepatitis C (HCV) is a key co-infection: an estimated 67% of PWID have been previously infected (as determined by the presence of anti-HCV) and 39% are currently infected with HCV (as determined by the presence of HCV RNA). Free HCV treatment at the expense of state funding is available only to a limited number of PWID with severe HCV infection, including cirrhosis.
1) Rapid testing for viral hepatitis B and C once every 12 months among key populations (at least 80% of estimated PWID, MSM, SW, TG and prisoners):
- $320,000 ($4 for each of the 40,000 KPs, over 2 years); 
- $96,000 (additional payment to 80 outreach workers at $50 per month, for 2 years).
2) Hepatitis C treatment with direct-acting antiviral drugs (3,000 treatment courses for key populations, including PLHIV):
- $600,000 (purchase of drugs - cost of 3-month course of treatment $200, for 2 years);
- $150,000 (laboratory and instrumental monitoring of patients receiving treatment).
3) Hepatitis B treatment with antiviral agent tenofovir/TAF (1,000 treatment courses for key populations, including PLHIV):
- $120,000 (purchase of drugs - cost of annual course of treatment $60, over 2 years);
- $50,000 (laboratory and instrumental monitoring of patients receiving treatment).</t>
  </si>
  <si>
    <t>Reagents and consumables for TB sequencing</t>
  </si>
  <si>
    <t>Support of three shelters for PLHIV, SW, MSM ($60,000 per year, for 3 years)</t>
  </si>
  <si>
    <t>Supporting the activities of two shelters for adolescent girls and young women in difficult life situations (1 shelter - $60,000 per year, for 3 years)</t>
  </si>
  <si>
    <t>Support the functioning and expansion of the use of TB MIS at the PHC level.</t>
  </si>
  <si>
    <t>SRH Services, including STIs
- Establishing and maintaining 10 friendly offices to provide SRH services in high HIV burden areas across the country with the following core services:
- $144,000 (1 physician - $400 per month, for 3 years);
- $108,000 (1 nurse, $300/month, for 3 years).</t>
  </si>
  <si>
    <t>Procurement of 3 medium-sized trucks (load capacity of 3 tons) for transportation of pharmaceuticals and health products, in compliance with temperature regime</t>
  </si>
  <si>
    <t>WHO technical assistance
(1) on updating the National Strategic Plan for TB (2026) in line with the WHO European Region TB Action Plan;
(2) adapting national TB guidelines in line with the latest WHO recommendations on prevention, screening, diagnosis and treatment of TB and DR-TB (all ages), including training and strengthening national capacity;
(3) on active TB detection among at-risk populations and increasing access to preventive TB treatment</t>
  </si>
  <si>
    <t>Repair of HIV diagnostic laboratory in preparation for accreditation, expansion and repair of existing storage facilities (or re-equipment of existing facilities) for 5 regions</t>
  </si>
  <si>
    <t>TrueNAT machine, cartridges, maintenance, consumables</t>
  </si>
  <si>
    <r>
      <rPr>
        <b/>
        <sz val="11"/>
        <color theme="1"/>
        <rFont val="Arial"/>
        <family val="2"/>
      </rPr>
      <t>TB/RSSH</t>
    </r>
    <r>
      <rPr>
        <sz val="11"/>
        <color theme="1"/>
        <rFont val="Arial"/>
        <family val="2"/>
      </rPr>
      <t xml:space="preserve">. Kyrgyzstan is committed to achieve ambitious targets set forth by the global End TB Strategy and by the new Regional TB Action Plan in the WHO European Region. In 2024, the country plans scaling up new fully oral shorter treatment regimens, including BPaLM. However, further progress can be jeopardized due to a significant increase of target goals to 1,200 annually in 2024-2026. The capacity of the national TB laboratory and diagnostic network is yet limited and the cost of new diagnostic tests, including mWRD and DST, laboratory maintenance and SLD are among the main barriers the country is facing to increase DR-TB treatment coverage. 
Insufficient efforts on systematic screening for TB disease among key at-risk populations remain one of the serious gaps. To support contact investigation as well as to meet criteria for TB preventive treatment, 8 ultraportable CAD-enhanced CXR devices and vehicles to ensure their mobility will be procured to increase the coverage with TB screening in remote areas and hard-to-reach populations and reduce the burden of OOP for poor populations. 
The increase in TB projected numbers will require further strengthening of TB laboratory services, particularly, in decentralized settings. A new TrueNAT technology will be introduced to detect mWRD closer to the point-of-care. Also, reagents for targeted genome sequencing will be provided both to strengthen multi-pathogen laboratory surveillance and to support TB DST once it is recommended by WHO (expected in 2023) as well as a new module for NRL. 
Substantial costs are related to procurement and supply of quality assured SLDs with the GF remaining the critical source of funding. A buffer stock for 2027 is included here.
During the next three years, outpatient model of TB care delivery will be further prioritized. For this, the M&amp;E capacity need to be strengthened with the TB MIS expanded further in the PHC level. To evaluate the quality and effectiveness of NSP implementation in Kyrgyzstan, the country will request WHO technical assistance through the grant implementation cycle.
</t>
    </r>
    <r>
      <rPr>
        <b/>
        <sz val="11"/>
        <rFont val="Arial"/>
        <family val="2"/>
      </rPr>
      <t>HIV/RSSH</t>
    </r>
    <r>
      <rPr>
        <sz val="11"/>
        <color theme="1"/>
        <rFont val="Arial"/>
        <family val="2"/>
      </rPr>
      <t>. Despite progress in the national HIV response, there are a number of important needs that cannot be covered by either public funding or the main allocation within current FR. These additional needs are reflected here. The system of HIV service delivery for the KPs and PLHIV is not sufficiently sustainable, as an impressive proportion of interventions still depend on donor funding (especially prevention programs). To improve the sustainability of the system, the cost of the package of clinical and non-clinical services will be calculated, which will allow more effective implementation of the state social contracting program, as well as advocacy for the transition to HIV services within the funding from the MHIF. Also, an important contribution to the sustainability of the HIV service delivery system will be the implementation of measures for the professional development of human resources of community-based organizations, including standardized training of specialists and the introduction of a mechanism for their certification. Another important intervention aimed at ensuring the sustainability of the system of HIV services will be the preparation of HIV and viral hepatitis diagnostic laboratories for accreditation according to international standards.
The situation with drug use in both the country and the EECA region has changed significantly in recent years, the "traditional" opioid drugs have been replaced by new synthetic psychoactive substances, which entails new threats and challenges in terms of HIV prevention activities. In this context, it is important to conduct a situational assessment and develop a set of interventions to effectively respond to the new psychoactive substances. At the same time, there remains a rather large group of people who inject opioids in the country. Preventive interventions will continue to be implemented for this group of clients, including the introduction of buprenorphine along with methadone to increase the attractiveness of the OST program.
In addition to HIV, there is a high prevalence of STIs, HepB and HepC among the KPs and their close environment, which requires intensification of measures to diagnose, prevent and treat these diseases. To implement this component, funds will be provided for screening, treatment and laboratory monitoring of patients with STIs and viral HepB and HepC, as well as funds for the procurement of vehicles for the transportation of drugs, test systems and other health products within the provision of HIV, STIs and viral hepatitis services.
In order to improve access to HIV self-testing services (especially for people who cannot or do not want to go to healthcare facilities or community organizations) it is planned to purchase vending machines, which will be installed in public places, most comfortable for PLHIV. Also, shelter services will be provided for PLHIV and vulnerable groups - this will allow them to meet their basic living needs, which, in turn, will create favorable conditions for access to HIV-related services.
Since every national HIV program is developed based on the epidemiological situation, including the results of assessments/studies, a timely update of the data, which is critical, is very important. PAAR, in addition to the other planned assessments/studies, will include funds for the IBBS and PSE among SWs, as well as for the assessment to prepare the country for the elimination of the vertical transmission of HIV.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</si>
</sst>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F800]dddd\,\ mmmm\ dd\,\ yyyy"/>
    <numFmt numFmtId="166" formatCode="[$-409]d/mmm/yyyy;@"/>
    <numFmt numFmtId="167" formatCode="_(* #,##0_);_(* \(#,##0\);_(@_)"/>
    <numFmt numFmtId="168" formatCode="_(* #,##0.00000000000000000_);_(* \(#,##0.00000000000000000\);_(@_)"/>
    <numFmt numFmtId="169" formatCode="#,##0\ _U_A_H"/>
  </numFmts>
  <fonts count="32" x14ac:knownFonts="1">
    <font>
      <sz val="11"/>
      <color theme="1"/>
      <name val="Calibri"/>
      <family val="2"/>
      <scheme val="minor"/>
    </font>
    <font>
      <sz val="11"/>
      <color theme="1"/>
      <name val="Calibri"/>
      <family val="2"/>
    </font>
    <font>
      <sz val="11"/>
      <color theme="1"/>
      <name val="Arial"/>
      <family val="2"/>
    </font>
    <font>
      <b/>
      <sz val="11"/>
      <color theme="0"/>
      <name val="Calibri"/>
      <family val="2"/>
      <scheme val="minor"/>
    </font>
    <font>
      <b/>
      <sz val="11"/>
      <color theme="1"/>
      <name val="Calibri"/>
      <family val="2"/>
      <scheme val="minor"/>
    </font>
    <font>
      <b/>
      <sz val="11"/>
      <color theme="0"/>
      <name val="Arial"/>
      <family val="2"/>
    </font>
    <font>
      <b/>
      <sz val="11"/>
      <color theme="1"/>
      <name val="Arial"/>
      <family val="2"/>
    </font>
    <font>
      <b/>
      <sz val="14"/>
      <color theme="0"/>
      <name val="Arial"/>
      <family val="2"/>
    </font>
    <font>
      <b/>
      <sz val="11"/>
      <name val="Arial"/>
      <family val="2"/>
    </font>
    <font>
      <sz val="11"/>
      <color rgb="FFFF0000"/>
      <name val="Calibri"/>
      <family val="2"/>
      <scheme val="minor"/>
    </font>
    <font>
      <sz val="10"/>
      <name val="Arial"/>
      <family val="2"/>
    </font>
    <font>
      <b/>
      <sz val="10"/>
      <name val="Arial"/>
      <family val="2"/>
    </font>
    <font>
      <b/>
      <sz val="11"/>
      <color rgb="FFFF0000"/>
      <name val="Arial"/>
      <family val="2"/>
    </font>
    <font>
      <sz val="11"/>
      <color rgb="FFFF0000"/>
      <name val="Arial"/>
      <family val="2"/>
    </font>
    <font>
      <sz val="11"/>
      <name val="Calibri"/>
      <family val="2"/>
      <scheme val="minor"/>
    </font>
    <font>
      <sz val="11"/>
      <name val="Arial"/>
      <family val="2"/>
    </font>
    <font>
      <sz val="7"/>
      <color rgb="FF000000"/>
      <name val="Verdana"/>
      <family val="2"/>
      <charset val="238"/>
    </font>
    <font>
      <b/>
      <sz val="11"/>
      <color theme="1"/>
      <name val="Arial"/>
      <family val="2"/>
      <charset val="238"/>
    </font>
    <font>
      <sz val="11"/>
      <color rgb="FF000000"/>
      <name val="Arial"/>
      <family val="2"/>
      <charset val="238"/>
    </font>
    <font>
      <b/>
      <sz val="10"/>
      <name val="Arial"/>
      <family val="2"/>
      <charset val="238"/>
    </font>
    <font>
      <sz val="11"/>
      <color theme="1"/>
      <name val="Arial"/>
      <family val="2"/>
      <charset val="238"/>
    </font>
    <font>
      <sz val="9"/>
      <color rgb="FF1D1C1D"/>
      <name val="Arial"/>
      <family val="2"/>
      <charset val="238"/>
    </font>
    <font>
      <sz val="12"/>
      <color theme="1"/>
      <name val="Times New Roman"/>
      <family val="1"/>
    </font>
    <font>
      <sz val="8"/>
      <name val="Calibri"/>
      <family val="2"/>
      <scheme val="minor"/>
    </font>
    <font>
      <sz val="11"/>
      <color theme="1"/>
      <name val="Calibri"/>
      <family val="2"/>
      <scheme val="minor"/>
    </font>
    <font>
      <sz val="18"/>
      <color theme="0"/>
      <name val="Arial Black"/>
      <family val="2"/>
    </font>
    <font>
      <u/>
      <sz val="11"/>
      <color theme="10"/>
      <name val="Calibri"/>
      <family val="2"/>
      <scheme val="minor"/>
    </font>
    <font>
      <sz val="9"/>
      <color rgb="FF444444"/>
      <name val="Calibri"/>
      <family val="2"/>
      <scheme val="minor"/>
    </font>
    <font>
      <sz val="11"/>
      <color theme="0"/>
      <name val="Arial"/>
      <family val="2"/>
    </font>
    <font>
      <u/>
      <sz val="11"/>
      <color theme="10"/>
      <name val="Arial"/>
      <family val="2"/>
    </font>
    <font>
      <b/>
      <i/>
      <sz val="11"/>
      <color rgb="FFC00000"/>
      <name val="Arial"/>
      <family val="2"/>
    </font>
    <font>
      <b/>
      <u/>
      <sz val="11"/>
      <color theme="1"/>
      <name val="Arial"/>
      <family val="2"/>
    </font>
  </fonts>
  <fills count="25">
    <fill>
      <patternFill patternType="none"/>
    </fill>
    <fill>
      <patternFill patternType="gray125"/>
    </fill>
    <fill>
      <patternFill patternType="solid">
        <fgColor theme="8"/>
        <bgColor theme="8"/>
      </patternFill>
    </fill>
    <fill>
      <patternFill patternType="solid">
        <fgColor rgb="FF003F7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theme="4"/>
      </patternFill>
    </fill>
    <fill>
      <patternFill patternType="solid">
        <fgColor theme="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1"/>
        <bgColor indexed="64"/>
      </patternFill>
    </fill>
    <fill>
      <patternFill patternType="solid">
        <fgColor rgb="FFD1A9EE"/>
        <bgColor indexed="64"/>
      </patternFill>
    </fill>
    <fill>
      <patternFill patternType="solid">
        <fgColor theme="0" tint="-0.249977111117893"/>
        <bgColor indexed="64"/>
      </patternFill>
    </fill>
    <fill>
      <patternFill patternType="solid">
        <fgColor theme="5"/>
        <bgColor indexed="64"/>
      </patternFill>
    </fill>
    <fill>
      <patternFill patternType="solid">
        <fgColor rgb="FF8294FB"/>
        <bgColor indexed="64"/>
      </patternFill>
    </fill>
    <fill>
      <patternFill patternType="solid">
        <fgColor rgb="FF04198F"/>
        <bgColor indexed="64"/>
      </patternFill>
    </fill>
    <fill>
      <patternFill patternType="solid">
        <fgColor rgb="FFA6A6A6"/>
        <bgColor indexed="64"/>
      </patternFill>
    </fill>
    <fill>
      <patternFill patternType="solid">
        <fgColor rgb="FF44CC36"/>
        <bgColor indexed="64"/>
      </patternFill>
    </fill>
    <fill>
      <patternFill patternType="solid">
        <fgColor rgb="FFC1A704"/>
        <bgColor indexed="64"/>
      </patternFill>
    </fill>
  </fills>
  <borders count="28">
    <border>
      <left/>
      <right/>
      <top/>
      <bottom/>
      <diagonal/>
    </border>
    <border>
      <left style="thin">
        <color theme="8"/>
      </left>
      <right/>
      <top style="thin">
        <color theme="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style="hair">
        <color indexed="64"/>
      </right>
      <top style="hair">
        <color auto="1"/>
      </top>
      <bottom style="hair">
        <color indexed="64"/>
      </bottom>
      <diagonal/>
    </border>
    <border>
      <left style="hair">
        <color theme="8"/>
      </left>
      <right style="hair">
        <color theme="8"/>
      </right>
      <top style="hair">
        <color theme="8"/>
      </top>
      <bottom style="hair">
        <color theme="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8"/>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10" fillId="0" borderId="0"/>
    <xf numFmtId="0" fontId="24" fillId="0" borderId="0"/>
    <xf numFmtId="0" fontId="26" fillId="0" borderId="0" applyNumberFormat="0" applyFill="0" applyBorder="0" applyAlignment="0" applyProtection="0"/>
  </cellStyleXfs>
  <cellXfs count="179">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xf>
    <xf numFmtId="0" fontId="0" fillId="5" borderId="0" xfId="0" applyFill="1" applyAlignment="1">
      <alignment horizontal="lef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4" borderId="2" xfId="0" applyFont="1" applyFill="1" applyBorder="1" applyAlignment="1">
      <alignment horizontal="center" vertical="center" wrapText="1"/>
    </xf>
    <xf numFmtId="43" fontId="6" fillId="4"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pplyProtection="1">
      <alignment horizontal="center" vertical="center" wrapText="1"/>
      <protection locked="0"/>
    </xf>
    <xf numFmtId="0" fontId="8" fillId="7" borderId="2" xfId="0" applyFont="1" applyFill="1" applyBorder="1" applyAlignment="1">
      <alignment horizontal="center" vertical="center" wrapText="1"/>
    </xf>
    <xf numFmtId="0" fontId="11" fillId="10" borderId="9" xfId="1" applyFont="1" applyFill="1" applyBorder="1"/>
    <xf numFmtId="0" fontId="12" fillId="11" borderId="2" xfId="0" applyFont="1" applyFill="1" applyBorder="1" applyAlignment="1">
      <alignment horizontal="center" vertical="center" wrapText="1"/>
    </xf>
    <xf numFmtId="0" fontId="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9" fillId="0" borderId="0" xfId="0" applyFont="1" applyAlignment="1">
      <alignment wrapText="1"/>
    </xf>
    <xf numFmtId="0" fontId="6" fillId="4" borderId="0" xfId="0" applyFont="1" applyFill="1" applyAlignment="1">
      <alignment horizontal="center" vertical="center"/>
    </xf>
    <xf numFmtId="0" fontId="9" fillId="13" borderId="0" xfId="0" applyFont="1" applyFill="1" applyAlignment="1">
      <alignment wrapText="1"/>
    </xf>
    <xf numFmtId="0" fontId="11" fillId="10" borderId="0" xfId="1" applyFont="1" applyFill="1"/>
    <xf numFmtId="0" fontId="9" fillId="13" borderId="0" xfId="0" applyFont="1" applyFill="1"/>
    <xf numFmtId="0" fontId="12" fillId="14" borderId="0" xfId="0" applyFont="1" applyFill="1" applyAlignment="1">
      <alignment horizontal="left" vertical="center"/>
    </xf>
    <xf numFmtId="0" fontId="14" fillId="12" borderId="0" xfId="0" applyFont="1" applyFill="1"/>
    <xf numFmtId="0" fontId="16" fillId="0" borderId="0" xfId="0" applyFont="1"/>
    <xf numFmtId="1" fontId="0" fillId="0" borderId="0" xfId="0" applyNumberFormat="1"/>
    <xf numFmtId="0" fontId="11" fillId="10" borderId="10" xfId="1" applyFont="1" applyFill="1" applyBorder="1"/>
    <xf numFmtId="49" fontId="0" fillId="12" borderId="10" xfId="0" applyNumberFormat="1" applyFill="1" applyBorder="1"/>
    <xf numFmtId="0" fontId="0" fillId="12" borderId="10" xfId="0" applyFill="1" applyBorder="1"/>
    <xf numFmtId="0" fontId="11" fillId="10" borderId="10" xfId="1" applyFont="1" applyFill="1" applyBorder="1" applyAlignment="1">
      <alignment wrapText="1"/>
    </xf>
    <xf numFmtId="49" fontId="0" fillId="0" borderId="10" xfId="0" applyNumberFormat="1" applyBorder="1"/>
    <xf numFmtId="0" fontId="0" fillId="0" borderId="0" xfId="0" applyAlignment="1">
      <alignment wrapText="1"/>
    </xf>
    <xf numFmtId="0" fontId="0" fillId="0" borderId="10" xfId="0" applyBorder="1"/>
    <xf numFmtId="0" fontId="18" fillId="0" borderId="0" xfId="0" applyFont="1"/>
    <xf numFmtId="0" fontId="0" fillId="12" borderId="0" xfId="0" applyFill="1"/>
    <xf numFmtId="0" fontId="15" fillId="6" borderId="2" xfId="0" applyFont="1" applyFill="1" applyBorder="1" applyAlignment="1" applyProtection="1">
      <alignment horizontal="left" vertical="center" wrapText="1"/>
      <protection locked="0"/>
    </xf>
    <xf numFmtId="0" fontId="15" fillId="6" borderId="2"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hidden="1"/>
    </xf>
    <xf numFmtId="0" fontId="2" fillId="6" borderId="2" xfId="0" applyFont="1" applyFill="1" applyBorder="1" applyAlignment="1" applyProtection="1">
      <alignment vertical="center" wrapText="1"/>
      <protection locked="0"/>
    </xf>
    <xf numFmtId="0" fontId="2" fillId="6" borderId="14" xfId="0" applyFont="1" applyFill="1" applyBorder="1" applyAlignment="1" applyProtection="1">
      <alignment vertical="center" wrapText="1"/>
      <protection locked="0"/>
    </xf>
    <xf numFmtId="0" fontId="21" fillId="0" borderId="0" xfId="0" applyFont="1"/>
    <xf numFmtId="0" fontId="17" fillId="0" borderId="0" xfId="0" applyFont="1" applyAlignment="1">
      <alignment horizontal="left" vertical="justify" wrapText="1" indent="1"/>
    </xf>
    <xf numFmtId="0" fontId="6"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horizontal="center" vertical="center" wrapText="1"/>
    </xf>
    <xf numFmtId="165" fontId="4" fillId="15" borderId="15" xfId="0" applyNumberFormat="1" applyFont="1" applyFill="1" applyBorder="1" applyAlignment="1">
      <alignment horizontal="center" vertical="center" wrapText="1"/>
    </xf>
    <xf numFmtId="0" fontId="4" fillId="15" borderId="15" xfId="0" applyFont="1" applyFill="1" applyBorder="1" applyAlignment="1">
      <alignment horizontal="center" vertical="center" wrapText="1"/>
    </xf>
    <xf numFmtId="0" fontId="0" fillId="0" borderId="0" xfId="0" applyAlignment="1">
      <alignment horizontal="center"/>
    </xf>
    <xf numFmtId="0" fontId="0" fillId="0" borderId="16" xfId="0" applyBorder="1"/>
    <xf numFmtId="0" fontId="0" fillId="0" borderId="16" xfId="0" applyBorder="1" applyAlignment="1">
      <alignment horizontal="center" wrapText="1"/>
    </xf>
    <xf numFmtId="0" fontId="0" fillId="0" borderId="14" xfId="0" applyBorder="1"/>
    <xf numFmtId="165" fontId="0" fillId="0" borderId="16" xfId="0" applyNumberFormat="1" applyBorder="1" applyAlignment="1">
      <alignment horizontal="center" wrapText="1"/>
    </xf>
    <xf numFmtId="0" fontId="0" fillId="0" borderId="16" xfId="0" applyBorder="1" applyAlignment="1">
      <alignment horizontal="center"/>
    </xf>
    <xf numFmtId="0" fontId="0" fillId="0" borderId="14" xfId="0" applyBorder="1" applyAlignment="1">
      <alignment horizontal="center"/>
    </xf>
    <xf numFmtId="0" fontId="0" fillId="0" borderId="16" xfId="0" applyBorder="1" applyAlignment="1">
      <alignment horizontal="left" vertical="center" wrapText="1"/>
    </xf>
    <xf numFmtId="49" fontId="0" fillId="0" borderId="0" xfId="0" applyNumberFormat="1"/>
    <xf numFmtId="0" fontId="15" fillId="0" borderId="0" xfId="0" applyFont="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0" xfId="0" applyFont="1" applyAlignment="1">
      <alignment vertical="center"/>
    </xf>
    <xf numFmtId="0" fontId="14" fillId="0" borderId="0" xfId="0" applyFont="1" applyAlignment="1">
      <alignment vertical="center" wrapText="1"/>
    </xf>
    <xf numFmtId="0" fontId="2" fillId="6" borderId="2" xfId="0" applyFont="1" applyFill="1" applyBorder="1" applyAlignment="1" applyProtection="1">
      <alignment horizontal="left" vertical="center" wrapText="1"/>
      <protection locked="0"/>
    </xf>
    <xf numFmtId="4" fontId="2" fillId="0" borderId="2" xfId="0" applyNumberFormat="1" applyFont="1" applyBorder="1" applyAlignment="1" applyProtection="1">
      <alignment horizontal="center" vertical="center" wrapText="1"/>
      <protection locked="0"/>
    </xf>
    <xf numFmtId="0" fontId="2" fillId="18" borderId="2" xfId="0" applyFont="1" applyFill="1" applyBorder="1" applyAlignment="1">
      <alignment horizontal="center" vertical="center" wrapText="1"/>
    </xf>
    <xf numFmtId="0" fontId="2" fillId="0" borderId="2" xfId="0" applyFont="1" applyBorder="1" applyAlignment="1" applyProtection="1">
      <alignment horizontal="center" vertical="center"/>
      <protection hidden="1"/>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0" fontId="2" fillId="8" borderId="2" xfId="0" applyFont="1" applyFill="1" applyBorder="1" applyAlignment="1" applyProtection="1">
      <alignment horizontal="center" vertical="center" wrapText="1"/>
      <protection hidden="1"/>
    </xf>
    <xf numFmtId="3" fontId="2" fillId="6" borderId="2" xfId="0" applyNumberFormat="1" applyFont="1" applyFill="1" applyBorder="1" applyAlignment="1" applyProtection="1">
      <alignment horizontal="center" vertical="center" wrapText="1"/>
      <protection hidden="1"/>
    </xf>
    <xf numFmtId="3" fontId="6" fillId="4" borderId="2" xfId="0" applyNumberFormat="1" applyFont="1" applyFill="1" applyBorder="1" applyAlignment="1" applyProtection="1">
      <alignment horizontal="center" vertical="center"/>
      <protection hidden="1"/>
    </xf>
    <xf numFmtId="43" fontId="6" fillId="4" borderId="2" xfId="0" applyNumberFormat="1" applyFont="1" applyFill="1" applyBorder="1" applyAlignment="1" applyProtection="1">
      <alignment horizontal="center" vertical="center"/>
      <protection hidden="1"/>
    </xf>
    <xf numFmtId="0" fontId="2" fillId="19" borderId="2" xfId="0" applyFont="1" applyFill="1" applyBorder="1" applyAlignment="1" applyProtection="1">
      <alignment horizontal="center" vertical="center" wrapText="1"/>
      <protection hidden="1"/>
    </xf>
    <xf numFmtId="0" fontId="6" fillId="20" borderId="2" xfId="0" applyFont="1" applyFill="1" applyBorder="1" applyAlignment="1">
      <alignment horizontal="center" vertical="center" wrapText="1"/>
    </xf>
    <xf numFmtId="0" fontId="15" fillId="22" borderId="2" xfId="0" applyFont="1" applyFill="1" applyBorder="1" applyAlignment="1">
      <alignment vertical="center"/>
    </xf>
    <xf numFmtId="1" fontId="15" fillId="22" borderId="2" xfId="0" applyNumberFormat="1" applyFont="1" applyFill="1" applyBorder="1" applyAlignment="1">
      <alignment horizontal="left" vertical="center"/>
    </xf>
    <xf numFmtId="0" fontId="6" fillId="23" borderId="2" xfId="0" applyFont="1" applyFill="1" applyBorder="1" applyAlignment="1">
      <alignment horizontal="center" vertical="center" wrapText="1"/>
    </xf>
    <xf numFmtId="0" fontId="2" fillId="22" borderId="2" xfId="0" applyFont="1" applyFill="1" applyBorder="1" applyAlignment="1">
      <alignment horizontal="center" vertical="center" wrapText="1"/>
    </xf>
    <xf numFmtId="0" fontId="20" fillId="14" borderId="2" xfId="0" applyFont="1" applyFill="1" applyBorder="1" applyAlignment="1" applyProtection="1">
      <alignment horizontal="center" vertical="center" wrapText="1"/>
      <protection locked="0"/>
    </xf>
    <xf numFmtId="0" fontId="15" fillId="14" borderId="2" xfId="0" applyFont="1" applyFill="1" applyBorder="1" applyAlignment="1" applyProtection="1">
      <alignment horizontal="center" vertical="center" wrapText="1"/>
      <protection locked="0"/>
    </xf>
    <xf numFmtId="0" fontId="27" fillId="0" borderId="0" xfId="0" applyFont="1" applyAlignment="1">
      <alignment horizontal="center" vertical="center"/>
    </xf>
    <xf numFmtId="0" fontId="6" fillId="24" borderId="2" xfId="0"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xf>
    <xf numFmtId="164" fontId="15" fillId="22" borderId="2" xfId="0" applyNumberFormat="1" applyFont="1" applyFill="1" applyBorder="1" applyAlignment="1">
      <alignment horizontal="center" vertical="center" wrapText="1"/>
    </xf>
    <xf numFmtId="164" fontId="2" fillId="22" borderId="2" xfId="0" applyNumberFormat="1" applyFont="1" applyFill="1" applyBorder="1" applyAlignment="1">
      <alignment horizontal="center" vertical="center" wrapText="1"/>
    </xf>
    <xf numFmtId="0" fontId="2" fillId="22" borderId="2" xfId="0" applyFont="1" applyFill="1" applyBorder="1" applyAlignment="1">
      <alignment horizontal="right" vertical="center" wrapText="1"/>
    </xf>
    <xf numFmtId="0" fontId="15" fillId="22" borderId="2" xfId="0" applyFont="1" applyFill="1" applyBorder="1" applyAlignment="1">
      <alignment horizontal="right" vertical="center" wrapText="1"/>
    </xf>
    <xf numFmtId="164" fontId="15" fillId="22" borderId="2" xfId="0" applyNumberFormat="1" applyFont="1" applyFill="1" applyBorder="1" applyAlignment="1">
      <alignment horizontal="right" vertical="center" wrapText="1"/>
    </xf>
    <xf numFmtId="0" fontId="0" fillId="0" borderId="0" xfId="0" applyAlignment="1" applyProtection="1">
      <alignment horizontal="center" vertical="center" wrapText="1"/>
      <protection locked="0"/>
    </xf>
    <xf numFmtId="3" fontId="0" fillId="0" borderId="0" xfId="0" applyNumberFormat="1"/>
    <xf numFmtId="0" fontId="15" fillId="6" borderId="2" xfId="0" applyFont="1" applyFill="1" applyBorder="1" applyAlignment="1" applyProtection="1">
      <alignment horizontal="right" vertical="center" wrapText="1"/>
      <protection locked="0"/>
    </xf>
    <xf numFmtId="0" fontId="6" fillId="0" borderId="24" xfId="2" applyFont="1" applyBorder="1" applyAlignment="1">
      <alignment horizontal="left" vertical="center" wrapText="1"/>
    </xf>
    <xf numFmtId="0" fontId="15" fillId="0" borderId="20" xfId="0" applyFont="1" applyBorder="1"/>
    <xf numFmtId="0" fontId="2" fillId="6" borderId="0" xfId="0" applyFont="1" applyFill="1" applyAlignment="1" applyProtection="1">
      <alignment horizontal="left" vertical="center" wrapText="1"/>
      <protection locked="0"/>
    </xf>
    <xf numFmtId="0" fontId="2" fillId="0" borderId="0" xfId="0" applyFont="1"/>
    <xf numFmtId="0" fontId="2" fillId="0" borderId="0" xfId="0" applyFont="1" applyAlignment="1">
      <alignment vertical="center" wrapText="1"/>
    </xf>
    <xf numFmtId="0" fontId="2" fillId="0" borderId="0" xfId="0" applyFont="1" applyAlignment="1">
      <alignment vertical="center"/>
    </xf>
    <xf numFmtId="166" fontId="2" fillId="0" borderId="0" xfId="0" applyNumberFormat="1" applyFont="1" applyAlignment="1">
      <alignment horizontal="left"/>
    </xf>
    <xf numFmtId="0" fontId="30" fillId="0" borderId="0" xfId="0" applyFont="1" applyAlignment="1">
      <alignment horizontal="center" vertical="center"/>
    </xf>
    <xf numFmtId="0" fontId="8" fillId="20" borderId="0" xfId="0" applyFont="1" applyFill="1" applyAlignment="1">
      <alignment horizontal="center" vertical="center"/>
    </xf>
    <xf numFmtId="0" fontId="2" fillId="14" borderId="2" xfId="0" applyFont="1" applyFill="1" applyBorder="1" applyAlignment="1" applyProtection="1">
      <alignment horizontal="center" vertical="center"/>
      <protection locked="0"/>
    </xf>
    <xf numFmtId="0" fontId="0" fillId="19" borderId="2" xfId="0" applyFill="1" applyBorder="1" applyAlignment="1" applyProtection="1">
      <alignment horizontal="center" vertical="center" wrapText="1"/>
      <protection hidden="1"/>
    </xf>
    <xf numFmtId="0" fontId="2" fillId="14" borderId="2" xfId="0" applyFont="1" applyFill="1" applyBorder="1" applyAlignment="1">
      <alignment horizontal="center" vertical="center"/>
    </xf>
    <xf numFmtId="0" fontId="8" fillId="0" borderId="20" xfId="2" applyFont="1" applyBorder="1" applyAlignment="1">
      <alignment horizontal="left" vertical="center" wrapText="1"/>
    </xf>
    <xf numFmtId="0" fontId="15" fillId="0" borderId="25" xfId="2" applyFont="1" applyBorder="1" applyAlignment="1">
      <alignment horizontal="left" vertical="center" wrapText="1"/>
    </xf>
    <xf numFmtId="0" fontId="15" fillId="0" borderId="18" xfId="2" applyFont="1" applyBorder="1" applyAlignment="1">
      <alignment horizontal="left" vertical="center" wrapText="1"/>
    </xf>
    <xf numFmtId="0" fontId="15" fillId="14" borderId="18" xfId="2" applyFont="1" applyFill="1" applyBorder="1" applyAlignment="1">
      <alignment horizontal="left" vertical="center" wrapText="1"/>
    </xf>
    <xf numFmtId="0" fontId="8" fillId="0" borderId="21" xfId="2" applyFont="1" applyBorder="1" applyAlignment="1">
      <alignment horizontal="left" vertical="center" wrapText="1"/>
    </xf>
    <xf numFmtId="0" fontId="15" fillId="0" borderId="19" xfId="2" applyFont="1" applyBorder="1" applyAlignment="1">
      <alignment horizontal="left" vertical="center" wrapText="1"/>
    </xf>
    <xf numFmtId="49" fontId="14" fillId="12" borderId="0" xfId="0" applyNumberFormat="1" applyFont="1" applyFill="1"/>
    <xf numFmtId="0" fontId="19" fillId="10" borderId="10" xfId="1" applyFont="1" applyFill="1" applyBorder="1"/>
    <xf numFmtId="0" fontId="18" fillId="0" borderId="10" xfId="0" applyFont="1" applyBorder="1"/>
    <xf numFmtId="167" fontId="0" fillId="0" borderId="10" xfId="0" applyNumberFormat="1" applyBorder="1"/>
    <xf numFmtId="168" fontId="0" fillId="0" borderId="10" xfId="0" applyNumberFormat="1" applyBorder="1"/>
    <xf numFmtId="164" fontId="13" fillId="22" borderId="2" xfId="0" applyNumberFormat="1" applyFont="1" applyFill="1" applyBorder="1" applyAlignment="1">
      <alignment horizontal="right" vertical="center" wrapText="1"/>
    </xf>
    <xf numFmtId="0" fontId="13" fillId="14" borderId="2" xfId="0" applyFont="1" applyFill="1" applyBorder="1" applyAlignment="1" applyProtection="1">
      <alignment horizontal="center" vertical="center" wrapText="1"/>
      <protection locked="0"/>
    </xf>
    <xf numFmtId="169" fontId="15" fillId="6" borderId="2" xfId="0" applyNumberFormat="1" applyFont="1" applyFill="1" applyBorder="1" applyAlignment="1" applyProtection="1">
      <alignment horizontal="right" vertical="center" wrapText="1"/>
      <protection locked="0"/>
    </xf>
    <xf numFmtId="0" fontId="0" fillId="0" borderId="0" xfId="0" applyAlignment="1">
      <alignment vertical="center"/>
    </xf>
    <xf numFmtId="0" fontId="15" fillId="6" borderId="2" xfId="0" applyFont="1" applyFill="1" applyBorder="1" applyAlignment="1" applyProtection="1">
      <alignment vertical="center" wrapText="1"/>
      <protection locked="0"/>
    </xf>
    <xf numFmtId="0" fontId="13" fillId="6" borderId="2" xfId="0" applyFont="1" applyFill="1" applyBorder="1" applyAlignment="1" applyProtection="1">
      <alignment vertical="center" wrapText="1"/>
      <protection locked="0"/>
    </xf>
    <xf numFmtId="0" fontId="8" fillId="0" borderId="20" xfId="2" applyFont="1" applyBorder="1" applyAlignment="1">
      <alignment horizontal="left" vertical="center" wrapText="1"/>
    </xf>
    <xf numFmtId="0" fontId="6" fillId="17" borderId="22" xfId="2" applyFont="1" applyFill="1" applyBorder="1" applyAlignment="1">
      <alignment vertical="center" wrapText="1"/>
    </xf>
    <xf numFmtId="0" fontId="6" fillId="17" borderId="23" xfId="2" applyFont="1" applyFill="1" applyBorder="1" applyAlignment="1">
      <alignment vertical="center" wrapText="1"/>
    </xf>
    <xf numFmtId="0" fontId="15" fillId="14" borderId="0" xfId="2" applyFont="1" applyFill="1" applyAlignment="1">
      <alignment horizontal="center" vertical="top" wrapText="1"/>
    </xf>
    <xf numFmtId="0" fontId="15" fillId="0" borderId="24" xfId="2" applyFont="1" applyBorder="1" applyAlignment="1">
      <alignment horizontal="left" vertical="center" wrapText="1"/>
    </xf>
    <xf numFmtId="0" fontId="15" fillId="0" borderId="25" xfId="2" applyFont="1" applyBorder="1" applyAlignment="1">
      <alignment horizontal="left" vertical="center" wrapText="1"/>
    </xf>
    <xf numFmtId="0" fontId="15" fillId="0" borderId="20" xfId="2" applyFont="1" applyBorder="1" applyAlignment="1">
      <alignment horizontal="left" vertical="center" wrapText="1"/>
    </xf>
    <xf numFmtId="0" fontId="15" fillId="0" borderId="18" xfId="2" applyFont="1" applyBorder="1" applyAlignment="1">
      <alignment horizontal="left" vertical="center" wrapText="1"/>
    </xf>
    <xf numFmtId="0" fontId="15" fillId="14" borderId="21" xfId="2" applyFont="1" applyFill="1" applyBorder="1" applyAlignment="1">
      <alignment horizontal="left" vertical="center" wrapText="1"/>
    </xf>
    <xf numFmtId="0" fontId="15" fillId="14" borderId="19" xfId="2" applyFont="1" applyFill="1" applyBorder="1" applyAlignment="1">
      <alignment horizontal="left" vertical="center" wrapText="1"/>
    </xf>
    <xf numFmtId="0" fontId="8" fillId="0" borderId="0" xfId="2" applyFont="1" applyAlignment="1">
      <alignment horizontal="center" vertical="center" wrapText="1"/>
    </xf>
    <xf numFmtId="0" fontId="15" fillId="0" borderId="0" xfId="2" applyFont="1" applyAlignment="1">
      <alignment horizontal="center"/>
    </xf>
    <xf numFmtId="0" fontId="29" fillId="0" borderId="20" xfId="3" applyFont="1" applyBorder="1" applyAlignment="1">
      <alignment horizontal="left" vertical="center" wrapText="1"/>
    </xf>
    <xf numFmtId="0" fontId="29" fillId="0" borderId="18" xfId="3" applyFont="1" applyBorder="1" applyAlignment="1">
      <alignment horizontal="left" vertical="center" wrapText="1"/>
    </xf>
    <xf numFmtId="0" fontId="25" fillId="16" borderId="0" xfId="0" applyFont="1" applyFill="1" applyAlignment="1">
      <alignment horizontal="center" wrapText="1"/>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0" fontId="15" fillId="0" borderId="21" xfId="2" applyFont="1" applyBorder="1" applyAlignment="1">
      <alignment horizontal="left" vertical="center" wrapText="1"/>
    </xf>
    <xf numFmtId="0" fontId="15" fillId="0" borderId="19" xfId="2" applyFont="1" applyBorder="1" applyAlignment="1">
      <alignment horizontal="left" vertical="center" wrapText="1"/>
    </xf>
    <xf numFmtId="0" fontId="15" fillId="0" borderId="0" xfId="2" applyFont="1" applyAlignment="1">
      <alignment horizontal="left" vertical="top" wrapText="1"/>
    </xf>
    <xf numFmtId="0" fontId="8" fillId="0" borderId="26" xfId="2" applyFont="1" applyBorder="1" applyAlignment="1">
      <alignment horizontal="left" vertical="center" wrapText="1"/>
    </xf>
    <xf numFmtId="0" fontId="8" fillId="0" borderId="27" xfId="2" applyFont="1" applyBorder="1" applyAlignment="1">
      <alignment horizontal="left" vertical="center" wrapText="1"/>
    </xf>
    <xf numFmtId="0" fontId="15" fillId="14" borderId="26" xfId="2" applyFont="1" applyFill="1" applyBorder="1" applyAlignment="1">
      <alignment vertical="center" wrapText="1"/>
    </xf>
    <xf numFmtId="0" fontId="15" fillId="14" borderId="27" xfId="2" applyFont="1" applyFill="1" applyBorder="1" applyAlignment="1">
      <alignment vertical="center" wrapText="1"/>
    </xf>
    <xf numFmtId="0" fontId="15" fillId="14" borderId="24" xfId="2" applyFont="1" applyFill="1" applyBorder="1" applyAlignment="1">
      <alignment horizontal="left" vertical="center" wrapText="1"/>
    </xf>
    <xf numFmtId="0" fontId="15" fillId="14" borderId="25" xfId="2" applyFont="1" applyFill="1" applyBorder="1" applyAlignment="1">
      <alignment horizontal="left" vertical="center" wrapText="1"/>
    </xf>
    <xf numFmtId="0" fontId="6" fillId="14" borderId="2" xfId="0" applyFont="1" applyFill="1" applyBorder="1" applyAlignment="1">
      <alignment vertical="center" wrapText="1"/>
    </xf>
    <xf numFmtId="0" fontId="2" fillId="6" borderId="2" xfId="0" applyFont="1" applyFill="1" applyBorder="1" applyAlignment="1" applyProtection="1">
      <alignment horizontal="left" vertical="center" wrapText="1"/>
      <protection locked="0"/>
    </xf>
    <xf numFmtId="0" fontId="5" fillId="21" borderId="11" xfId="0" applyFont="1" applyFill="1" applyBorder="1" applyAlignment="1">
      <alignment horizontal="center" vertical="center"/>
    </xf>
    <xf numFmtId="0" fontId="5" fillId="21" borderId="12" xfId="0" applyFont="1" applyFill="1" applyBorder="1" applyAlignment="1">
      <alignment horizontal="center" vertical="center"/>
    </xf>
    <xf numFmtId="0" fontId="30" fillId="0" borderId="0" xfId="0" applyFont="1" applyAlignment="1">
      <alignment horizontal="center"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5" fillId="21" borderId="13" xfId="0" applyFont="1" applyFill="1" applyBorder="1" applyAlignment="1">
      <alignment horizontal="center" vertical="center"/>
    </xf>
    <xf numFmtId="0" fontId="15" fillId="22" borderId="11" xfId="0" applyFont="1" applyFill="1" applyBorder="1" applyAlignment="1" applyProtection="1">
      <alignment horizontal="left" vertical="center" wrapText="1"/>
      <protection hidden="1"/>
    </xf>
    <xf numFmtId="0" fontId="15" fillId="22" borderId="13" xfId="0" applyFont="1" applyFill="1" applyBorder="1" applyAlignment="1" applyProtection="1">
      <alignment horizontal="left" vertical="center" wrapText="1"/>
      <protection hidden="1"/>
    </xf>
    <xf numFmtId="0" fontId="15" fillId="22" borderId="11" xfId="0" applyFont="1" applyFill="1" applyBorder="1" applyAlignment="1">
      <alignment vertical="center"/>
    </xf>
    <xf numFmtId="0" fontId="15" fillId="22" borderId="13" xfId="0" applyFont="1" applyFill="1" applyBorder="1" applyAlignment="1">
      <alignment vertical="center"/>
    </xf>
    <xf numFmtId="0" fontId="5" fillId="21" borderId="7" xfId="0" applyFont="1" applyFill="1" applyBorder="1" applyAlignment="1">
      <alignment horizontal="center" vertical="center"/>
    </xf>
    <xf numFmtId="0" fontId="5" fillId="21" borderId="0" xfId="0" applyFont="1" applyFill="1" applyAlignment="1">
      <alignment horizontal="center" vertical="center"/>
    </xf>
    <xf numFmtId="0" fontId="7" fillId="3" borderId="2" xfId="0" applyFont="1" applyFill="1" applyBorder="1" applyAlignment="1">
      <alignment horizontal="center" vertical="center"/>
    </xf>
    <xf numFmtId="0" fontId="8" fillId="4" borderId="2"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6" fillId="14"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Alignment="1">
      <alignment horizontal="center" vertical="center" wrapText="1"/>
    </xf>
  </cellXfs>
  <cellStyles count="4">
    <cellStyle name="Hyperlink" xfId="3" builtinId="8"/>
    <cellStyle name="Normal" xfId="0" builtinId="0"/>
    <cellStyle name="Normal 10" xfId="1" xr:uid="{00000000-0005-0000-0000-000000000000}"/>
    <cellStyle name="Normal 3 2 2" xfId="2" xr:uid="{00000000-0005-0000-0000-000001000000}"/>
  </cellStyles>
  <dxfs count="108">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strike val="0"/>
        <outline val="0"/>
        <shadow val="0"/>
        <u val="none"/>
        <vertAlign val="baseline"/>
        <sz val="11"/>
        <color theme="1"/>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fill>
        <patternFill patternType="solid">
          <fgColor indexed="64"/>
          <bgColor theme="2" tint="-9.9978637043366805E-2"/>
        </patternFill>
      </fill>
    </dxf>
    <dxf>
      <numFmt numFmtId="0" formatCode="General"/>
      <fill>
        <patternFill patternType="solid">
          <fgColor indexed="64"/>
          <bgColor theme="2" tint="-9.9978637043366805E-2"/>
        </patternFill>
      </fill>
    </dxf>
    <dxf>
      <border outline="0">
        <top style="hair">
          <color auto="1"/>
        </top>
      </border>
    </dxf>
    <dxf>
      <fill>
        <patternFill patternType="solid">
          <fgColor indexed="64"/>
          <bgColor theme="2" tint="-9.9978637043366805E-2"/>
        </patternFill>
      </fill>
    </dxf>
    <dxf>
      <border outline="0">
        <bottom style="hair">
          <color indexed="64"/>
        </bottom>
      </border>
    </dxf>
    <dxf>
      <font>
        <b/>
        <i val="0"/>
        <strike val="0"/>
        <condense val="0"/>
        <extend val="0"/>
        <outline val="0"/>
        <shadow val="0"/>
        <u val="none"/>
        <vertAlign val="baseline"/>
        <sz val="10"/>
        <color auto="1"/>
        <name val="Arial"/>
        <scheme val="none"/>
      </font>
      <numFmt numFmtId="0" formatCode="General"/>
      <fill>
        <patternFill patternType="solid">
          <fgColor theme="4"/>
          <bgColor theme="4"/>
        </patternFill>
      </fill>
      <alignment horizontal="general" vertical="bottom" textRotation="0" wrapText="0" indent="0" justifyLastLine="0" shrinkToFit="0" readingOrder="0"/>
    </dxf>
    <dxf>
      <fill>
        <patternFill>
          <bgColor rgb="FFFF0000"/>
        </patternFill>
      </fill>
    </dxf>
    <dxf>
      <fill>
        <patternFill>
          <bgColor rgb="FFFFC000"/>
        </patternFill>
      </fill>
    </dxf>
  </dxfs>
  <tableStyles count="0" defaultTableStyle="TableStyleMedium2" defaultPivotStyle="PivotStyleLight16"/>
  <colors>
    <mruColors>
      <color rgb="FFA6A6A6"/>
      <color rgb="FFC1A704"/>
      <color rgb="FF8294FB"/>
      <color rgb="FF04198F"/>
      <color rgb="FF44CC36"/>
      <color rgb="FF707CF0"/>
      <color rgb="FF003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10885</xdr:colOff>
      <xdr:row>0</xdr:row>
      <xdr:rowOff>148655</xdr:rowOff>
    </xdr:from>
    <xdr:to>
      <xdr:col>0</xdr:col>
      <xdr:colOff>1729168</xdr:colOff>
      <xdr:row>1</xdr:row>
      <xdr:rowOff>118040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885" y="148655"/>
          <a:ext cx="1718283" cy="731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107154</xdr:colOff>
      <xdr:row>0</xdr:row>
      <xdr:rowOff>71436</xdr:rowOff>
    </xdr:from>
    <xdr:to>
      <xdr:col>0</xdr:col>
      <xdr:colOff>1825437</xdr:colOff>
      <xdr:row>1</xdr:row>
      <xdr:rowOff>38779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07154" y="71436"/>
          <a:ext cx="1718283" cy="729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166688</xdr:colOff>
      <xdr:row>0</xdr:row>
      <xdr:rowOff>95250</xdr:rowOff>
    </xdr:from>
    <xdr:to>
      <xdr:col>0</xdr:col>
      <xdr:colOff>1884971</xdr:colOff>
      <xdr:row>1</xdr:row>
      <xdr:rowOff>62593</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66688" y="95250"/>
          <a:ext cx="1718283" cy="729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393700</xdr:colOff>
          <xdr:row>2</xdr:row>
          <xdr:rowOff>165100</xdr:rowOff>
        </xdr:to>
        <xdr:sp macro="" textlink="">
          <xdr:nvSpPr>
            <xdr:cNvPr id="14337" name="Apttus_App"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571500</xdr:colOff>
          <xdr:row>2</xdr:row>
          <xdr:rowOff>165100</xdr:rowOff>
        </xdr:to>
        <xdr:sp macro="" textlink="">
          <xdr:nvSpPr>
            <xdr:cNvPr id="14338" name="Apttus_AppData"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393700</xdr:colOff>
          <xdr:row>2</xdr:row>
          <xdr:rowOff>165100</xdr:rowOff>
        </xdr:to>
        <xdr:sp macro="" textlink="">
          <xdr:nvSpPr>
            <xdr:cNvPr id="14339" name="Apttus_AppDataTracker"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10:D64" totalsRowShown="0" headerRowDxfId="105" dataDxfId="103" headerRowBorderDxfId="104" tableBorderDxfId="102" headerRowCellStyle="Normal 10">
  <tableColumns count="2">
    <tableColumn id="1" xr3:uid="{00000000-0010-0000-0000-000001000000}" name=" Module Name" dataDxfId="101">
      <calculatedColumnFormula>IF(PAAR!$B$10 = 'Dropdown Data'!$F$7,$E11,IF(PAAR!$B$10 = 'Dropdown Data'!$F$10,$F11,IF(PAAR!$B$10 = 'Dropdown Data'!$F$13,$G11,"")))</calculatedColumnFormula>
    </tableColumn>
    <tableColumn id="2" xr3:uid="{00000000-0010-0000-0000-000002000000}" name="Module-Coverage-Intervention Reference (Name)" dataDxfId="10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ranslation" displayName="Translation" ref="A1:CO5" totalsRowShown="0" headerRowDxfId="99" dataDxfId="98">
  <autoFilter ref="A1:CO5" xr:uid="{00000000-0009-0000-0100-000001000000}"/>
  <tableColumns count="93">
    <tableColumn id="1" xr3:uid="{00000000-0010-0000-0100-000001000000}" name="Language" dataDxfId="97"/>
    <tableColumn id="2" xr3:uid="{00000000-0010-0000-0100-000002000000}" name="Language2" dataDxfId="96"/>
    <tableColumn id="3" xr3:uid="{00000000-0010-0000-0100-000003000000}" name="Document Title" dataDxfId="95"/>
    <tableColumn id="12" xr3:uid="{00000000-0010-0000-0100-00000C000000}" name="Version" dataDxfId="94"/>
    <tableColumn id="4" xr3:uid="{00000000-0010-0000-0100-000004000000}" name="Header 1" dataDxfId="93"/>
    <tableColumn id="7" xr3:uid="{00000000-0010-0000-0100-000007000000}" name="Summary Info 1" dataDxfId="92"/>
    <tableColumn id="8" xr3:uid="{00000000-0010-0000-0100-000008000000}" name="Summary Info 2" dataDxfId="91"/>
    <tableColumn id="9" xr3:uid="{00000000-0010-0000-0100-000009000000}" name="Summary Info 3" dataDxfId="90"/>
    <tableColumn id="10" xr3:uid="{00000000-0010-0000-0100-00000A000000}" name="Summary Info 4" dataDxfId="89"/>
    <tableColumn id="11" xr3:uid="{00000000-0010-0000-0100-00000B000000}" name="Summary Info 5" dataDxfId="88"/>
    <tableColumn id="5" xr3:uid="{00000000-0010-0000-0100-000005000000}" name="Header 2" dataDxfId="87"/>
    <tableColumn id="14" xr3:uid="{00000000-0010-0000-0100-00000E000000}" name="Header 2 Instructions" dataDxfId="86"/>
    <tableColumn id="6" xr3:uid="{00000000-0010-0000-0100-000006000000}" name="Header 3" dataDxfId="85"/>
    <tableColumn id="22" xr3:uid="{00000000-0010-0000-0100-000016000000}" name="Header 3 Instructions" dataDxfId="84"/>
    <tableColumn id="23" xr3:uid="{00000000-0010-0000-0100-000017000000}" name="PAAR 1" dataDxfId="83"/>
    <tableColumn id="24" xr3:uid="{00000000-0010-0000-0100-000018000000}" name="PAAR 2" dataDxfId="82"/>
    <tableColumn id="25" xr3:uid="{00000000-0010-0000-0100-000019000000}" name="PAAR 3" dataDxfId="81"/>
    <tableColumn id="26" xr3:uid="{00000000-0010-0000-0100-00001A000000}" name="PAAR 4" dataDxfId="80"/>
    <tableColumn id="20" xr3:uid="{00000000-0010-0000-0100-000014000000}" name="PAAR 5" dataDxfId="79"/>
    <tableColumn id="27" xr3:uid="{00000000-0010-0000-0100-00001B000000}" name="PAAR 6" dataDxfId="78"/>
    <tableColumn id="28" xr3:uid="{00000000-0010-0000-0100-00001C000000}" name="PAAR 7" dataDxfId="77"/>
    <tableColumn id="21" xr3:uid="{00000000-0010-0000-0100-000015000000}" name="PAAR 8" dataDxfId="76"/>
    <tableColumn id="29" xr3:uid="{00000000-0010-0000-0100-00001D000000}" name="PAAR 9" dataDxfId="75"/>
    <tableColumn id="30" xr3:uid="{00000000-0010-0000-0100-00001E000000}" name="PAAR 10" dataDxfId="74"/>
    <tableColumn id="33" xr3:uid="{00000000-0010-0000-0100-000021000000}" name="PAAR 11" dataDxfId="73"/>
    <tableColumn id="13" xr3:uid="{00000000-0010-0000-0100-00000D000000}" name="Header 4" dataDxfId="72"/>
    <tableColumn id="17" xr3:uid="{00000000-0010-0000-0100-000011000000}" name="Header 4 Instructions" dataDxfId="71"/>
    <tableColumn id="15" xr3:uid="{00000000-0010-0000-0100-00000F000000}" name="Additional Info 1" dataDxfId="70"/>
    <tableColumn id="16" xr3:uid="{00000000-0010-0000-0100-000010000000}" name="Additional Info 2" dataDxfId="69"/>
    <tableColumn id="18" xr3:uid="{00000000-0010-0000-0100-000012000000}" name="Additional Info 3" dataDxfId="68"/>
    <tableColumn id="19" xr3:uid="{00000000-0010-0000-0100-000013000000}" name="Additional Info 4" dataDxfId="67"/>
    <tableColumn id="31" xr3:uid="{00000000-0010-0000-0100-00001F000000}" name="Column1" dataDxfId="66"/>
    <tableColumn id="32" xr3:uid="{00000000-0010-0000-0100-000020000000}" name="Instructions" dataDxfId="65"/>
    <tableColumn id="34" xr3:uid="{00000000-0010-0000-0100-000022000000}" name="PAAR 12" dataDxfId="64"/>
    <tableColumn id="35" xr3:uid="{00000000-0010-0000-0100-000023000000}" name="PAAR 13" dataDxfId="63"/>
    <tableColumn id="36" xr3:uid="{00000000-0010-0000-0100-000024000000}" name="PAAR 14" dataDxfId="62"/>
    <tableColumn id="37" xr3:uid="{00000000-0010-0000-0100-000025000000}" name="PAAR 15" dataDxfId="61"/>
    <tableColumn id="38" xr3:uid="{00000000-0010-0000-0100-000026000000}" name="Instructions Tab 1" dataDxfId="60"/>
    <tableColumn id="39" xr3:uid="{00000000-0010-0000-0100-000027000000}" name="Instructions Tab 2" dataDxfId="59"/>
    <tableColumn id="40" xr3:uid="{00000000-0010-0000-0100-000028000000}" name="Instructions Tab 3" dataDxfId="58"/>
    <tableColumn id="41" xr3:uid="{00000000-0010-0000-0100-000029000000}" name="Instructions Tab 4" dataDxfId="57"/>
    <tableColumn id="42" xr3:uid="{00000000-0010-0000-0100-00002A000000}" name="Instructions Tab 5" dataDxfId="56"/>
    <tableColumn id="43" xr3:uid="{00000000-0010-0000-0100-00002B000000}" name="Instructions Tab 6" dataDxfId="55"/>
    <tableColumn id="44" xr3:uid="{00000000-0010-0000-0100-00002C000000}" name="Instructions Tab 7" dataDxfId="54"/>
    <tableColumn id="45" xr3:uid="{00000000-0010-0000-0100-00002D000000}" name="Instructions Tab 8" dataDxfId="53"/>
    <tableColumn id="46" xr3:uid="{00000000-0010-0000-0100-00002E000000}" name="Instructions Tab 9" dataDxfId="52"/>
    <tableColumn id="47" xr3:uid="{00000000-0010-0000-0100-00002F000000}" name="Instructions Tab 10" dataDxfId="51"/>
    <tableColumn id="48" xr3:uid="{00000000-0010-0000-0100-000030000000}" name="Instructions Tab 11" dataDxfId="50"/>
    <tableColumn id="49" xr3:uid="{00000000-0010-0000-0100-000031000000}" name="Instructions Tab 12" dataDxfId="49"/>
    <tableColumn id="50" xr3:uid="{00000000-0010-0000-0100-000032000000}" name="Instructions Tab 13" dataDxfId="48"/>
    <tableColumn id="51" xr3:uid="{00000000-0010-0000-0100-000033000000}" name="Instructions Tab 14" dataDxfId="47"/>
    <tableColumn id="52" xr3:uid="{00000000-0010-0000-0100-000034000000}" name="Instructions Tab 15" dataDxfId="46"/>
    <tableColumn id="53" xr3:uid="{00000000-0010-0000-0100-000035000000}" name="Instructions Tab 16" dataDxfId="45"/>
    <tableColumn id="54" xr3:uid="{00000000-0010-0000-0100-000036000000}" name="Instructions Tab 17" dataDxfId="44"/>
    <tableColumn id="55" xr3:uid="{00000000-0010-0000-0100-000037000000}" name="Instructions Tab 18" dataDxfId="43"/>
    <tableColumn id="56" xr3:uid="{00000000-0010-0000-0100-000038000000}" name="Instructions Tab 19" dataDxfId="42"/>
    <tableColumn id="57" xr3:uid="{00000000-0010-0000-0100-000039000000}" name="Instructions Tab 20" dataDxfId="41"/>
    <tableColumn id="58" xr3:uid="{00000000-0010-0000-0100-00003A000000}" name="Instructions Tab 21" dataDxfId="40"/>
    <tableColumn id="59" xr3:uid="{00000000-0010-0000-0100-00003B000000}" name="Instructions Tab 22" dataDxfId="39"/>
    <tableColumn id="60" xr3:uid="{00000000-0010-0000-0100-00003C000000}" name="Instructions Tab 23" dataDxfId="38"/>
    <tableColumn id="61" xr3:uid="{00000000-0010-0000-0100-00003D000000}" name="Instructions Tab 24" dataDxfId="37"/>
    <tableColumn id="62" xr3:uid="{00000000-0010-0000-0100-00003E000000}" name="Instructions Tab 25" dataDxfId="36"/>
    <tableColumn id="63" xr3:uid="{00000000-0010-0000-0100-00003F000000}" name="Instructions Tab 26" dataDxfId="35"/>
    <tableColumn id="64" xr3:uid="{00000000-0010-0000-0100-000040000000}" name="Instructions Tab 27" dataDxfId="34"/>
    <tableColumn id="65" xr3:uid="{00000000-0010-0000-0100-000041000000}" name="Instructions Tab 28" dataDxfId="33"/>
    <tableColumn id="66" xr3:uid="{00000000-0010-0000-0100-000042000000}" name="Instructions Tab 29" dataDxfId="32"/>
    <tableColumn id="67" xr3:uid="{00000000-0010-0000-0100-000043000000}" name="Instructions Tab 30" dataDxfId="31"/>
    <tableColumn id="68" xr3:uid="{00000000-0010-0000-0100-000044000000}" name="Instructions Tab 31" dataDxfId="30"/>
    <tableColumn id="69" xr3:uid="{00000000-0010-0000-0100-000045000000}" name="Instructions Tab 32" dataDxfId="29"/>
    <tableColumn id="70" xr3:uid="{00000000-0010-0000-0100-000046000000}" name="Instructions Tab 33" dataDxfId="28"/>
    <tableColumn id="71" xr3:uid="{00000000-0010-0000-0100-000047000000}" name="Instructions Tab 34" dataDxfId="27"/>
    <tableColumn id="72" xr3:uid="{00000000-0010-0000-0100-000048000000}" name="Instructions Tab 35" dataDxfId="26"/>
    <tableColumn id="73" xr3:uid="{00000000-0010-0000-0100-000049000000}" name="Instructions Tab 36" dataDxfId="25"/>
    <tableColumn id="74" xr3:uid="{00000000-0010-0000-0100-00004A000000}" name="Instructions Tab 37" dataDxfId="24"/>
    <tableColumn id="75" xr3:uid="{00000000-0010-0000-0100-00004B000000}" name="Instructions Tab 38" dataDxfId="23"/>
    <tableColumn id="76" xr3:uid="{00000000-0010-0000-0100-00004C000000}" name="Instructions Tab 39" dataDxfId="22"/>
    <tableColumn id="77" xr3:uid="{00000000-0010-0000-0100-00004D000000}" name="Instructions Tab 40" dataDxfId="21"/>
    <tableColumn id="78" xr3:uid="{00000000-0010-0000-0100-00004E000000}" name="Instructions Tab 41" dataDxfId="20"/>
    <tableColumn id="79" xr3:uid="{00000000-0010-0000-0100-00004F000000}" name="Instructions Tab 42" dataDxfId="19"/>
    <tableColumn id="80" xr3:uid="{00000000-0010-0000-0100-000050000000}" name="Instructions Tab 43" dataDxfId="18"/>
    <tableColumn id="81" xr3:uid="{00000000-0010-0000-0100-000051000000}" name="Instructions Tab 44" dataDxfId="17"/>
    <tableColumn id="82" xr3:uid="{00000000-0010-0000-0100-000052000000}" name="Instructions Tab 45" dataDxfId="16"/>
    <tableColumn id="83" xr3:uid="{00000000-0010-0000-0100-000053000000}" name="Instructions Tab 46" dataDxfId="15"/>
    <tableColumn id="84" xr3:uid="{00000000-0010-0000-0100-000054000000}" name="Instructions Tab 47" dataDxfId="14"/>
    <tableColumn id="85" xr3:uid="{00000000-0010-0000-0100-000055000000}" name="Instructions Tab 48" dataDxfId="13"/>
    <tableColumn id="86" xr3:uid="{00000000-0010-0000-0100-000056000000}" name="Instructions Tab 49" dataDxfId="12"/>
    <tableColumn id="87" xr3:uid="{00000000-0010-0000-0100-000057000000}" name="Instructions Tab 50" dataDxfId="11"/>
    <tableColumn id="88" xr3:uid="{00000000-0010-0000-0100-000058000000}" name="Instructions Tab 51" dataDxfId="10"/>
    <tableColumn id="89" xr3:uid="{00000000-0010-0000-0100-000059000000}" name="Instructions Tab 52" dataDxfId="9"/>
    <tableColumn id="90" xr3:uid="{00000000-0010-0000-0100-00005A000000}" name="Instructions Tab 53" dataDxfId="8"/>
    <tableColumn id="91" xr3:uid="{00000000-0010-0000-0100-00005B000000}" name="Instructions Tab 54" dataDxfId="7"/>
    <tableColumn id="92" xr3:uid="{00000000-0010-0000-0100-00005C000000}" name="Instructions Tab 55" dataDxfId="6"/>
    <tableColumn id="93" xr3:uid="{00000000-0010-0000-0100-00005D000000}" name="Instructions Tab 56" dataDxfId="5"/>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For_EN" displayName="For_EN" ref="B26:D254" totalsRowShown="0" headerRowDxfId="4" dataDxfId="3">
  <autoFilter ref="B26:D254" xr:uid="{00000000-0009-0000-0100-000002000000}"/>
  <tableColumns count="3">
    <tableColumn id="1" xr3:uid="{00000000-0010-0000-0200-000001000000}" name="Français" dataDxfId="2"/>
    <tableColumn id="2" xr3:uid="{00000000-0010-0000-0200-000002000000}" name="Español" dataDxfId="1"/>
    <tableColumn id="3" xr3:uid="{00000000-0010-0000-0200-000003000000}" name="English"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heglobalfund.org/media/8973/fundingmodel_modularframework_handbook_es.pdf" TargetMode="External"/><Relationship Id="rId2" Type="http://schemas.openxmlformats.org/officeDocument/2006/relationships/hyperlink" Target="https://www.theglobalfund.org/media/8967/fundingmodel_modularframework_handbook_fr.pdf" TargetMode="External"/><Relationship Id="rId1" Type="http://schemas.openxmlformats.org/officeDocument/2006/relationships/hyperlink" Target="https://www.theglobalfund.org/media/4309/fundingmodel_modularframework_handbook_e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B53"/>
  <sheetViews>
    <sheetView showGridLines="0" zoomScale="60" zoomScaleNormal="60" workbookViewId="0">
      <selection activeCell="E8" sqref="E8"/>
    </sheetView>
  </sheetViews>
  <sheetFormatPr baseColWidth="10" defaultColWidth="7.5" defaultRowHeight="15" x14ac:dyDescent="0.2"/>
  <cols>
    <col min="1" max="1" width="43.5" customWidth="1"/>
    <col min="2" max="2" width="172.83203125" customWidth="1"/>
  </cols>
  <sheetData>
    <row r="1" spans="1:2" ht="60" customHeight="1" x14ac:dyDescent="0.2">
      <c r="A1" s="47"/>
    </row>
    <row r="2" spans="1:2" ht="15.5" customHeight="1" x14ac:dyDescent="0.2">
      <c r="A2" s="65"/>
    </row>
    <row r="3" spans="1:2" ht="15.5" customHeight="1" x14ac:dyDescent="0.2">
      <c r="A3" s="65"/>
    </row>
    <row r="4" spans="1:2" ht="30" customHeight="1" x14ac:dyDescent="0.45">
      <c r="A4" s="140" t="str">
        <f>IFERROR(VLOOKUP(PAAR!$B$10,Translation[],38,0),"")</f>
        <v>Instructions for completing the Prioritized Above Allocation Request template</v>
      </c>
      <c r="B4" s="140"/>
    </row>
    <row r="5" spans="1:2" ht="16" thickBot="1" x14ac:dyDescent="0.25">
      <c r="A5" s="65"/>
    </row>
    <row r="6" spans="1:2" s="100" customFormat="1" ht="24.5" customHeight="1" thickBot="1" x14ac:dyDescent="0.2">
      <c r="A6" s="127" t="str">
        <f>IFERROR(VLOOKUP(PAAR!$B$10,Translation[],39,0),"")</f>
        <v>I. Introduction</v>
      </c>
      <c r="B6" s="128"/>
    </row>
    <row r="7" spans="1:2" s="101" customFormat="1" ht="29.5" customHeight="1" x14ac:dyDescent="0.2">
      <c r="A7" s="130" t="str">
        <f>IFERROR(VLOOKUP(PAAR!$B$10,Translation[],40,0),"")</f>
        <v>1. These instructions guide applicants on how to complete the Prioritized Above Allocation Request (PAAR) excel template.</v>
      </c>
      <c r="B7" s="131"/>
    </row>
    <row r="8" spans="1:2" s="101" customFormat="1" ht="62.5" customHeight="1" x14ac:dyDescent="0.2">
      <c r="A8" s="132" t="str">
        <f>IFERROR(VLOOKUP(PAAR!$B$10,Translation[],41,0),"")</f>
        <v>2. The PAAR is an essential part of the funding request. It highlights prioritized and costed modules and interventions for which funding is needed but cannot be funded from the country's allocation. PAAR is submitted at the funding request stage to ensure that all applicants have interventions ready to be integrated into grants as soon as new funding is identified or savings become available.</v>
      </c>
      <c r="B8" s="133"/>
    </row>
    <row r="9" spans="1:2" s="101" customFormat="1" ht="39.5" customHeight="1" x14ac:dyDescent="0.2">
      <c r="A9" s="132" t="str">
        <f>IFERROR(VLOOKUP(PAAR!$B$10,Translation[],42,0),"")</f>
        <v>3. The PAAR excel template provides a list of standardized Global Fund modules and interventions. These are aligned with the latest technical guidance and are explained in the updated Modular Framework Handbook.</v>
      </c>
      <c r="B9" s="133"/>
    </row>
    <row r="10" spans="1:2" s="101" customFormat="1" ht="22.75" customHeight="1" x14ac:dyDescent="0.2">
      <c r="A10" s="138" t="s">
        <v>0</v>
      </c>
      <c r="B10" s="139"/>
    </row>
    <row r="11" spans="1:2" s="101" customFormat="1" ht="22.75" customHeight="1" x14ac:dyDescent="0.2">
      <c r="A11" s="138" t="s">
        <v>1</v>
      </c>
      <c r="B11" s="139"/>
    </row>
    <row r="12" spans="1:2" s="101" customFormat="1" ht="22.75" customHeight="1" x14ac:dyDescent="0.2">
      <c r="A12" s="138" t="s">
        <v>2</v>
      </c>
      <c r="B12" s="139"/>
    </row>
    <row r="13" spans="1:2" s="101" customFormat="1" ht="73.75" customHeight="1" thickBot="1" x14ac:dyDescent="0.25">
      <c r="A13" s="134" t="str">
        <f>IFERROR(VLOOKUP(PAAR!$B$10,Translation[],43,0),"")</f>
        <v>4. Interventions that are eligible for Global Fund financing and that the Technical Review Panel (TRP) consider quality demand will be included in the Register of Unfunded Quality Demand (UQD). The TRP will also designate a priority rating and indicate the amount of funding recommended for these interventions. Prioritized interventions can be incorporated into grants if and when additional funding becomes available, either in grant-making or during grant implementation. Please refer to the Operational Policy Note (OPN) on Design and Review of Funding Requests for more details on PAAR.</v>
      </c>
      <c r="B13" s="135"/>
    </row>
    <row r="14" spans="1:2" s="100" customFormat="1" thickBot="1" x14ac:dyDescent="0.2">
      <c r="A14" s="137"/>
      <c r="B14" s="137"/>
    </row>
    <row r="15" spans="1:2" s="100" customFormat="1" ht="24.5" customHeight="1" thickBot="1" x14ac:dyDescent="0.2">
      <c r="A15" s="127" t="str">
        <f>IFERROR(VLOOKUP(PAAR!$B$10,Translation[],44,0),"")</f>
        <v>II. General Guidance</v>
      </c>
      <c r="B15" s="128"/>
    </row>
    <row r="16" spans="1:2" s="102" customFormat="1" ht="80.5" customHeight="1" x14ac:dyDescent="0.2">
      <c r="A16" s="130" t="str">
        <f>IFERROR(VLOOKUP(PAAR!$B$10,Translation[],45,0),"")</f>
        <v>5. The PAAR excel template is specific for each applicant and funding request and should be generated in the Global Fund Grant Operating System (GOS) by the Country Team at the funding request stage. Applicants will use one PAAR template per funding request, regardless of the components and the number of nominated Principal Recipients included in the funding request. Applicants should complete only the "PAAR" tab. 
Note: For joint funding requests that include two or more components, applicants should complete one PAAR template using the template provided by the Country Team.</v>
      </c>
      <c r="B16" s="131"/>
    </row>
    <row r="17" spans="1:2" s="102" customFormat="1" ht="44.5" customHeight="1" x14ac:dyDescent="0.2">
      <c r="A17" s="132" t="str">
        <f>IFERROR(VLOOKUP(PAAR!$B$10,Translation[],46,0),"")</f>
        <v>6. The PAAR excel template is available in English, French and Spanish. To change the language, select the preferred language on the "PAAR" tab. Applicants are recommended to select the language only once and before completing the PAAR.</v>
      </c>
      <c r="B17" s="133"/>
    </row>
    <row r="18" spans="1:2" s="102" customFormat="1" ht="49.25" customHeight="1" x14ac:dyDescent="0.2">
      <c r="A18" s="132" t="str">
        <f>IFERROR(VLOOKUP(PAAR!$B$10,Translation[],47,0),"")</f>
        <v>7. The PAAR excel template is compatible with MS Excel 2010 or later versions. Drop-down menus and formulas might not work in MS Excel 2007 or earlier versions. Applicants with earlier MS versions are requested to upgrade to MS Excel 2010 or later versions before working on this file.</v>
      </c>
      <c r="B18" s="133"/>
    </row>
    <row r="19" spans="1:2" s="102" customFormat="1" ht="46.75" customHeight="1" x14ac:dyDescent="0.2">
      <c r="A19" s="132" t="str">
        <f>IFERROR(VLOOKUP(PAAR!$B$10,Translation[],48,0),"")</f>
        <v>8. The PAAR excel template is protected. Applicants should not modify or edit the drop-downs or protected cells. Modifying the file in this way will result in the loss of some functionality and will not allow import into GOS. PAAR templates that were subject to modification will be rejected, and applicants will be requested to resubmit the information in a new template.</v>
      </c>
      <c r="B19" s="133"/>
    </row>
    <row r="20" spans="1:2" s="102" customFormat="1" ht="48.5" customHeight="1" thickBot="1" x14ac:dyDescent="0.25">
      <c r="A20" s="143" t="str">
        <f>IFERROR(VLOOKUP(PAAR!$B$10,Translation[],49,0),"")</f>
        <v>9. When copying/pasting data, applicants should ensure they do not overwrite any formula and pre-populated fields. Likewise, applicants should not overwrite drop-down values. The only acceptable options are those provided in the drop-down lists, i.e., applicant priority rating and standardized modules and interventions aligned with the Global Fund Modular Framework.</v>
      </c>
      <c r="B20" s="144"/>
    </row>
    <row r="21" spans="1:2" s="100" customFormat="1" thickBot="1" x14ac:dyDescent="0.2">
      <c r="A21" s="145"/>
      <c r="B21" s="145"/>
    </row>
    <row r="22" spans="1:2" s="100" customFormat="1" ht="24.5" customHeight="1" thickBot="1" x14ac:dyDescent="0.2">
      <c r="A22" s="127" t="str">
        <f>IFERROR(VLOOKUP(PAAR!$B$10,Translation[],50,0),"")</f>
        <v>III. Instructions</v>
      </c>
      <c r="B22" s="128"/>
    </row>
    <row r="23" spans="1:2" s="100" customFormat="1" ht="49.25" customHeight="1" thickBot="1" x14ac:dyDescent="0.2">
      <c r="A23" s="146" t="str">
        <f>IFERROR(VLOOKUP(PAAR!$B$10,Translation[],51,0),"")</f>
        <v>10. The detailed instructions for completing different sections of the "PAAR" tab are provided below.
Note: The "PAAR (EN)" tab is reserved for auto-translation of the "PAAR" tab and for the TRP review. The tab should not be filled in by applicants.</v>
      </c>
      <c r="B23" s="147"/>
    </row>
    <row r="24" spans="1:2" s="100" customFormat="1" thickBot="1" x14ac:dyDescent="0.2">
      <c r="A24" s="137"/>
      <c r="B24" s="137"/>
    </row>
    <row r="25" spans="1:2" s="100" customFormat="1" ht="24.5" customHeight="1" thickBot="1" x14ac:dyDescent="0.2">
      <c r="A25" s="127" t="str">
        <f>IFERROR(VLOOKUP(PAAR!$B$10,Translation[],52,0),"")</f>
        <v>Summary Information</v>
      </c>
      <c r="B25" s="128"/>
    </row>
    <row r="26" spans="1:2" s="100" customFormat="1" ht="91.75" customHeight="1" x14ac:dyDescent="0.15">
      <c r="A26" s="97" t="str">
        <f>IFERROR(VLOOKUP(PAAR!$B$10,Translation[],53,0),"")</f>
        <v xml:space="preserve">Country or Group of Countries /
Component(s) /
Funding Request this request relates to /
Currency </v>
      </c>
      <c r="B26" s="110" t="str">
        <f>IFERROR(VLOOKUP(PAAR!$B$10,Translation[],54,0),"")</f>
        <v>These fields are pre-populated from GOS when the template is generated and before it is shared with applicants.</v>
      </c>
    </row>
    <row r="27" spans="1:2" s="100" customFormat="1" ht="61.75" customHeight="1" x14ac:dyDescent="0.15">
      <c r="A27" s="109" t="str">
        <f>IFERROR(VLOOKUP(PAAR!$B$10,Translation[],55,0),"")</f>
        <v xml:space="preserve">Total Above Allocation Request </v>
      </c>
      <c r="B27" s="111" t="str">
        <f>IFERROR(VLOOKUP(PAAR!$B$10,Translation[],56,0),"")</f>
        <v>This field is calculated automatically when the applicant completes the "Amount Requested (Allocation Currency)” column.
Note: It is recommended that the amount of the PAAR should represent at least 30 percent of the country’s allocation and be  focused on fewer, larger, strategically focused and high-impact investments.</v>
      </c>
    </row>
    <row r="28" spans="1:2" s="100" customFormat="1" ht="44.5" customHeight="1" thickBot="1" x14ac:dyDescent="0.2">
      <c r="A28" s="113" t="str">
        <f>IFERROR(VLOOKUP(PAAR!$B$10,Translation[],57,0),"")</f>
        <v>TRP recommended amount</v>
      </c>
      <c r="B28" s="114" t="str">
        <f>IFERROR(VLOOKUP(PAAR!$B$10,Translation[],58,0),"")</f>
        <v xml:space="preserve">This field is calculated automatically when the TRP completes the "TRP Recommended Amount (Allocation Currency)" column and assigns a recommended amount for each module/intervention. </v>
      </c>
    </row>
    <row r="29" spans="1:2" s="100" customFormat="1" thickBot="1" x14ac:dyDescent="0.2">
      <c r="A29" s="136"/>
      <c r="B29" s="136"/>
    </row>
    <row r="30" spans="1:2" s="100" customFormat="1" ht="24.5" customHeight="1" thickBot="1" x14ac:dyDescent="0.2">
      <c r="A30" s="127" t="str">
        <f>IFERROR(VLOOKUP(PAAR!$B$10,Translation[],59,0),"")</f>
        <v>Contextual Information</v>
      </c>
      <c r="B30" s="128"/>
    </row>
    <row r="31" spans="1:2" s="100" customFormat="1" ht="43.25" customHeight="1" thickBot="1" x14ac:dyDescent="0.2">
      <c r="A31" s="148" t="str">
        <f>IFERROR(VLOOKUP(PAAR!$B$10,Translation[],60,0),"")</f>
        <v>Applicants are requested to provide contextual information about their PAAR request in the "Contextual Information" section. The PAAR request complements the country’s allocation. This section aims to situate the PAAR request within the total allocation request and explain how it will complement the allocation to achieve a higher impact.</v>
      </c>
      <c r="B31" s="149"/>
    </row>
    <row r="32" spans="1:2" s="100" customFormat="1" thickBot="1" x14ac:dyDescent="0.2">
      <c r="A32" s="129"/>
      <c r="B32" s="129"/>
    </row>
    <row r="33" spans="1:2" s="100" customFormat="1" ht="24.5" customHeight="1" thickBot="1" x14ac:dyDescent="0.2">
      <c r="A33" s="127" t="str">
        <f>IFERROR(VLOOKUP(PAAR!$B$10,Translation[],61,0),"")</f>
        <v>Prioritized Above Allocation Request (PAAR)</v>
      </c>
      <c r="B33" s="128"/>
    </row>
    <row r="34" spans="1:2" s="100" customFormat="1" ht="62.5" customHeight="1" x14ac:dyDescent="0.15">
      <c r="A34" s="150" t="str">
        <f>IFERROR(VLOOKUP(PAAR!$B$10,Translation[],62,0),"")</f>
        <v>Applicants should complete the columns "Applicant Priority Rating", "Module", "Intervention", "Amount Requested (Allocation Currency)" and "Brief Rationale". Applicants are encouraged not to list small activities but focus on larger and high-impact investments. 
Note: Applicants are advised to complete the columns in the listed sequence.</v>
      </c>
      <c r="B34" s="151"/>
    </row>
    <row r="35" spans="1:2" s="102" customFormat="1" ht="59.5" customHeight="1" x14ac:dyDescent="0.2">
      <c r="A35" s="126" t="str">
        <f>IFERROR(VLOOKUP(PAAR!$B$10,Translation[],63,0),"")</f>
        <v>Applicant Priority Rating /
Module / Intervention</v>
      </c>
      <c r="B35" s="112" t="str">
        <f>IFERROR(VLOOKUP(PAAR!$B$10,Translation[],64,0),"")</f>
        <v>Applicants should prioritize modules and interventions by selecting applicant priority ratings (i.e., high, medium, or low priority). The applicant priority rating, module and intervention should be selected from the drop-down list. Applicants are encouraged to demonstrate prioritization in their PAAR request, i.e., not all items should be marked as "High" priority.</v>
      </c>
    </row>
    <row r="36" spans="1:2" s="102" customFormat="1" ht="48.5" customHeight="1" x14ac:dyDescent="0.2">
      <c r="A36" s="126"/>
      <c r="B36" s="112" t="str">
        <f>IFERROR(VLOOKUP(PAAR!$B$10,Translation[],65,0),"")</f>
        <v>The drop-down lists are automatically pre-populated with modules and interventions applicable to the funding request's component(s). Refer to the Global Fund Modular Framework for the full list of modules and interventions.</v>
      </c>
    </row>
    <row r="37" spans="1:2" s="102" customFormat="1" ht="59.5" customHeight="1" x14ac:dyDescent="0.2">
      <c r="A37" s="126"/>
      <c r="B37" s="112" t="str">
        <f>IFERROR(VLOOKUP(PAAR!$B$10,Translation[],66,0),"")</f>
        <v>Applicants are also encouraged to include prioritized interventions related to pandemic preparedness, and investments that could potentially be financed through innovative (blended) finance mechanisms in case additional funding becomes available during the grant lifecycle.</v>
      </c>
    </row>
    <row r="38" spans="1:2" s="102" customFormat="1" ht="59.5" customHeight="1" x14ac:dyDescent="0.2">
      <c r="A38" s="126"/>
      <c r="B38" s="112" t="str">
        <f>IFERROR(VLOOKUP(PAAR!$B$10,Translation[],67,0),"")</f>
        <v>Ensure that the correct priority rating, module and intervention are selected for each line and that the input is consistent across different fields.</v>
      </c>
    </row>
    <row r="39" spans="1:2" s="102" customFormat="1" ht="63.5" customHeight="1" x14ac:dyDescent="0.2">
      <c r="A39" s="126" t="str">
        <f>IFERROR(VLOOKUP(PAAR!$B$10,Translation[],68,0),"")</f>
        <v>Amount Requested (Allocation Currency)</v>
      </c>
      <c r="B39" s="112" t="str">
        <f>IFERROR(VLOOKUP(PAAR!$B$10,Translation[],69,0),"")</f>
        <v>Budget information in the PAAR should be at a higher level than budget information in the allocation request, given that a PAAR is unfunded at the time of the request. While the level of budget information should be kept at a higher level in the PAAR, applicants should provide high-level assumptions and rationale for the budget amount under Brief Rationale. Lump sums in the budget are strongly discouraged.</v>
      </c>
    </row>
    <row r="40" spans="1:2" s="102" customFormat="1" ht="35.5" customHeight="1" x14ac:dyDescent="0.2">
      <c r="A40" s="126"/>
      <c r="B40" s="112" t="str">
        <f>IFERROR(VLOOKUP(PAAR!$B$10,Translation[],70,0),"")</f>
        <v>Applicants should enter the requested amount for each module/intervention. As per the Global Fund rounding policy, only whole numbers should be entered.</v>
      </c>
    </row>
    <row r="41" spans="1:2" s="102" customFormat="1" ht="37.75" customHeight="1" x14ac:dyDescent="0.2">
      <c r="A41" s="109" t="str">
        <f>IFERROR(VLOOKUP(PAAR!$B$10,Translation[],71,0),"")</f>
        <v>Amount Requested (USD)</v>
      </c>
      <c r="B41" s="112" t="str">
        <f>IFERROR(VLOOKUP(PAAR!$B$10,Translation[],72,0),"")</f>
        <v>This column is automatically completed once the value of the prior column, "Amount Requested (Allocation Currency)", is entered. If the request is in Euro, the amount will be automatically converted to US$ based on the conversion rate applicable for the allocation period.</v>
      </c>
    </row>
    <row r="42" spans="1:2" s="102" customFormat="1" ht="52.25" customHeight="1" x14ac:dyDescent="0.2">
      <c r="A42" s="109" t="str">
        <f>IFERROR(VLOOKUP(PAAR!$B$10,Translation[],73,0),"")</f>
        <v>Brief Rationale</v>
      </c>
      <c r="B42" s="112" t="str">
        <f>IFERROR(VLOOKUP(PAAR!$B$10,Translation[],74,0),"")</f>
        <v xml:space="preserve">A brief rationale explaining how the PAAR builds on the allocation request, including expected outcomes and impact, should be entered in this field. In addition, applicants should provide high-level assumptions and rationale for the budget, and an indication of the activities associated with the budgeted amount. </v>
      </c>
    </row>
    <row r="43" spans="1:2" s="102" customFormat="1" ht="27" customHeight="1" x14ac:dyDescent="0.2">
      <c r="A43" s="126" t="str">
        <f>IFERROR(VLOOKUP(PAAR!$B$10,Translation[],75,0),"")</f>
        <v xml:space="preserve">TRP Priority Rating /
TRP Recommended Amount (Allocation Currency)/
TRP Recommended Amount (USD) /
TRP Notes </v>
      </c>
      <c r="B43" s="112" t="str">
        <f>IFERROR(VLOOKUP(PAAR!$B$10,Translation[],76,0),"")</f>
        <v xml:space="preserve">The columns with the green heading are reserved for the TRP and are not to be filled in by applicants. </v>
      </c>
    </row>
    <row r="44" spans="1:2" s="102" customFormat="1" ht="49.25" customHeight="1" x14ac:dyDescent="0.2">
      <c r="A44" s="126"/>
      <c r="B44" s="112" t="str">
        <f>IFERROR(VLOOKUP(PAAR!$B$10,Translation[],77,0),"")</f>
        <v>The "TRP Recommended Amount (USD)" is calculated automatically when TRP completes the "TRP Recommended Amount (Allocation Currency)". If the request is in Euro, the amount will be automatically converted to US$ based on the conversion rate applicable for the allocation period.</v>
      </c>
    </row>
    <row r="45" spans="1:2" s="102" customFormat="1" ht="112.75" customHeight="1" x14ac:dyDescent="0.2">
      <c r="A45" s="126"/>
      <c r="B45" s="112" t="str">
        <f>IFERROR(VLOOKUP(PAAR!$B$10,Translation[],78,0),"")</f>
        <v>The TRP will assess the technical soundness and strategic focus of interventions. The TRP will also review the prioritization of PAAR interventions and the reasonableness of the amount requested per intervention. Following their assessment, the TRP may propose a different priority rating, recommend a lower amount than the one requested by the applicant or not recommend an intervention as quality demand. Where the TRP's priority rating or recommended amount differs from the applicant's priority rating or requested amount, or when the TRP does not recommend an intervention or module for funding, the TRP is expected to provide a comment clarifying the rationale behind the recommendation. TRP-recommended interventions will be added to the UQD Register to direct investments once additional sources of funds become available through the Global Fund or external sources.</v>
      </c>
    </row>
    <row r="46" spans="1:2" s="102" customFormat="1" ht="24.5" customHeight="1" x14ac:dyDescent="0.2">
      <c r="A46" s="109" t="str">
        <f>IFERROR(VLOOKUP(PAAR!$B$10,Translation[],79,0),"")</f>
        <v>Error Messages (if relevant)</v>
      </c>
      <c r="B46" s="112" t="str">
        <f>IFERROR(VLOOKUP(PAAR!$B$10,Translation[],80,0),"")</f>
        <v>Error messages are automatically triggered and are linked to either an error in selecting module, intervention, or the requested amount.</v>
      </c>
    </row>
    <row r="47" spans="1:2" s="100" customFormat="1" ht="14" x14ac:dyDescent="0.15">
      <c r="A47" s="109"/>
      <c r="B47" s="112"/>
    </row>
    <row r="48" spans="1:2" s="100" customFormat="1" ht="39" customHeight="1" x14ac:dyDescent="0.15">
      <c r="A48" s="109" t="str">
        <f>IFERROR(VLOOKUP(PAAR!$B$10,Translation[],81,0),"")</f>
        <v>PAAR (EN) tab
(hidden for applicants)</v>
      </c>
      <c r="B48" s="112" t="str">
        <f>IFERROR(VLOOKUP(PAAR!$B$10,Translation[],82,0),"")</f>
        <v xml:space="preserve">The tab of the PAAR labeled "PAAR (EN)" is reserved for auto-translation of the "PAAR" tab and for the TRP review. The tab should not be filled in by applicants. Applicants should complete only the "PAAR" tab. </v>
      </c>
    </row>
    <row r="49" spans="1:2" s="100" customFormat="1" ht="14" x14ac:dyDescent="0.15">
      <c r="A49" s="98"/>
      <c r="B49" s="112"/>
    </row>
    <row r="50" spans="1:2" s="100" customFormat="1" ht="36" customHeight="1" thickBot="1" x14ac:dyDescent="0.2">
      <c r="A50" s="141" t="str">
        <f>IFERROR(VLOOKUP(PAAR!$B$10,Translation[],83,0),"")</f>
        <v>Once the "Contextual Information" field and the "Prioritized Above Allocation Request (PAAR)" table are completed in the "PAAR" tab, please save the excel file and submit it with the funding request.</v>
      </c>
      <c r="B50" s="142"/>
    </row>
    <row r="51" spans="1:2" s="100" customFormat="1" ht="14" x14ac:dyDescent="0.15"/>
    <row r="52" spans="1:2" s="100" customFormat="1" ht="14" x14ac:dyDescent="0.15">
      <c r="A52" s="100" t="str">
        <f>IFERROR(VLOOKUP(PAAR!$B$10,Translation[],84,0),"")</f>
        <v xml:space="preserve">Date Generated: </v>
      </c>
      <c r="B52" s="103">
        <f ca="1">TODAY()</f>
        <v>45003</v>
      </c>
    </row>
    <row r="53" spans="1:2" s="100" customFormat="1" ht="14" x14ac:dyDescent="0.15">
      <c r="A53" s="100" t="s">
        <v>3</v>
      </c>
    </row>
  </sheetData>
  <sheetProtection algorithmName="SHA-512" hashValue="JZ3JfbY8dZYH3hIX3TGcQ/FbYvp6BufCpBrchdK1QxYLx2y4S6rwWX/FUk2UEMsFYstLImb+qGbpDDSl92xNFA==" saltValue="wQLkL6mIhy9FojGhc+U+fw==" spinCount="100000" sheet="1"/>
  <mergeCells count="31">
    <mergeCell ref="A4:B4"/>
    <mergeCell ref="A24:B24"/>
    <mergeCell ref="A50:B50"/>
    <mergeCell ref="A33:B33"/>
    <mergeCell ref="A16:B16"/>
    <mergeCell ref="A17:B17"/>
    <mergeCell ref="A18:B18"/>
    <mergeCell ref="A19:B19"/>
    <mergeCell ref="A20:B20"/>
    <mergeCell ref="A21:B21"/>
    <mergeCell ref="A22:B22"/>
    <mergeCell ref="A23:B23"/>
    <mergeCell ref="A25:B25"/>
    <mergeCell ref="A30:B30"/>
    <mergeCell ref="A31:B31"/>
    <mergeCell ref="A34:B34"/>
    <mergeCell ref="A35:A38"/>
    <mergeCell ref="A39:A40"/>
    <mergeCell ref="A43:A45"/>
    <mergeCell ref="A15:B15"/>
    <mergeCell ref="A6:B6"/>
    <mergeCell ref="A32:B32"/>
    <mergeCell ref="A7:B7"/>
    <mergeCell ref="A8:B8"/>
    <mergeCell ref="A9:B9"/>
    <mergeCell ref="A13:B13"/>
    <mergeCell ref="A29:B29"/>
    <mergeCell ref="A14:B14"/>
    <mergeCell ref="A12:B12"/>
    <mergeCell ref="A11:B11"/>
    <mergeCell ref="A10:B10"/>
  </mergeCells>
  <hyperlinks>
    <hyperlink ref="A10:B10" r:id="rId1" display="(English) Modular Framework handbook" xr:uid="{00000000-0004-0000-0000-000000000000}"/>
    <hyperlink ref="A11:B11" r:id="rId2" display="(French/Français) Manuel du cadre modulaire " xr:uid="{00000000-0004-0000-0000-000001000000}"/>
    <hyperlink ref="A12:B12" r:id="rId3" display="(Spanish/Español) Manual del marco modular" xr:uid="{00000000-0004-0000-0000-000002000000}"/>
  </hyperlinks>
  <pageMargins left="0.7" right="0.7" top="0.75" bottom="0.75" header="0.3" footer="0.3"/>
  <pageSetup paperSize="9" scale="60" fitToHeight="0" orientation="landscape" r:id="rId4"/>
  <headerFooter>
    <oddHeader>&amp;LThe Global Fund&amp;CPrioritized Above Allocation Request (PAAR)&amp;RAllocation Period 2023-2025</oddHeader>
    <oddFooter>Page &amp;P of &amp;N</oddFooter>
  </headerFooter>
  <rowBreaks count="2" manualBreakCount="2">
    <brk id="21" max="16383" man="1"/>
    <brk id="38"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117"/>
  <sheetViews>
    <sheetView showGridLines="0" tabSelected="1" zoomScaleNormal="100" zoomScaleSheetLayoutView="40" workbookViewId="0">
      <selection activeCell="A25" sqref="A25"/>
    </sheetView>
  </sheetViews>
  <sheetFormatPr baseColWidth="10" defaultColWidth="9.5" defaultRowHeight="14" x14ac:dyDescent="0.2"/>
  <cols>
    <col min="1" max="1" width="29.5" style="9" customWidth="1" collapsed="1"/>
    <col min="2" max="2" width="43.1640625" style="9" customWidth="1" collapsed="1"/>
    <col min="3" max="3" width="42.5" style="9" customWidth="1"/>
    <col min="4" max="4" width="19.5" style="9" customWidth="1" collapsed="1"/>
    <col min="5" max="5" width="19.5" style="9" customWidth="1"/>
    <col min="6" max="6" width="111" style="9" customWidth="1" collapsed="1"/>
    <col min="7" max="7" width="20.5" style="9" customWidth="1" collapsed="1"/>
    <col min="8" max="9" width="19.5" style="9" customWidth="1"/>
    <col min="10" max="10" width="86.5" style="9" customWidth="1" collapsed="1"/>
    <col min="11" max="11" width="23.5" style="9" hidden="1" customWidth="1" collapsed="1"/>
    <col min="12" max="12" width="22.5" style="9" hidden="1" customWidth="1" collapsed="1"/>
    <col min="13" max="13" width="24.5" style="9" hidden="1" customWidth="1" collapsed="1"/>
    <col min="14" max="14" width="21.5" style="9" hidden="1" customWidth="1" collapsed="1"/>
    <col min="15" max="15" width="18.5" style="43" hidden="1" customWidth="1" collapsed="1"/>
    <col min="16" max="16" width="20" style="43" hidden="1" customWidth="1" collapsed="1"/>
    <col min="17" max="17" width="17.5" style="9" hidden="1" customWidth="1"/>
    <col min="18" max="18" width="23.5" style="9" hidden="1" customWidth="1" collapsed="1"/>
    <col min="19" max="19" width="24.5" style="9" hidden="1" customWidth="1" collapsed="1"/>
    <col min="20" max="20" width="29.5" style="9" hidden="1" customWidth="1" collapsed="1"/>
    <col min="21" max="21" width="12.1640625" style="9" hidden="1" customWidth="1" collapsed="1"/>
    <col min="22" max="22" width="12.5" style="9" hidden="1" customWidth="1" collapsed="1"/>
    <col min="23" max="23" width="11.5" style="9" hidden="1" customWidth="1" collapsed="1"/>
    <col min="24" max="24" width="13.5" style="9" hidden="1" customWidth="1" collapsed="1"/>
    <col min="25" max="25" width="42.5" style="9" customWidth="1" collapsed="1"/>
    <col min="26" max="26" width="35.5" style="62" hidden="1" customWidth="1" collapsed="1"/>
    <col min="27" max="27" width="25" style="62" hidden="1" customWidth="1" collapsed="1"/>
    <col min="28" max="28" width="22.5" style="9" hidden="1" customWidth="1" collapsed="1"/>
    <col min="29" max="29" width="23.5" style="62" hidden="1" customWidth="1" collapsed="1"/>
    <col min="30" max="30" width="23.5" style="62" hidden="1" customWidth="1"/>
    <col min="31" max="31" width="25.1640625" style="62" hidden="1" customWidth="1" collapsed="1"/>
    <col min="32" max="32" width="20.83203125" style="9" hidden="1" customWidth="1"/>
    <col min="33" max="33" width="17.1640625" style="9" hidden="1" customWidth="1"/>
    <col min="34" max="34" width="9.5" style="9" collapsed="1"/>
    <col min="35" max="37" width="9.5" style="9"/>
    <col min="38" max="16384" width="9.5" style="9" collapsed="1"/>
  </cols>
  <sheetData>
    <row r="1" spans="1:10" customFormat="1" ht="60" customHeight="1" x14ac:dyDescent="0.2">
      <c r="A1" s="47"/>
      <c r="F1" s="123"/>
    </row>
    <row r="2" spans="1:10" customFormat="1" ht="15.5" customHeight="1" x14ac:dyDescent="0.2">
      <c r="A2" s="65"/>
      <c r="F2" s="123"/>
    </row>
    <row r="3" spans="1:10" customFormat="1" ht="15.5" customHeight="1" x14ac:dyDescent="0.2">
      <c r="A3" s="65"/>
      <c r="F3" s="123"/>
    </row>
    <row r="4" spans="1:10" customFormat="1" ht="30" customHeight="1" x14ac:dyDescent="0.45">
      <c r="A4" s="140" t="str">
        <f>IFERROR(VLOOKUP($B$10,Translation[],3,0),"")</f>
        <v>PRIORITIZED ABOVE ALLOCATION REQUEST (PAAR)</v>
      </c>
      <c r="B4" s="140"/>
      <c r="C4" s="140"/>
      <c r="D4" s="140"/>
      <c r="E4" s="140"/>
      <c r="F4" s="140"/>
      <c r="G4" s="140"/>
      <c r="H4" s="140"/>
      <c r="I4" s="140"/>
      <c r="J4" s="140"/>
    </row>
    <row r="5" spans="1:10" x14ac:dyDescent="0.2">
      <c r="A5" s="156"/>
      <c r="B5" s="156"/>
      <c r="C5" s="156"/>
      <c r="D5" s="156"/>
      <c r="E5" s="156"/>
      <c r="F5" s="156"/>
      <c r="G5" s="156"/>
      <c r="H5" s="104"/>
      <c r="I5" s="104"/>
    </row>
    <row r="6" spans="1:10" x14ac:dyDescent="0.2">
      <c r="A6" s="159" t="s">
        <v>4</v>
      </c>
      <c r="B6" s="160"/>
    </row>
    <row r="7" spans="1:10" x14ac:dyDescent="0.2">
      <c r="A7" s="157" t="s">
        <v>5</v>
      </c>
      <c r="B7" s="158"/>
    </row>
    <row r="8" spans="1:10" x14ac:dyDescent="0.2">
      <c r="A8" s="161" t="s">
        <v>6</v>
      </c>
      <c r="B8" s="162"/>
    </row>
    <row r="10" spans="1:10" x14ac:dyDescent="0.2">
      <c r="A10" s="105" t="str">
        <f>IFERROR(VLOOKUP($B$10,Translation[],2,0),"")</f>
        <v>Language</v>
      </c>
      <c r="B10" s="106" t="s">
        <v>7</v>
      </c>
      <c r="C10" s="87">
        <f>SUM(D10:E10)</f>
        <v>44</v>
      </c>
      <c r="D10" s="87">
        <f>COUNTA($A$29:$A$116)</f>
        <v>22</v>
      </c>
      <c r="E10" s="88">
        <f>COUNTA($B$29:$B$116)</f>
        <v>22</v>
      </c>
    </row>
    <row r="12" spans="1:10" x14ac:dyDescent="0.2">
      <c r="A12" s="154" t="str">
        <f>IFERROR(VLOOKUP($B$10,Translation[],5,0),"")</f>
        <v>SUMMARY INFORMATION</v>
      </c>
      <c r="B12" s="155"/>
      <c r="C12" s="163"/>
      <c r="D12" s="10"/>
      <c r="E12" s="10"/>
      <c r="F12" s="10"/>
      <c r="G12" s="10"/>
      <c r="H12" s="10"/>
      <c r="I12" s="10"/>
    </row>
    <row r="13" spans="1:10" ht="65" customHeight="1" x14ac:dyDescent="0.2">
      <c r="A13" s="78" t="str">
        <f>IFERROR(VLOOKUP($B$10,Translation[],6,0),"")</f>
        <v>Country or Group of Countries</v>
      </c>
      <c r="B13" s="164" t="str">
        <f>IF(ISBLANK(Modules!$B$3),Modules!$B$4,Modules!$B$3)</f>
        <v>Kyrgyzstan</v>
      </c>
      <c r="C13" s="165"/>
      <c r="D13" s="21"/>
      <c r="E13" s="21"/>
      <c r="F13" s="21"/>
    </row>
    <row r="14" spans="1:10" ht="30" customHeight="1" x14ac:dyDescent="0.2">
      <c r="A14" s="78" t="str">
        <f>IFERROR(VLOOKUP($B$10,Translation[],7,0),"")</f>
        <v>Component(s)</v>
      </c>
      <c r="B14" s="166" t="str">
        <f>(Modules!$D$3)</f>
        <v>HIV/AIDS, Tuberculosis</v>
      </c>
      <c r="C14" s="167"/>
      <c r="D14" s="27"/>
      <c r="E14" s="27"/>
      <c r="F14" s="27"/>
    </row>
    <row r="15" spans="1:10" ht="62" customHeight="1" x14ac:dyDescent="0.2">
      <c r="A15" s="78" t="str">
        <f>IFERROR(VLOOKUP($B$10,Translation[],8,0),"")</f>
        <v>Funding request this request relates to</v>
      </c>
      <c r="B15" s="166" t="str">
        <f>(Modules!$D$2)</f>
        <v>FR1405-KGZ-C</v>
      </c>
      <c r="C15" s="167"/>
      <c r="D15" s="20"/>
      <c r="E15" s="20"/>
      <c r="F15" s="20"/>
    </row>
    <row r="16" spans="1:10" ht="30" customHeight="1" x14ac:dyDescent="0.2">
      <c r="A16" s="78" t="str">
        <f>IFERROR(VLOOKUP($B$10,Translation[],9,0),"")</f>
        <v>Currency</v>
      </c>
      <c r="B16" s="79" t="str">
        <f>Modules!$D$4</f>
        <v>USD</v>
      </c>
      <c r="C16" s="79" t="str">
        <f>IFERROR(VLOOKUP($B$10,Translation[],93,0),"")</f>
        <v>USD Equivalent</v>
      </c>
      <c r="D16" s="20"/>
      <c r="E16" s="20"/>
      <c r="F16" s="20"/>
    </row>
    <row r="17" spans="1:33" ht="65" customHeight="1" x14ac:dyDescent="0.2">
      <c r="A17" s="78" t="str">
        <f>IFERROR(VLOOKUP($B$10,Translation[],32,0),"")</f>
        <v>Total Above Allocation Request</v>
      </c>
      <c r="B17" s="80">
        <f>D117</f>
        <v>13000000</v>
      </c>
      <c r="C17" s="80">
        <f>E117</f>
        <v>13000000</v>
      </c>
      <c r="D17" s="19"/>
      <c r="E17" s="19"/>
      <c r="F17" s="19"/>
    </row>
    <row r="18" spans="1:33" ht="30" customHeight="1" x14ac:dyDescent="0.2">
      <c r="A18" s="78" t="str">
        <f>IFERROR(VLOOKUP($B$10,Translation[],22,0),"")</f>
        <v>TRP recommended amount</v>
      </c>
      <c r="B18" s="80">
        <f>H117</f>
        <v>0</v>
      </c>
      <c r="C18" s="80">
        <f>I117</f>
        <v>0</v>
      </c>
      <c r="D18" s="19"/>
      <c r="E18" s="19"/>
      <c r="F18" s="19"/>
    </row>
    <row r="20" spans="1:33" x14ac:dyDescent="0.2">
      <c r="A20" s="168" t="str">
        <f>IFERROR(VLOOKUP($B$10,Translation[],11,0),"")</f>
        <v>CONTEXTUAL INFORMATION</v>
      </c>
      <c r="B20" s="169"/>
      <c r="C20" s="169"/>
      <c r="D20" s="169"/>
      <c r="E20" s="169"/>
      <c r="F20" s="169"/>
      <c r="G20" s="169"/>
      <c r="H20" s="169"/>
      <c r="I20" s="169"/>
      <c r="J20" s="169"/>
    </row>
    <row r="21" spans="1:33" ht="142.25" customHeight="1" x14ac:dyDescent="0.2">
      <c r="A21" s="152" t="str">
        <f>IFERROR(VLOOKUP($B$10,Translation[],12,0),"")</f>
        <v>Provide contextual information relevant to the prioritized above allocation request, explaining prioritization and the strategic focus of the modules proposed for additional funding and how it will complement the allocation request to achieve higher impact.  
The response may include for example: 
• any highlights of the epidemiological context
• outstanding programmatic gaps that need to be addressed 
• any considerations or data that informed the request
• explanations clarifying linkages to the allocation funding
For additional space, the applicant can expand the row height for a bigger box</v>
      </c>
      <c r="B21" s="152"/>
      <c r="C21" s="152"/>
      <c r="D21" s="152"/>
      <c r="E21" s="152"/>
      <c r="F21" s="152"/>
      <c r="G21" s="152"/>
      <c r="H21" s="152"/>
      <c r="I21" s="152"/>
      <c r="J21" s="152"/>
    </row>
    <row r="22" spans="1:33" ht="225" customHeight="1" x14ac:dyDescent="0.2">
      <c r="A22" s="153" t="s">
        <v>2287</v>
      </c>
      <c r="B22" s="153"/>
      <c r="C22" s="153"/>
      <c r="D22" s="153"/>
      <c r="E22" s="153"/>
      <c r="F22" s="153"/>
      <c r="G22" s="153"/>
      <c r="H22" s="153"/>
      <c r="I22" s="153"/>
      <c r="J22" s="153"/>
    </row>
    <row r="23" spans="1:33" ht="150" hidden="1" customHeight="1" x14ac:dyDescent="0.2">
      <c r="A23" s="45"/>
      <c r="B23" s="45"/>
      <c r="C23" s="45"/>
      <c r="D23" s="45"/>
      <c r="E23" s="45"/>
      <c r="F23" s="45"/>
      <c r="G23" s="45"/>
      <c r="H23" s="99"/>
      <c r="I23" s="99"/>
      <c r="J23" s="99"/>
      <c r="K23" s="9" t="s">
        <v>8</v>
      </c>
    </row>
    <row r="24" spans="1:33" ht="150" hidden="1" customHeight="1" x14ac:dyDescent="0.2">
      <c r="A24" s="44"/>
      <c r="B24" s="44"/>
      <c r="C24" s="44"/>
      <c r="D24" s="44"/>
      <c r="E24" s="44"/>
      <c r="F24" s="44"/>
      <c r="G24" s="44"/>
      <c r="H24" s="99"/>
      <c r="I24" s="99"/>
      <c r="J24" s="99"/>
    </row>
    <row r="26" spans="1:33" x14ac:dyDescent="0.2">
      <c r="A26" s="154" t="str">
        <f>IFERROR(VLOOKUP($B$10,Translation[],13,0),"")</f>
        <v>PRIORITIZED ABOVE ALLOCATION REQUEST (PAAR)</v>
      </c>
      <c r="B26" s="155"/>
      <c r="C26" s="155"/>
      <c r="D26" s="155"/>
      <c r="E26" s="155"/>
      <c r="F26" s="155"/>
      <c r="G26" s="155"/>
      <c r="H26" s="155"/>
      <c r="I26" s="155"/>
      <c r="J26" s="155"/>
      <c r="K26" s="43"/>
      <c r="L26" s="43"/>
      <c r="M26" s="43"/>
      <c r="N26" s="43"/>
    </row>
    <row r="27" spans="1:33" ht="238.25" customHeight="1" x14ac:dyDescent="0.2">
      <c r="A27" s="152" t="str">
        <f>IFERROR(VLOOKUP($B$10,Translation[],14,0),"")</f>
        <v xml:space="preserve">In the table below, provide a prioritized above allocation request. If deemed technically sound and strategically focused by the TRP, interventions will be included on the Register of Unfunded Quality Demand. They can be funded from several sources throughout the grant life cycle, including grant savings and efficiencies, Global Fund's portfolio optimization, private sector investments, and/or Debt2Health or other blended finance agreements. 
The above allocation request should present a coherent investment approach with a limited number of large and strategically focused interventions selected to achieve high impact. Applicants are also encouraged to include prioritized interventions related to pandemic preparedness and investments that could potentially be financed through innovative (blended) finance mechanisms, in case additional funding becomes available during the grant lifecycle. A clear rationale should be given for the selected modules and interventions, and the request should be aligned with the programming of the allocation. Applicants should indicate a relative priority order for funding each intervention requested (i.e., high, medium, or low priority). 
Under the Brief Rationale the request should provide high-level assumptions and rationale for the budget amount, linked to information on expected activities. Lump sums are strongly discouraged. The prioritized above allocation request should be ambitious, representing at least 30 percent of the allocation amount. 
Table guidance for the applicant:
 •	 The modules/interventions of the request should be ranked in order of decreasing importance (with priority level "high" meaning highest priority/importance). 
 •	 To align with the Global Fund modules and interventions, please select them ONLY from each drop-down.
 •	 Only whole numbers should be entered.
 •	 For additional space, the applicant can expand the width and height of each cell for a bigger box.
 •	 For additional modules (in case there is insufficient space), please insert additional rows.
</v>
      </c>
      <c r="B27" s="152"/>
      <c r="C27" s="152"/>
      <c r="D27" s="152"/>
      <c r="E27" s="152"/>
      <c r="F27" s="152"/>
      <c r="G27" s="152"/>
      <c r="H27" s="152"/>
      <c r="I27" s="152"/>
      <c r="J27" s="152"/>
      <c r="K27" s="43"/>
      <c r="L27" s="43"/>
      <c r="M27" s="43"/>
      <c r="N27" s="43"/>
    </row>
    <row r="28" spans="1:33" ht="82.25" customHeight="1" x14ac:dyDescent="0.2">
      <c r="A28" s="78" t="str">
        <f>IFERROR(VLOOKUP($B$10,Translation[],15,0),"")</f>
        <v>Applicant Priority Rating</v>
      </c>
      <c r="B28" s="78" t="str">
        <f>IFERROR(VLOOKUP($B$10,Translation[],16,0),"")</f>
        <v>Module</v>
      </c>
      <c r="C28" s="78" t="str">
        <f>IFERROR(VLOOKUP($B$10,Translation[],17,0),"")</f>
        <v xml:space="preserve">Intervention </v>
      </c>
      <c r="D28" s="78" t="str">
        <f>IFERROR(VLOOKUP($B$10,Translation[],18,0),"")</f>
        <v>Amount Requested (Allocation Currency)</v>
      </c>
      <c r="E28" s="78" t="str">
        <f>IFERROR(VLOOKUP($B$10,Translation[],19,0),"")</f>
        <v>Amount Requested (USD)</v>
      </c>
      <c r="F28" s="78" t="str">
        <f>IFERROR(VLOOKUP($B$10,Translation[],20,0),"")</f>
        <v xml:space="preserve">Brief Rationale, including expected outcomes and impact (explain how the request builds on the allocation). 
Provide high-level assumptions and rationale for the budget. </v>
      </c>
      <c r="G28" s="81" t="str">
        <f>IFERROR(VLOOKUP($B$10,Translation[],23,0),"")</f>
        <v>TRP Priority Rating</v>
      </c>
      <c r="H28" s="81" t="str">
        <f>IFERROR(VLOOKUP($B$10,Translation[],85,0),"")</f>
        <v>TRP Recommended Amount (Allocation Currency)</v>
      </c>
      <c r="I28" s="81" t="str">
        <f>IFERROR(VLOOKUP($B$10,Translation[],86,0),"")</f>
        <v>TRP Recommended Amount (USD)</v>
      </c>
      <c r="J28" s="81" t="str">
        <f>IFERROR(VLOOKUP($B$10,Translation[],26,0),"")</f>
        <v>TRP Notes (only mandatory for "Not Recommended", partially recommended, or when priority rating differs)</v>
      </c>
      <c r="K28" s="18" t="s">
        <v>9</v>
      </c>
      <c r="L28" s="18" t="s">
        <v>10</v>
      </c>
      <c r="M28" s="18" t="s">
        <v>11</v>
      </c>
      <c r="N28" s="18" t="s">
        <v>12</v>
      </c>
      <c r="O28" s="107" t="s">
        <v>13</v>
      </c>
      <c r="P28" s="77" t="s">
        <v>14</v>
      </c>
      <c r="Q28" s="69" t="s">
        <v>15</v>
      </c>
      <c r="R28" s="69" t="s">
        <v>16</v>
      </c>
      <c r="S28" s="69"/>
      <c r="T28" s="69" t="s">
        <v>17</v>
      </c>
      <c r="U28" s="69" t="s">
        <v>18</v>
      </c>
      <c r="V28" s="69" t="s">
        <v>19</v>
      </c>
      <c r="W28" s="69" t="s">
        <v>20</v>
      </c>
      <c r="X28" s="69" t="s">
        <v>21</v>
      </c>
      <c r="Y28" s="86" t="str">
        <f>IFERROR(VLOOKUP($B$10,Translation[],35,0),"")</f>
        <v>Error Messages (if relevant)</v>
      </c>
      <c r="Z28" s="63" t="s">
        <v>22</v>
      </c>
      <c r="AA28" s="64" t="s">
        <v>23</v>
      </c>
      <c r="AB28" s="64" t="s">
        <v>24</v>
      </c>
      <c r="AC28" s="64" t="s">
        <v>25</v>
      </c>
      <c r="AD28" s="64" t="s">
        <v>26</v>
      </c>
      <c r="AE28" s="64" t="s">
        <v>27</v>
      </c>
      <c r="AF28" s="64" t="s">
        <v>28</v>
      </c>
      <c r="AG28" s="64" t="s">
        <v>29</v>
      </c>
    </row>
    <row r="29" spans="1:33" ht="240" x14ac:dyDescent="0.2">
      <c r="A29" s="83" t="s">
        <v>1416</v>
      </c>
      <c r="B29" s="84" t="s">
        <v>152</v>
      </c>
      <c r="C29" s="84" t="s">
        <v>645</v>
      </c>
      <c r="D29" s="122">
        <f>1658805+15447</f>
        <v>1674252</v>
      </c>
      <c r="E29" s="93">
        <f>IF(ISBLANK(D29),"",IF(IF(Modules!$D$4="EUR",W29*(Modules!$B$5),$W29)=0,0,IF(Modules!$D$4="EUR",W29*(Modules!$B$5),$W29)))</f>
        <v>1674252</v>
      </c>
      <c r="F29" s="124" t="s">
        <v>2270</v>
      </c>
      <c r="G29" s="82" t="str">
        <f>IF(NOT(ISBLANK('PAAR (EN)'!$G29)),IF('PAAR (EN)'!$G29 &lt;&gt; "",IF(PAAR!$B$10="English",'PAAR (EN)'!$G29,IF(PAAR!$B$10="Français",_xlfn.XLOOKUP('PAAR (EN)'!$G29,'Dropdown Data'!$A$365:$A$368, 'Dropdown Data'!$B$365:$B$368,0,0,1),_xlfn.XLOOKUP('PAAR (EN)'!$G29,'Dropdown Data'!$A$365:$A$368,'Dropdown Data'!$C$365:$C$368,0,0,1))),""),"")</f>
        <v/>
      </c>
      <c r="H29" s="92" t="str">
        <f>IF('PAAR (EN)'!$H29 &lt;&gt;"", 'PAAR (EN)'!$H29, "")</f>
        <v/>
      </c>
      <c r="I29" s="89" t="str">
        <f>IF('PAAR (EN)'!$I29 &lt;&gt; "", 'PAAR (EN)'!$I29, "")</f>
        <v/>
      </c>
      <c r="J29" s="15"/>
      <c r="K29" s="42" t="str">
        <f>IFERROR(VLOOKUP(B29,Modules!C:D,2,0),"")</f>
        <v>MCI-01309</v>
      </c>
      <c r="L29" s="40" t="str" cm="1">
        <f t="array" ref="L29">IFERROR(INDEX(Interventions!$F$12:$F$178,MATCH(TRUE,INDEX(Interventions!$E$12:$E$178=$C29,0),0)),0)</f>
        <v>MCI-01369</v>
      </c>
      <c r="M29" s="15" t="str">
        <f>CLEAN(IFERROR(VLOOKUP($C29,Interventions!$E$1:$K$444,7,0),""))</f>
        <v>FunOpp_16:ActAre_102</v>
      </c>
      <c r="N29" s="15" t="str">
        <f>CLEAN(IF(C29="","",CONCATENATE(Modules!$B$8,PAAR!M29,Q29)))</f>
        <v>Geography_131/FundingOpportunity_16/FunOpp_16:ActAre_1021</v>
      </c>
      <c r="O29" s="70" t="str">
        <f>IFERROR(INDEX('Dropdown Data'!$D$33:$D$35,MATCH(A29,'Dropdown Data'!$B$33:$B$35,0)),IFERROR(INDEX('Dropdown Data'!$D$33:$D$35,MATCH(A29,'Dropdown Data'!$C$33:$C$35,0)),A29))</f>
        <v>High</v>
      </c>
      <c r="P29" s="70" t="str">
        <f>IFERROR(INDEX('Dropdown Data'!$D$33:$D$36,MATCH(G29,'Dropdown Data'!$B$33:$B$36,0)),IFERROR(INDEX('Dropdown Data'!$D$33:$D$36,MATCH(G29,'Dropdown Data'!$C$33:$C$36,0)),G29))</f>
        <v/>
      </c>
      <c r="Q29" s="71">
        <v>1</v>
      </c>
      <c r="R29" s="71" t="b">
        <f t="shared" ref="R29:R60" si="0">IF(AND($B$17&gt;0,NOT(ISBLANK(E29)),(OR(ISBLANK(G29),ISBLANK(I29)))),TRUE,FALSE)</f>
        <v>0</v>
      </c>
      <c r="S29" s="71">
        <f t="shared" ref="S29:S60" si="1">COUNTBLANK(A29:J29)</f>
        <v>4</v>
      </c>
      <c r="T29" s="71" t="str">
        <f>IFERROR(VLOOKUP(B29,Modules!$E$11:$K$52,7,0),IFERROR(VLOOKUP(B29,Modules!$F$11:$K$52,6,0),VLOOKUP(B29,Modules!$G$11:$K$52,5,0)))</f>
        <v>MCI-01309</v>
      </c>
      <c r="U29" s="71">
        <f>IFERROR(MATCH(T29,Interventions!C:C,0),0)</f>
        <v>94</v>
      </c>
      <c r="V29" s="71">
        <f>IFERROR(SUM(U29,COUNTIF(ModuleStart,T29)-1),0)</f>
        <v>95</v>
      </c>
      <c r="W29" s="72">
        <f t="shared" ref="W29:W60" si="2">ROUND(D29,0)</f>
        <v>1674252</v>
      </c>
      <c r="X29" s="72">
        <f t="shared" ref="X29:X60" si="3">IFERROR(ROUND(E29,0),"")</f>
        <v>1674252</v>
      </c>
      <c r="Y29" s="82" t="str">
        <f>IF(AND(AE29="Continue",AG29="Continue"),VLOOKUP($B$10,Translation[],91,0),IF(AND(AE29&lt;&gt;"Continue",AG29="Continue"),AE29,IF(AND(AG29&lt;&gt;"Continue",AE29="Continue"),AG29,CONCATENATE(AE29,CHAR(10),AG29))))</f>
        <v>No error</v>
      </c>
      <c r="Z29" s="62" t="str">
        <f>IF(OR(AND($B29&lt;&gt;"",$K29=""),AND($C29&lt;&gt;"",$L29="")),VLOOKUP($B$10,Translation[],87,0),"Continue")</f>
        <v>Continue</v>
      </c>
      <c r="AA29" s="62" t="str">
        <f>IF(AND($B29 &lt;&gt; "",$K29&lt;&gt;""),IF($K29=_xlfn.XLOOKUP(L29,Interventions!$F$11:$F$179,Interventions!$C$11:$C$179,1,0,1),"Continue",VLOOKUP($B$10,Translation[],88,0)),"Continue")</f>
        <v>Continue</v>
      </c>
      <c r="AB29" s="9" t="str">
        <f>IFERROR(IF($A29&lt;&gt;"",IF($B$10="English", IF(MATCH($A29,'Dropdown Data'!$A$361:$A$363,0)&gt;0,"Continue"), IF($B$10="Français",IF(MATCH($A29,'Dropdown Data'!$B$361:$B$363,0)&gt;0,"Continue"), IF($B$10="Español",IF(MATCH($A29,'Dropdown Data'!$C$361:$C$363,0)&gt;0,"Continue"),VLOOKUP($B$10,Translation[],89,0)))),"Continue"),VLOOKUP($B$10,Translation[],89,0))</f>
        <v>Continue</v>
      </c>
      <c r="AC29" s="62" t="str">
        <f>IF(AND(NOT(ISBLANK($D29)),(NOT(ISNUMBER($D29)))),VLOOKUP($B$10,Translation[],90,0),"Continue")</f>
        <v>Continue</v>
      </c>
      <c r="AD29" s="62" t="str">
        <f xml:space="preserve"> IFERROR(IF(INT($D29) &lt;&gt; $D29, VLOOKUP($B$10,Translation[],92,0), "Continue"),"Continue")</f>
        <v>Continue</v>
      </c>
      <c r="AE29" s="62" t="str">
        <f t="shared" ref="AE29:AE60" si="4">IF(AND(Z29="Continue",AA29="Continue"),"Continue",IF(AND(Z29&lt;&gt;"Continue",AA29="Continue"),Z29,IF(AND(AA29&lt;&gt;"Continue",Z29="Continue"),AA29,CONCATENATE(Z29,CHAR(10),AA29))))</f>
        <v>Continue</v>
      </c>
      <c r="AF29" s="9" t="str">
        <f>IF(AND(AB29="Continue",AC29="Continue"),"Continue",IF(AND(AB29&lt;&gt;"Continue",AC29="Continue"),AB29,IF(AND(AC29&lt;&gt;"Continue",AB29="Continue"),AC29,CONCATENATE(AB29,CHAR(10),AC29))))</f>
        <v>Continue</v>
      </c>
      <c r="AG29" s="9" t="str">
        <f>IF(AND(AF29="Continue",AD29="Continue"),"Continue",IF(AND(AF29&lt;&gt;"Continue",AD29="Continue"),AF29,IF(AND(AD29&lt;&gt;"Continue",AF29="Continue"),AD29,CONCATENATE(AF29,CHAR(10),AD29))))</f>
        <v>Continue</v>
      </c>
    </row>
    <row r="30" spans="1:33" ht="45" x14ac:dyDescent="0.2">
      <c r="A30" s="83" t="s">
        <v>1416</v>
      </c>
      <c r="B30" s="84" t="s">
        <v>152</v>
      </c>
      <c r="C30" s="84" t="s">
        <v>639</v>
      </c>
      <c r="D30" s="122">
        <f>100000*8+9*15000</f>
        <v>935000</v>
      </c>
      <c r="E30" s="93">
        <f>IF(ISBLANK(D30),"",IF(IF(Modules!$D$4="EUR",W30*(Modules!$B$5),$W30)=0,0,IF(Modules!$D$4="EUR",W30*(Modules!$B$5),$W30)))</f>
        <v>935000</v>
      </c>
      <c r="F30" s="124" t="s">
        <v>2271</v>
      </c>
      <c r="G30" s="82" t="str">
        <f>IF(NOT(ISBLANK('PAAR (EN)'!$G30)),IF('PAAR (EN)'!$G30 &lt;&gt; "",IF(PAAR!$B$10="English",'PAAR (EN)'!$G30,IF(PAAR!$B$10="Français",_xlfn.XLOOKUP('PAAR (EN)'!$G30,'Dropdown Data'!$A$365:$A$368, 'Dropdown Data'!$B$365:$B$368,0,0,1),_xlfn.XLOOKUP('PAAR (EN)'!$G30,'Dropdown Data'!$A$365:$A$368,'Dropdown Data'!$C$365:$C$368,0,0,1))),""),"")</f>
        <v/>
      </c>
      <c r="H30" s="92" t="str">
        <f>IF('PAAR (EN)'!$H30 &lt;&gt;"", 'PAAR (EN)'!$H30, "")</f>
        <v/>
      </c>
      <c r="I30" s="89" t="str">
        <f>IF('PAAR (EN)'!$I30 &lt;&gt; "", 'PAAR (EN)'!$I30, "")</f>
        <v/>
      </c>
      <c r="J30" s="15"/>
      <c r="K30" s="42" t="str">
        <f>IFERROR(VLOOKUP(B30,Modules!C:D,2,0),"")</f>
        <v>MCI-01309</v>
      </c>
      <c r="L30" s="40" t="str" cm="1">
        <f t="array" ref="L30">IFERROR(INDEX(Interventions!$F$12:$F$178,MATCH(TRUE,INDEX(Interventions!$E$12:$E$178=$C30,0),0)),0)</f>
        <v>MCI-01368</v>
      </c>
      <c r="M30" s="15" t="str">
        <f>CLEAN(IFERROR(VLOOKUP($C30,Interventions!$E$1:$K$444,7,0),""))</f>
        <v>FunOpp_16:ActAre_101</v>
      </c>
      <c r="N30" s="15" t="str">
        <f>CLEAN(IF(C30="","",CONCATENATE(Modules!$B$8,PAAR!M30,Q30)))</f>
        <v>Geography_131/FundingOpportunity_16/FunOpp_16:ActAre_1012</v>
      </c>
      <c r="O30" s="70" t="str">
        <f>IFERROR(INDEX('Dropdown Data'!$D$33:$D$35,MATCH(A30,'Dropdown Data'!$B$33:$B$35,0)),IFERROR(INDEX('Dropdown Data'!$D$33:$D$35,MATCH(A30,'Dropdown Data'!$C$33:$C$35,0)),A30))</f>
        <v>High</v>
      </c>
      <c r="P30" s="70" t="str">
        <f>IFERROR(INDEX('Dropdown Data'!$D$33:$D$36,MATCH(G30,'Dropdown Data'!$B$33:$B$36,0)),IFERROR(INDEX('Dropdown Data'!$D$33:$D$36,MATCH(G30,'Dropdown Data'!$C$33:$C$36,0)),G30))</f>
        <v/>
      </c>
      <c r="Q30" s="71">
        <v>2</v>
      </c>
      <c r="R30" s="71" t="b">
        <f t="shared" si="0"/>
        <v>0</v>
      </c>
      <c r="S30" s="71">
        <f t="shared" si="1"/>
        <v>4</v>
      </c>
      <c r="T30" s="71" t="str">
        <f>IFERROR(VLOOKUP(B30,Modules!$E$11:$K$52,7,0),IFERROR(VLOOKUP(B30,Modules!$F$11:$K$52,6,0),VLOOKUP(B30,Modules!$G$11:$K$52,5,0)))</f>
        <v>MCI-01309</v>
      </c>
      <c r="U30" s="71">
        <f>IFERROR(MATCH(T30,Interventions!C:C,0),0)</f>
        <v>94</v>
      </c>
      <c r="V30" s="71" cm="1">
        <f t="array" ref="V30">SUM(U30,COUNTIF(ModuleStart,T30)-1)</f>
        <v>95</v>
      </c>
      <c r="W30" s="72">
        <f t="shared" si="2"/>
        <v>935000</v>
      </c>
      <c r="X30" s="72">
        <f t="shared" si="3"/>
        <v>935000</v>
      </c>
      <c r="Y30" s="82" t="str">
        <f>IF(AND(AE30="Continue",AG30="Continue"),VLOOKUP($B$10,Translation[],91,0),IF(AND(AE30&lt;&gt;"Continue",AG30="Continue"),AE30,IF(AND(AG30&lt;&gt;"Continue",AE30="Continue"),AG30,CONCATENATE(AE30,CHAR(10),AG30))))</f>
        <v>No error</v>
      </c>
      <c r="Z30" s="62" t="str">
        <f>IF(OR(AND($B30&lt;&gt;"",$K30=""),AND($C30&lt;&gt;"",$L30="")),VLOOKUP($B$10,Translation[],87,0),"Continue")</f>
        <v>Continue</v>
      </c>
      <c r="AA30" s="62" t="str">
        <f>IF(AND($B30 &lt;&gt; "",$K30&lt;&gt;""),IF($K30=_xlfn.XLOOKUP(L30,Interventions!$F$11:$F$179,Interventions!$C$11:$C$179,1,0,1),"Continue",VLOOKUP($B$10,Translation[],88,0)),"Continue")</f>
        <v>Continue</v>
      </c>
      <c r="AB30" s="9" t="str">
        <f>IFERROR(IF($A30&lt;&gt;"",IF($B$10="English", IF(MATCH($A30,'Dropdown Data'!$A$361:$A$363,0)&gt;0,"Continue"), IF($B$10="Français",IF(MATCH($A30,'Dropdown Data'!$B$361:$B$363,0)&gt;0,"Continue"), IF($B$10="Español",IF(MATCH($A30,'Dropdown Data'!$C$361:$C$363,0)&gt;0,"Continue"),VLOOKUP($B$10,Translation[],89,0)))),"Continue"),VLOOKUP($B$10,Translation[],89,0))</f>
        <v>Continue</v>
      </c>
      <c r="AC30" s="62" t="str">
        <f>IF(AND(NOT(ISBLANK($D30)),(NOT(ISNUMBER($D30)))),VLOOKUP($B$10,Translation[],90,0),"Continue")</f>
        <v>Continue</v>
      </c>
      <c r="AD30" s="62" t="str">
        <f xml:space="preserve"> IFERROR(IF(INT($D30) &lt;&gt; $D30, VLOOKUP($B$10,Translation[],92,0), "Continue"),"Continue")</f>
        <v>Continue</v>
      </c>
      <c r="AE30" s="62" t="str">
        <f t="shared" si="4"/>
        <v>Continue</v>
      </c>
      <c r="AF30" s="9" t="str">
        <f t="shared" ref="AF30:AF93" si="5">IF(AND(AB30="Continue",AC30="Continue"),"Continue",IF(AND(AB30&lt;&gt;"Continue",AC30="Continue"),AB30,IF(AND(AC30&lt;&gt;"Continue",AB30="Continue"),AC30,CONCATENATE(AB30,CHAR(10),AC30))))</f>
        <v>Continue</v>
      </c>
      <c r="AG30" s="9" t="str">
        <f>IF(AND(AF30="Continue",AD30="Continue"),"Continue",IF(AND(AF30&lt;&gt;"Continue",AD30="Continue"),AF30,IF(AND(AD30&lt;&gt;"Continue",AF30="Continue"),AD30,CONCATENATE(AF30,CHAR(10),AD30))))</f>
        <v>Continue</v>
      </c>
    </row>
    <row r="31" spans="1:33" ht="45" x14ac:dyDescent="0.2">
      <c r="A31" s="83" t="s">
        <v>1416</v>
      </c>
      <c r="B31" s="84" t="s">
        <v>195</v>
      </c>
      <c r="C31" s="84" t="s">
        <v>964</v>
      </c>
      <c r="D31" s="122">
        <v>600000</v>
      </c>
      <c r="E31" s="93">
        <f>IF(ISBLANK(D31),"",IF(IF(Modules!$D$4="EUR",W31*(Modules!$B$5),$W31)=0,0,IF(Modules!$D$4="EUR",W31*(Modules!$B$5),$W31)))</f>
        <v>600000</v>
      </c>
      <c r="F31" s="124" t="s">
        <v>2272</v>
      </c>
      <c r="G31" s="82" t="str">
        <f>IF(NOT(ISBLANK('PAAR (EN)'!$G31)),IF('PAAR (EN)'!$G31 &lt;&gt; "",IF(PAAR!$B$10="English",'PAAR (EN)'!$G31,IF(PAAR!$B$10="Français",_xlfn.XLOOKUP('PAAR (EN)'!$G31,'Dropdown Data'!$A$365:$A$368, 'Dropdown Data'!$B$365:$B$368,0,0,1),_xlfn.XLOOKUP('PAAR (EN)'!$G31,'Dropdown Data'!$A$365:$A$368,'Dropdown Data'!$C$365:$C$368,0,0,1))),""),"")</f>
        <v/>
      </c>
      <c r="H31" s="92" t="str">
        <f>IF('PAAR (EN)'!$H31 &lt;&gt;"", 'PAAR (EN)'!$H31, "")</f>
        <v/>
      </c>
      <c r="I31" s="89" t="str">
        <f>IF('PAAR (EN)'!$I31 &lt;&gt; "", 'PAAR (EN)'!$I31, "")</f>
        <v/>
      </c>
      <c r="J31" s="15"/>
      <c r="K31" s="42" t="str">
        <f>IFERROR(VLOOKUP(B31,Modules!C:D,2,0),"")</f>
        <v>MCI-01325</v>
      </c>
      <c r="L31" s="40" t="str" cm="1">
        <f t="array" ref="L31">IFERROR(INDEX(Interventions!$F$12:$F$178,MATCH(TRUE,INDEX(Interventions!$E$12:$E$178=$C31,0),0)),0)</f>
        <v>MCI-01485</v>
      </c>
      <c r="M31" s="15" t="str">
        <f>CLEAN(IFERROR(VLOOKUP($C31,Interventions!$E$1:$K$444,7,0),""))</f>
        <v>FunOpp_16:ActAre_447</v>
      </c>
      <c r="N31" s="15" t="str">
        <f>CLEAN(IF(C31="","",CONCATENATE(Modules!$B$8,PAAR!M31,Q31)))</f>
        <v>Geography_131/FundingOpportunity_16/FunOpp_16:ActAre_4473</v>
      </c>
      <c r="O31" s="70" t="str">
        <f>IFERROR(INDEX('Dropdown Data'!$D$33:$D$35,MATCH(A31,'Dropdown Data'!$B$33:$B$35,0)),IFERROR(INDEX('Dropdown Data'!$D$33:$D$35,MATCH(A31,'Dropdown Data'!$C$33:$C$35,0)),A31))</f>
        <v>High</v>
      </c>
      <c r="P31" s="70" t="str">
        <f>IFERROR(INDEX('Dropdown Data'!$D$33:$D$36,MATCH(G31,'Dropdown Data'!$B$33:$B$36,0)),IFERROR(INDEX('Dropdown Data'!$D$33:$D$36,MATCH(G31,'Dropdown Data'!$C$33:$C$36,0)),G31))</f>
        <v/>
      </c>
      <c r="Q31" s="71">
        <v>3</v>
      </c>
      <c r="R31" s="71" t="b">
        <f t="shared" si="0"/>
        <v>0</v>
      </c>
      <c r="S31" s="71">
        <f t="shared" si="1"/>
        <v>4</v>
      </c>
      <c r="T31" s="71" t="str">
        <f>IFERROR(VLOOKUP(B31,Modules!$E$11:$K$52,7,0),IFERROR(VLOOKUP(B31,Modules!$F$11:$K$52,6,0),VLOOKUP(B31,Modules!$G$11:$K$52,5,0)))</f>
        <v>MCI-01325</v>
      </c>
      <c r="U31" s="71">
        <f>IFERROR(MATCH(T31,Interventions!C:C,0),0)</f>
        <v>157</v>
      </c>
      <c r="V31" s="71" cm="1">
        <f t="array" ref="V31">SUM(U31,COUNTIF(ModuleStart,T31)-1)</f>
        <v>164</v>
      </c>
      <c r="W31" s="72">
        <f t="shared" si="2"/>
        <v>600000</v>
      </c>
      <c r="X31" s="72">
        <f t="shared" si="3"/>
        <v>600000</v>
      </c>
      <c r="Y31" s="82" t="str">
        <f>IF(AND(AE31="Continue",AG31="Continue"),VLOOKUP($B$10,Translation[],91,0),IF(AND(AE31&lt;&gt;"Continue",AG31="Continue"),AE31,IF(AND(AG31&lt;&gt;"Continue",AE31="Continue"),AG31,CONCATENATE(AE31,CHAR(10),AG31))))</f>
        <v>No error</v>
      </c>
      <c r="Z31" s="62" t="str">
        <f>IF(OR(AND($B31&lt;&gt;"",$K31=""),AND($C31&lt;&gt;"",$L31="")),VLOOKUP($B$10,Translation[],87,0),"Continue")</f>
        <v>Continue</v>
      </c>
      <c r="AA31" s="62" t="str">
        <f>IF(AND($B31 &lt;&gt; "",$K31&lt;&gt;""),IF($K31=_xlfn.XLOOKUP(L31,Interventions!$F$11:$F$179,Interventions!$C$11:$C$179,1,0,1),"Continue",VLOOKUP($B$10,Translation[],88,0)),"Continue")</f>
        <v>Continue</v>
      </c>
      <c r="AB31" s="9" t="str">
        <f>IFERROR(IF($A31&lt;&gt;"",IF($B$10="English", IF(MATCH($A31,'Dropdown Data'!$A$361:$A$363,0)&gt;0,"Continue"), IF($B$10="Français",IF(MATCH($A31,'Dropdown Data'!$B$361:$B$363,0)&gt;0,"Continue"), IF($B$10="Español",IF(MATCH($A31,'Dropdown Data'!$C$361:$C$363,0)&gt;0,"Continue"),VLOOKUP($B$10,Translation[],89,0)))),"Continue"),VLOOKUP($B$10,Translation[],89,0))</f>
        <v>Continue</v>
      </c>
      <c r="AC31" s="62" t="str">
        <f>IF(AND(NOT(ISBLANK($D31)),(NOT(ISNUMBER($D31)))),VLOOKUP($B$10,Translation[],90,0),"Continue")</f>
        <v>Continue</v>
      </c>
      <c r="AD31" s="62" t="str">
        <f xml:space="preserve"> IFERROR(IF(INT($D31) &lt;&gt; $D31, VLOOKUP($B$10,Translation[],92,0), "Continue"),"Continue")</f>
        <v>Continue</v>
      </c>
      <c r="AE31" s="62" t="str">
        <f t="shared" si="4"/>
        <v>Continue</v>
      </c>
      <c r="AF31" s="9" t="str">
        <f t="shared" si="5"/>
        <v>Continue</v>
      </c>
      <c r="AG31" s="9" t="str">
        <f t="shared" ref="AG31:AG93" si="6">IF(AND(AF31="Continue",AD31="Continue"),"Continue",IF(AND(AF31&lt;&gt;"Continue",AD31="Continue"),AF31,IF(AND(AD31&lt;&gt;"Continue",AF31="Continue"),AD31,CONCATENATE(AF31,CHAR(10),AD31))))</f>
        <v>Continue</v>
      </c>
    </row>
    <row r="32" spans="1:33" ht="45" x14ac:dyDescent="0.2">
      <c r="A32" s="83" t="s">
        <v>1416</v>
      </c>
      <c r="B32" s="84" t="s">
        <v>135</v>
      </c>
      <c r="C32" s="84" t="s">
        <v>541</v>
      </c>
      <c r="D32" s="122">
        <f>50*8000</f>
        <v>400000</v>
      </c>
      <c r="E32" s="93">
        <f>IF(ISBLANK(D32),"",IF(IF(Modules!$D$4="EUR",W32*(Modules!$B$5),$W32)=0,0,IF(Modules!$D$4="EUR",W32*(Modules!$B$5),$W32)))</f>
        <v>400000</v>
      </c>
      <c r="F32" s="124" t="s">
        <v>2273</v>
      </c>
      <c r="G32" s="82" t="str">
        <f>IF(NOT(ISBLANK('PAAR (EN)'!$G32)),IF('PAAR (EN)'!$G32 &lt;&gt; "",IF(PAAR!$B$10="English",'PAAR (EN)'!$G32,IF(PAAR!$B$10="Français",_xlfn.XLOOKUP('PAAR (EN)'!$G32,'Dropdown Data'!$A$365:$A$368, 'Dropdown Data'!$B$365:$B$368,0,0,1),_xlfn.XLOOKUP('PAAR (EN)'!$G32,'Dropdown Data'!$A$365:$A$368,'Dropdown Data'!$C$365:$C$368,0,0,1))),""),"")</f>
        <v/>
      </c>
      <c r="H32" s="92" t="str">
        <f>IF('PAAR (EN)'!$H32 &lt;&gt;"", 'PAAR (EN)'!$H32, "")</f>
        <v/>
      </c>
      <c r="I32" s="89" t="str">
        <f>IF('PAAR (EN)'!$I32 &lt;&gt; "", 'PAAR (EN)'!$I32, "")</f>
        <v/>
      </c>
      <c r="J32" s="15"/>
      <c r="K32" s="42" t="str">
        <f>IFERROR(VLOOKUP(B32,Modules!C:D,2,0),"")</f>
        <v>MCI-01305</v>
      </c>
      <c r="L32" s="40" t="str" cm="1">
        <f t="array" ref="L32">IFERROR(INDEX(Interventions!$F$12:$F$178,MATCH(TRUE,INDEX(Interventions!$E$12:$E$178=$C32,0),0)),0)</f>
        <v>MCI-01456</v>
      </c>
      <c r="M32" s="15" t="str">
        <f>CLEAN(IFERROR(VLOOKUP($C32,Interventions!$E$1:$K$444,7,0),""))</f>
        <v>FunOpp_16:ActAre_554</v>
      </c>
      <c r="N32" s="15" t="str">
        <f>CLEAN(IF(C32="","",CONCATENATE(Modules!$B$8,PAAR!M32,Q32)))</f>
        <v>Geography_131/FundingOpportunity_16/FunOpp_16:ActAre_5544</v>
      </c>
      <c r="O32" s="70" t="str">
        <f>IFERROR(INDEX('Dropdown Data'!$D$33:$D$35,MATCH(A32,'Dropdown Data'!$B$33:$B$35,0)),IFERROR(INDEX('Dropdown Data'!$D$33:$D$35,MATCH(A32,'Dropdown Data'!$C$33:$C$35,0)),A32))</f>
        <v>High</v>
      </c>
      <c r="P32" s="70" t="str">
        <f>IFERROR(INDEX('Dropdown Data'!$D$33:$D$36,MATCH(G32,'Dropdown Data'!$B$33:$B$36,0)),IFERROR(INDEX('Dropdown Data'!$D$33:$D$36,MATCH(G32,'Dropdown Data'!$C$33:$C$36,0)),G32))</f>
        <v/>
      </c>
      <c r="Q32" s="71">
        <v>4</v>
      </c>
      <c r="R32" s="71" t="b">
        <f t="shared" si="0"/>
        <v>0</v>
      </c>
      <c r="S32" s="71">
        <f t="shared" si="1"/>
        <v>4</v>
      </c>
      <c r="T32" s="71" t="str">
        <f>IFERROR(VLOOKUP(B32,Modules!$E$11:$K$52,7,0),IFERROR(VLOOKUP(B32,Modules!$F$11:$K$52,6,0),VLOOKUP(B32,Modules!$G$11:$K$52,5,0)))</f>
        <v>MCI-01305</v>
      </c>
      <c r="U32" s="71">
        <f>IFERROR(MATCH(T32,Interventions!C:C,0),0)</f>
        <v>69</v>
      </c>
      <c r="V32" s="71" cm="1">
        <f t="array" ref="V32">SUM(U32,COUNTIF(ModuleStart,T32)-1)</f>
        <v>77</v>
      </c>
      <c r="W32" s="72">
        <f t="shared" si="2"/>
        <v>400000</v>
      </c>
      <c r="X32" s="72">
        <f t="shared" si="3"/>
        <v>400000</v>
      </c>
      <c r="Y32" s="82" t="str">
        <f>IF(AND(AE32="Continue",AG32="Continue"),VLOOKUP($B$10,Translation[],91,0),IF(AND(AE32&lt;&gt;"Continue",AG32="Continue"),AE32,IF(AND(AG32&lt;&gt;"Continue",AE32="Continue"),AG32,CONCATENATE(AE32,CHAR(10),AG32))))</f>
        <v>No error</v>
      </c>
      <c r="Z32" s="62" t="str">
        <f>IF(OR(AND($B32&lt;&gt;"",$K32=""),AND($C32&lt;&gt;"",$L32="")),VLOOKUP($B$10,Translation[],87,0),"Continue")</f>
        <v>Continue</v>
      </c>
      <c r="AA32" s="62" t="str">
        <f>IF(AND($B32 &lt;&gt; "",$K32&lt;&gt;""),IF($K32=_xlfn.XLOOKUP(L32,Interventions!$F$11:$F$179,Interventions!$C$11:$C$179,1,0,1),"Continue",VLOOKUP($B$10,Translation[],88,0)),"Continue")</f>
        <v>Continue</v>
      </c>
      <c r="AB32" s="9" t="str">
        <f>IFERROR(IF($A32&lt;&gt;"",IF($B$10="English", IF(MATCH($A32,'Dropdown Data'!$A$361:$A$363,0)&gt;0,"Continue"), IF($B$10="Français",IF(MATCH($A32,'Dropdown Data'!$B$361:$B$363,0)&gt;0,"Continue"), IF($B$10="Español",IF(MATCH($A32,'Dropdown Data'!$C$361:$C$363,0)&gt;0,"Continue"),VLOOKUP($B$10,Translation[],89,0)))),"Continue"),VLOOKUP($B$10,Translation[],89,0))</f>
        <v>Continue</v>
      </c>
      <c r="AC32" s="62" t="str">
        <f>IF(AND(NOT(ISBLANK($D32)),(NOT(ISNUMBER($D32)))),VLOOKUP($B$10,Translation[],90,0),"Continue")</f>
        <v>Continue</v>
      </c>
      <c r="AD32" s="62" t="str">
        <f xml:space="preserve"> IFERROR(IF(INT($D32) &lt;&gt; $D32, VLOOKUP($B$10,Translation[],92,0), "Continue"),"Continue")</f>
        <v>Continue</v>
      </c>
      <c r="AE32" s="62" t="str">
        <f t="shared" si="4"/>
        <v>Continue</v>
      </c>
      <c r="AF32" s="9" t="str">
        <f t="shared" si="5"/>
        <v>Continue</v>
      </c>
      <c r="AG32" s="9" t="str">
        <f t="shared" si="6"/>
        <v>Continue</v>
      </c>
    </row>
    <row r="33" spans="1:33" ht="45" x14ac:dyDescent="0.2">
      <c r="A33" s="83" t="s">
        <v>1416</v>
      </c>
      <c r="B33" s="84" t="s">
        <v>143</v>
      </c>
      <c r="C33" s="84" t="s">
        <v>603</v>
      </c>
      <c r="D33" s="122">
        <v>225000</v>
      </c>
      <c r="E33" s="93">
        <f>IF(ISBLANK(D33),"",IF(IF(Modules!$D$4="EUR",W33*(Modules!$B$5),$W33)=0,0,IF(Modules!$D$4="EUR",W33*(Modules!$B$5),$W33)))</f>
        <v>225000</v>
      </c>
      <c r="F33" s="124" t="s">
        <v>2274</v>
      </c>
      <c r="G33" s="82" t="str">
        <f>IF(NOT(ISBLANK('PAAR (EN)'!$G33)),IF('PAAR (EN)'!$G33 &lt;&gt; "",IF(PAAR!$B$10="English",'PAAR (EN)'!$G33,IF(PAAR!$B$10="Français",_xlfn.XLOOKUP('PAAR (EN)'!$G33,'Dropdown Data'!$A$365:$A$368, 'Dropdown Data'!$B$365:$B$368,0,0,1),_xlfn.XLOOKUP('PAAR (EN)'!$G33,'Dropdown Data'!$A$365:$A$368,'Dropdown Data'!$C$365:$C$368,0,0,1))),""),"")</f>
        <v/>
      </c>
      <c r="H33" s="92" t="str">
        <f>IF('PAAR (EN)'!$H33 &lt;&gt;"", 'PAAR (EN)'!$H33, "")</f>
        <v/>
      </c>
      <c r="I33" s="89" t="str">
        <f>IF('PAAR (EN)'!$I33 &lt;&gt; "", 'PAAR (EN)'!$I33, "")</f>
        <v/>
      </c>
      <c r="J33" s="15"/>
      <c r="K33" s="42" t="str">
        <f>IFERROR(VLOOKUP(B33,Modules!C:D,2,0),"")</f>
        <v>MCI-01307</v>
      </c>
      <c r="L33" s="40" t="str" cm="1">
        <f t="array" ref="L33">IFERROR(INDEX(Interventions!$F$12:$F$178,MATCH(TRUE,INDEX(Interventions!$E$12:$E$178=$C33,0),0)),0)</f>
        <v>MCI-01468</v>
      </c>
      <c r="M33" s="15" t="str">
        <f>CLEAN(IFERROR(VLOOKUP($C33,Interventions!$E$1:$K$444,7,0),""))</f>
        <v>FunOpp_16:ActAre_225</v>
      </c>
      <c r="N33" s="15" t="str">
        <f>CLEAN(IF(C33="","",CONCATENATE(Modules!$B$8,PAAR!M33,Q33)))</f>
        <v>Geography_131/FundingOpportunity_16/FunOpp_16:ActAre_2255</v>
      </c>
      <c r="O33" s="70" t="str">
        <f>IFERROR(INDEX('Dropdown Data'!$D$33:$D$35,MATCH(A33,'Dropdown Data'!$B$33:$B$35,0)),IFERROR(INDEX('Dropdown Data'!$D$33:$D$35,MATCH(A33,'Dropdown Data'!$C$33:$C$35,0)),A33))</f>
        <v>High</v>
      </c>
      <c r="P33" s="70" t="str">
        <f>IFERROR(INDEX('Dropdown Data'!$D$33:$D$36,MATCH(G33,'Dropdown Data'!$B$33:$B$36,0)),IFERROR(INDEX('Dropdown Data'!$D$33:$D$36,MATCH(G33,'Dropdown Data'!$C$33:$C$36,0)),G33))</f>
        <v/>
      </c>
      <c r="Q33" s="71">
        <v>5</v>
      </c>
      <c r="R33" s="71" t="b">
        <f t="shared" si="0"/>
        <v>0</v>
      </c>
      <c r="S33" s="71">
        <f t="shared" si="1"/>
        <v>4</v>
      </c>
      <c r="T33" s="71" t="str">
        <f>IFERROR(VLOOKUP(B33,Modules!$E$11:$K$52,7,0),IFERROR(VLOOKUP(B33,Modules!$F$11:$K$52,6,0),VLOOKUP(B33,Modules!$G$11:$K$52,5,0)))</f>
        <v>MCI-01307</v>
      </c>
      <c r="U33" s="71">
        <f>IFERROR(MATCH(T33,Interventions!C:C,0),0)</f>
        <v>84</v>
      </c>
      <c r="V33" s="71" cm="1">
        <f t="array" ref="V33">SUM(U33,COUNTIF(ModuleStart,T33)-1)</f>
        <v>91</v>
      </c>
      <c r="W33" s="72">
        <f t="shared" si="2"/>
        <v>225000</v>
      </c>
      <c r="X33" s="72">
        <f t="shared" si="3"/>
        <v>225000</v>
      </c>
      <c r="Y33" s="82" t="str">
        <f>IF(AND(AE33="Continue",AG33="Continue"),VLOOKUP($B$10,Translation[],91,0),IF(AND(AE33&lt;&gt;"Continue",AG33="Continue"),AE33,IF(AND(AG33&lt;&gt;"Continue",AE33="Continue"),AG33,CONCATENATE(AE33,CHAR(10),AG33))))</f>
        <v>No error</v>
      </c>
      <c r="Z33" s="62" t="str">
        <f>IF(OR(AND($B33&lt;&gt;"",$K33=""),AND($C33&lt;&gt;"",$L33="")),VLOOKUP($B$10,Translation[],87,0),"Continue")</f>
        <v>Continue</v>
      </c>
      <c r="AA33" s="62" t="str">
        <f>IF(AND($B33 &lt;&gt; "",$K33&lt;&gt;""),IF($K33=_xlfn.XLOOKUP(L33,Interventions!$F$11:$F$179,Interventions!$C$11:$C$179,1,0,1),"Continue",VLOOKUP($B$10,Translation[],88,0)),"Continue")</f>
        <v>Continue</v>
      </c>
      <c r="AB33" s="9" t="str">
        <f>IFERROR(IF($A33&lt;&gt;"",IF($B$10="English", IF(MATCH($A33,'Dropdown Data'!$A$361:$A$363,0)&gt;0,"Continue"), IF($B$10="Français",IF(MATCH($A33,'Dropdown Data'!$B$361:$B$363,0)&gt;0,"Continue"), IF($B$10="Español",IF(MATCH($A33,'Dropdown Data'!$C$361:$C$363,0)&gt;0,"Continue"),VLOOKUP($B$10,Translation[],89,0)))),"Continue"),VLOOKUP($B$10,Translation[],89,0))</f>
        <v>Continue</v>
      </c>
      <c r="AC33" s="62" t="str">
        <f>IF(AND(NOT(ISBLANK($D33)),(NOT(ISNUMBER($D33)))),VLOOKUP($B$10,Translation[],90,0),"Continue")</f>
        <v>Continue</v>
      </c>
      <c r="AD33" s="62" t="str">
        <f xml:space="preserve"> IFERROR(IF(INT($D33) &lt;&gt; $D33, VLOOKUP($B$10,Translation[],92,0), "Continue"),"Continue")</f>
        <v>Continue</v>
      </c>
      <c r="AE33" s="62" t="str">
        <f t="shared" si="4"/>
        <v>Continue</v>
      </c>
      <c r="AF33" s="9" t="str">
        <f t="shared" si="5"/>
        <v>Continue</v>
      </c>
      <c r="AG33" s="9" t="str">
        <f t="shared" si="6"/>
        <v>Continue</v>
      </c>
    </row>
    <row r="34" spans="1:33" ht="75" x14ac:dyDescent="0.2">
      <c r="A34" s="83" t="s">
        <v>1416</v>
      </c>
      <c r="B34" s="84" t="s">
        <v>191</v>
      </c>
      <c r="C34" s="84" t="s">
        <v>944</v>
      </c>
      <c r="D34" s="122">
        <v>180000</v>
      </c>
      <c r="E34" s="93">
        <f>IF(ISBLANK(D34),"",IF(IF(Modules!$D$4="EUR",W34*(Modules!$B$5),$W34)=0,0,IF(Modules!$D$4="EUR",W34*(Modules!$B$5),$W34)))</f>
        <v>180000</v>
      </c>
      <c r="F34" s="124" t="s">
        <v>2267</v>
      </c>
      <c r="G34" s="82" t="str">
        <f>IF(NOT(ISBLANK('PAAR (EN)'!$G34)),IF('PAAR (EN)'!$G34 &lt;&gt; "",IF(PAAR!$B$10="English",'PAAR (EN)'!$G34,IF(PAAR!$B$10="Français",_xlfn.XLOOKUP('PAAR (EN)'!$G34,'Dropdown Data'!$A$365:$A$368, 'Dropdown Data'!$B$365:$B$368,0,0,1),_xlfn.XLOOKUP('PAAR (EN)'!$G34,'Dropdown Data'!$A$365:$A$368,'Dropdown Data'!$C$365:$C$368,0,0,1))),""),"")</f>
        <v/>
      </c>
      <c r="H34" s="92" t="str">
        <f>IF('PAAR (EN)'!$H34 &lt;&gt;"", 'PAAR (EN)'!$H34, "")</f>
        <v/>
      </c>
      <c r="I34" s="89" t="str">
        <f>IF('PAAR (EN)'!$I34 &lt;&gt; "", 'PAAR (EN)'!$I34, "")</f>
        <v/>
      </c>
      <c r="J34" s="15"/>
      <c r="K34" s="42" t="str">
        <f>IFERROR(VLOOKUP(B34,Modules!C:D,2,0),"")</f>
        <v>MCI-01324</v>
      </c>
      <c r="L34" s="40" t="str" cm="1">
        <f t="array" ref="L34">IFERROR(INDEX(Interventions!$F$12:$F$178,MATCH(TRUE,INDEX(Interventions!$E$12:$E$178=$C34,0),0)),0)</f>
        <v>MCI-01404</v>
      </c>
      <c r="M34" s="15" t="str">
        <f>CLEAN(IFERROR(VLOOKUP($C34,Interventions!$E$1:$K$444,7,0),""))</f>
        <v>FunOpp_16:ActAre_429</v>
      </c>
      <c r="N34" s="15" t="str">
        <f>CLEAN(IF(C34="","",CONCATENATE(Modules!$B$8,PAAR!M34,Q34)))</f>
        <v>Geography_131/FundingOpportunity_16/FunOpp_16:ActAre_4296</v>
      </c>
      <c r="O34" s="70" t="str">
        <f>IFERROR(INDEX('Dropdown Data'!$D$33:$D$35,MATCH(A34,'Dropdown Data'!$B$33:$B$35,0)),IFERROR(INDEX('Dropdown Data'!$D$33:$D$35,MATCH(A34,'Dropdown Data'!$C$33:$C$35,0)),A34))</f>
        <v>High</v>
      </c>
      <c r="P34" s="70" t="str">
        <f>IFERROR(INDEX('Dropdown Data'!$D$33:$D$36,MATCH(G34,'Dropdown Data'!$B$33:$B$36,0)),IFERROR(INDEX('Dropdown Data'!$D$33:$D$36,MATCH(G34,'Dropdown Data'!$C$33:$C$36,0)),G34))</f>
        <v/>
      </c>
      <c r="Q34" s="71">
        <v>6</v>
      </c>
      <c r="R34" s="71" t="b">
        <f t="shared" si="0"/>
        <v>0</v>
      </c>
      <c r="S34" s="71">
        <f t="shared" si="1"/>
        <v>4</v>
      </c>
      <c r="T34" s="71" t="str">
        <f>IFERROR(VLOOKUP(B34,Modules!$E$11:$K$52,7,0),IFERROR(VLOOKUP(B34,Modules!$F$11:$K$52,6,0),VLOOKUP(B34,Modules!$G$11:$K$52,5,0)))</f>
        <v>MCI-01324</v>
      </c>
      <c r="U34" s="71">
        <f>IFERROR(MATCH(T34,Interventions!C:C,0),0)</f>
        <v>147</v>
      </c>
      <c r="V34" s="71" cm="1">
        <f t="array" ref="V34">SUM(U34,COUNTIF(ModuleStart,T34)-1)</f>
        <v>156</v>
      </c>
      <c r="W34" s="72">
        <f t="shared" si="2"/>
        <v>180000</v>
      </c>
      <c r="X34" s="72">
        <f t="shared" si="3"/>
        <v>180000</v>
      </c>
      <c r="Y34" s="82" t="str">
        <f>IF(AND(AE34="Continue",AG34="Continue"),VLOOKUP($B$10,Translation[],91,0),IF(AND(AE34&lt;&gt;"Continue",AG34="Continue"),AE34,IF(AND(AG34&lt;&gt;"Continue",AE34="Continue"),AG34,CONCATENATE(AE34,CHAR(10),AG34))))</f>
        <v>No error</v>
      </c>
      <c r="Z34" s="62" t="str">
        <f>IF(OR(AND($B34&lt;&gt;"",$K34=""),AND($C34&lt;&gt;"",$L34="")),VLOOKUP($B$10,Translation[],87,0),"Continue")</f>
        <v>Continue</v>
      </c>
      <c r="AA34" s="62" t="str">
        <f>IF(AND($B34 &lt;&gt; "",$K34&lt;&gt;""),IF($K34=_xlfn.XLOOKUP(L34,Interventions!$F$11:$F$179,Interventions!$C$11:$C$179,1,0,1),"Continue",VLOOKUP($B$10,Translation[],88,0)),"Continue")</f>
        <v>Continue</v>
      </c>
      <c r="AB34" s="9" t="str">
        <f>IFERROR(IF($A34&lt;&gt;"",IF($B$10="English", IF(MATCH($A34,'Dropdown Data'!$A$361:$A$363,0)&gt;0,"Continue"), IF($B$10="Français",IF(MATCH($A34,'Dropdown Data'!$B$361:$B$363,0)&gt;0,"Continue"), IF($B$10="Español",IF(MATCH($A34,'Dropdown Data'!$C$361:$C$363,0)&gt;0,"Continue"),VLOOKUP($B$10,Translation[],89,0)))),"Continue"),VLOOKUP($B$10,Translation[],89,0))</f>
        <v>Continue</v>
      </c>
      <c r="AC34" s="62" t="str">
        <f>IF(AND(NOT(ISBLANK($D34)),(NOT(ISNUMBER($D34)))),VLOOKUP($B$10,Translation[],90,0),"Continue")</f>
        <v>Continue</v>
      </c>
      <c r="AD34" s="62" t="str">
        <f xml:space="preserve"> IFERROR(IF(INT($D34) &lt;&gt; $D34, VLOOKUP($B$10,Translation[],92,0), "Continue"),"Continue")</f>
        <v>Continue</v>
      </c>
      <c r="AE34" s="62" t="str">
        <f t="shared" si="4"/>
        <v>Continue</v>
      </c>
      <c r="AF34" s="9" t="str">
        <f t="shared" si="5"/>
        <v>Continue</v>
      </c>
      <c r="AG34" s="9" t="str">
        <f t="shared" si="6"/>
        <v>Continue</v>
      </c>
    </row>
    <row r="35" spans="1:33" ht="45" x14ac:dyDescent="0.2">
      <c r="A35" s="83" t="s">
        <v>1416</v>
      </c>
      <c r="B35" s="84" t="s">
        <v>203</v>
      </c>
      <c r="C35" s="84" t="s">
        <v>1037</v>
      </c>
      <c r="D35" s="122">
        <v>150000</v>
      </c>
      <c r="E35" s="93">
        <f>IF(ISBLANK(D35),"",IF(IF(Modules!$D$4="EUR",W35*(Modules!$B$5),$W35)=0,0,IF(Modules!$D$4="EUR",W35*(Modules!$B$5),$W35)))</f>
        <v>150000</v>
      </c>
      <c r="F35" s="124" t="s">
        <v>2265</v>
      </c>
      <c r="G35" s="82" t="str">
        <f>IF(NOT(ISBLANK('PAAR (EN)'!$G35)),IF('PAAR (EN)'!$G35 &lt;&gt; "",IF(PAAR!$B$10="English",'PAAR (EN)'!$G35,IF(PAAR!$B$10="Français",_xlfn.XLOOKUP('PAAR (EN)'!$G35,'Dropdown Data'!$A$365:$A$368, 'Dropdown Data'!$B$365:$B$368,0,0,1),_xlfn.XLOOKUP('PAAR (EN)'!$G35,'Dropdown Data'!$A$365:$A$368,'Dropdown Data'!$C$365:$C$368,0,0,1))),""),"")</f>
        <v/>
      </c>
      <c r="H35" s="92" t="str">
        <f>IF('PAAR (EN)'!$H35 &lt;&gt;"", 'PAAR (EN)'!$H35, "")</f>
        <v/>
      </c>
      <c r="I35" s="89" t="str">
        <f>IF('PAAR (EN)'!$I35 &lt;&gt; "", 'PAAR (EN)'!$I35, "")</f>
        <v/>
      </c>
      <c r="J35" s="15"/>
      <c r="K35" s="42" t="str">
        <f>IFERROR(VLOOKUP(B35,Modules!C:D,2,0),"")</f>
        <v>MCI-01327</v>
      </c>
      <c r="L35" s="40" t="str" cm="1">
        <f t="array" ref="L35">IFERROR(INDEX(Interventions!$F$12:$F$178,MATCH(TRUE,INDEX(Interventions!$E$12:$E$178=$C35,0),0)),0)</f>
        <v>MCI-01428</v>
      </c>
      <c r="M35" s="15" t="str">
        <f>CLEAN(IFERROR(VLOOKUP($C35,Interventions!$E$1:$K$444,7,0),""))</f>
        <v>FunOpp_16:ActAre_520</v>
      </c>
      <c r="N35" s="15" t="str">
        <f>CLEAN(IF(C35="","",CONCATENATE(Modules!$B$8,PAAR!M35,Q35)))</f>
        <v>Geography_131/FundingOpportunity_16/FunOpp_16:ActAre_5207</v>
      </c>
      <c r="O35" s="70" t="str">
        <f>IFERROR(INDEX('Dropdown Data'!$D$33:$D$35,MATCH(A35,'Dropdown Data'!$B$33:$B$35,0)),IFERROR(INDEX('Dropdown Data'!$D$33:$D$35,MATCH(A35,'Dropdown Data'!$C$33:$C$35,0)),A35))</f>
        <v>High</v>
      </c>
      <c r="P35" s="70" t="str">
        <f>IFERROR(INDEX('Dropdown Data'!$D$33:$D$36,MATCH(G35,'Dropdown Data'!$B$33:$B$36,0)),IFERROR(INDEX('Dropdown Data'!$D$33:$D$36,MATCH(G35,'Dropdown Data'!$C$33:$C$36,0)),G35))</f>
        <v/>
      </c>
      <c r="Q35" s="71">
        <v>7</v>
      </c>
      <c r="R35" s="71" t="b">
        <f t="shared" si="0"/>
        <v>0</v>
      </c>
      <c r="S35" s="71">
        <f t="shared" si="1"/>
        <v>4</v>
      </c>
      <c r="T35" s="71" t="str">
        <f>IFERROR(VLOOKUP(B35,Modules!$E$11:$K$52,7,0),IFERROR(VLOOKUP(B35,Modules!$F$11:$K$52,6,0),VLOOKUP(B35,Modules!$G$11:$K$52,5,0)))</f>
        <v>MCI-01327</v>
      </c>
      <c r="U35" s="71">
        <f>IFERROR(MATCH(T35,Interventions!C:C,0),0)</f>
        <v>169</v>
      </c>
      <c r="V35" s="71" cm="1">
        <f t="array" ref="V35">SUM(U35,COUNTIF(ModuleStart,T35)-1)</f>
        <v>177</v>
      </c>
      <c r="W35" s="72">
        <f t="shared" si="2"/>
        <v>150000</v>
      </c>
      <c r="X35" s="72">
        <f t="shared" si="3"/>
        <v>150000</v>
      </c>
      <c r="Y35" s="82" t="str">
        <f>IF(AND(AE35="Continue",AG35="Continue"),VLOOKUP($B$10,Translation[],91,0),IF(AND(AE35&lt;&gt;"Continue",AG35="Continue"),AE35,IF(AND(AG35&lt;&gt;"Continue",AE35="Continue"),AG35,CONCATENATE(AE35,CHAR(10),AG35))))</f>
        <v>No error</v>
      </c>
      <c r="Z35" s="62" t="str">
        <f>IF(OR(AND($B35&lt;&gt;"",$K35=""),AND($C35&lt;&gt;"",$L35="")),VLOOKUP($B$10,Translation[],87,0),"Continue")</f>
        <v>Continue</v>
      </c>
      <c r="AA35" s="62" t="str">
        <f>IF(AND($B35 &lt;&gt; "",$K35&lt;&gt;""),IF($K35=_xlfn.XLOOKUP(L35,Interventions!$F$11:$F$179,Interventions!$C$11:$C$179,1,0,1),"Continue",VLOOKUP($B$10,Translation[],88,0)),"Continue")</f>
        <v>Continue</v>
      </c>
      <c r="AB35" s="9" t="str">
        <f>IFERROR(IF($A35&lt;&gt;"",IF($B$10="English", IF(MATCH($A35,'Dropdown Data'!$A$361:$A$363,0)&gt;0,"Continue"), IF($B$10="Français",IF(MATCH($A35,'Dropdown Data'!$B$361:$B$363,0)&gt;0,"Continue"), IF($B$10="Español",IF(MATCH($A35,'Dropdown Data'!$C$361:$C$363,0)&gt;0,"Continue"),VLOOKUP($B$10,Translation[],89,0)))),"Continue"),VLOOKUP($B$10,Translation[],89,0))</f>
        <v>Continue</v>
      </c>
      <c r="AC35" s="62" t="str">
        <f>IF(AND(NOT(ISBLANK($D35)),(NOT(ISNUMBER($D35)))),VLOOKUP($B$10,Translation[],90,0),"Continue")</f>
        <v>Continue</v>
      </c>
      <c r="AD35" s="62" t="str">
        <f xml:space="preserve"> IFERROR(IF(INT($D35) &lt;&gt; $D35, VLOOKUP($B$10,Translation[],92,0), "Continue"),"Continue")</f>
        <v>Continue</v>
      </c>
      <c r="AE35" s="62" t="str">
        <f t="shared" si="4"/>
        <v>Continue</v>
      </c>
      <c r="AF35" s="9" t="str">
        <f t="shared" si="5"/>
        <v>Continue</v>
      </c>
      <c r="AG35" s="9" t="str">
        <f t="shared" si="6"/>
        <v>Continue</v>
      </c>
    </row>
    <row r="36" spans="1:33" ht="105" x14ac:dyDescent="0.2">
      <c r="A36" s="83" t="s">
        <v>1416</v>
      </c>
      <c r="B36" s="84" t="s">
        <v>203</v>
      </c>
      <c r="C36" s="84" t="s">
        <v>1037</v>
      </c>
      <c r="D36" s="122">
        <v>120000</v>
      </c>
      <c r="E36" s="93">
        <f>IF(ISBLANK(D36),"",IF(IF(Modules!$D$4="EUR",W36*(Modules!$B$5),$W36)=0,0,IF(Modules!$D$4="EUR",W36*(Modules!$B$5),$W36)))</f>
        <v>120000</v>
      </c>
      <c r="F36" s="124" t="s">
        <v>2266</v>
      </c>
      <c r="G36" s="82" t="str">
        <f>IF(NOT(ISBLANK('PAAR (EN)'!$G36)),IF('PAAR (EN)'!$G36 &lt;&gt; "",IF(PAAR!$B$10="English",'PAAR (EN)'!$G36,IF(PAAR!$B$10="Français",_xlfn.XLOOKUP('PAAR (EN)'!$G36,'Dropdown Data'!$A$365:$A$368, 'Dropdown Data'!$B$365:$B$368,0,0,1),_xlfn.XLOOKUP('PAAR (EN)'!$G36,'Dropdown Data'!$A$365:$A$368,'Dropdown Data'!$C$365:$C$368,0,0,1))),""),"")</f>
        <v/>
      </c>
      <c r="H36" s="92" t="str">
        <f>IF('PAAR (EN)'!$H36 &lt;&gt;"", 'PAAR (EN)'!$H36, "")</f>
        <v/>
      </c>
      <c r="I36" s="89" t="str">
        <f>IF('PAAR (EN)'!$I36 &lt;&gt; "", 'PAAR (EN)'!$I36, "")</f>
        <v/>
      </c>
      <c r="J36" s="15"/>
      <c r="K36" s="42" t="str">
        <f>IFERROR(VLOOKUP(B36,Modules!C:D,2,0),"")</f>
        <v>MCI-01327</v>
      </c>
      <c r="L36" s="40" t="str" cm="1">
        <f t="array" ref="L36">IFERROR(INDEX(Interventions!$F$12:$F$178,MATCH(TRUE,INDEX(Interventions!$E$12:$E$178=$C36,0),0)),0)</f>
        <v>MCI-01428</v>
      </c>
      <c r="M36" s="15" t="str">
        <f>CLEAN(IFERROR(VLOOKUP($C36,Interventions!$E$1:$K$444,7,0),""))</f>
        <v>FunOpp_16:ActAre_520</v>
      </c>
      <c r="N36" s="15" t="str">
        <f>CLEAN(IF(C36="","",CONCATENATE(Modules!$B$8,PAAR!M36,Q36)))</f>
        <v>Geography_131/FundingOpportunity_16/FunOpp_16:ActAre_5208</v>
      </c>
      <c r="O36" s="70" t="str">
        <f>IFERROR(INDEX('Dropdown Data'!$D$33:$D$35,MATCH(A36,'Dropdown Data'!$B$33:$B$35,0)),IFERROR(INDEX('Dropdown Data'!$D$33:$D$35,MATCH(A36,'Dropdown Data'!$C$33:$C$35,0)),A36))</f>
        <v>High</v>
      </c>
      <c r="P36" s="70" t="str">
        <f>IFERROR(INDEX('Dropdown Data'!$D$33:$D$36,MATCH(G36,'Dropdown Data'!$B$33:$B$36,0)),IFERROR(INDEX('Dropdown Data'!$D$33:$D$36,MATCH(G36,'Dropdown Data'!$C$33:$C$36,0)),G36))</f>
        <v/>
      </c>
      <c r="Q36" s="71">
        <v>8</v>
      </c>
      <c r="R36" s="71" t="b">
        <f t="shared" si="0"/>
        <v>0</v>
      </c>
      <c r="S36" s="71">
        <f t="shared" si="1"/>
        <v>4</v>
      </c>
      <c r="T36" s="71" t="str">
        <f>IFERROR(VLOOKUP(B36,Modules!$E$11:$K$52,7,0),IFERROR(VLOOKUP(B36,Modules!$F$11:$K$52,6,0),VLOOKUP(B36,Modules!$G$11:$K$52,5,0)))</f>
        <v>MCI-01327</v>
      </c>
      <c r="U36" s="71">
        <f>IFERROR(MATCH(T36,Interventions!C:C,0),0)</f>
        <v>169</v>
      </c>
      <c r="V36" s="71" cm="1">
        <f t="array" ref="V36">SUM(U36,COUNTIF(ModuleStart,T36)-1)</f>
        <v>177</v>
      </c>
      <c r="W36" s="72">
        <f t="shared" si="2"/>
        <v>120000</v>
      </c>
      <c r="X36" s="72">
        <f t="shared" si="3"/>
        <v>120000</v>
      </c>
      <c r="Y36" s="82" t="str">
        <f>IF(AND(AE36="Continue",AG36="Continue"),VLOOKUP($B$10,Translation[],91,0),IF(AND(AE36&lt;&gt;"Continue",AG36="Continue"),AE36,IF(AND(AG36&lt;&gt;"Continue",AE36="Continue"),AG36,CONCATENATE(AE36,CHAR(10),AG36))))</f>
        <v>No error</v>
      </c>
      <c r="Z36" s="62" t="str">
        <f>IF(OR(AND($B36&lt;&gt;"",$K36=""),AND($C36&lt;&gt;"",$L36="")),VLOOKUP($B$10,Translation[],87,0),"Continue")</f>
        <v>Continue</v>
      </c>
      <c r="AA36" s="62" t="str">
        <f>IF(AND($B36 &lt;&gt; "",$K36&lt;&gt;""),IF($K36=_xlfn.XLOOKUP(L36,Interventions!$F$11:$F$179,Interventions!$C$11:$C$179,1,0,1),"Continue",VLOOKUP($B$10,Translation[],88,0)),"Continue")</f>
        <v>Continue</v>
      </c>
      <c r="AB36" s="9" t="str">
        <f>IFERROR(IF($A36&lt;&gt;"",IF($B$10="English", IF(MATCH($A36,'Dropdown Data'!$A$361:$A$363,0)&gt;0,"Continue"), IF($B$10="Français",IF(MATCH($A36,'Dropdown Data'!$B$361:$B$363,0)&gt;0,"Continue"), IF($B$10="Español",IF(MATCH($A36,'Dropdown Data'!$C$361:$C$363,0)&gt;0,"Continue"),VLOOKUP($B$10,Translation[],89,0)))),"Continue"),VLOOKUP($B$10,Translation[],89,0))</f>
        <v>Continue</v>
      </c>
      <c r="AC36" s="62" t="str">
        <f>IF(AND(NOT(ISBLANK($D36)),(NOT(ISNUMBER($D36)))),VLOOKUP($B$10,Translation[],90,0),"Continue")</f>
        <v>Continue</v>
      </c>
      <c r="AD36" s="62" t="str">
        <f xml:space="preserve"> IFERROR(IF(INT($D36) &lt;&gt; $D36, VLOOKUP($B$10,Translation[],92,0), "Continue"),"Continue")</f>
        <v>Continue</v>
      </c>
      <c r="AE36" s="62" t="str">
        <f t="shared" si="4"/>
        <v>Continue</v>
      </c>
      <c r="AF36" s="9" t="str">
        <f t="shared" si="5"/>
        <v>Continue</v>
      </c>
      <c r="AG36" s="9" t="str">
        <f t="shared" si="6"/>
        <v>Continue</v>
      </c>
    </row>
    <row r="37" spans="1:33" ht="45" customHeight="1" x14ac:dyDescent="0.2">
      <c r="A37" s="83" t="s">
        <v>1416</v>
      </c>
      <c r="B37" s="84" t="s">
        <v>195</v>
      </c>
      <c r="C37" s="84" t="s">
        <v>970</v>
      </c>
      <c r="D37" s="122">
        <v>70000</v>
      </c>
      <c r="E37" s="93">
        <f>IF(ISBLANK(D37),"",IF(IF(Modules!$D$4="EUR",W37*(Modules!$B$5),$W37)=0,0,IF(Modules!$D$4="EUR",W37*(Modules!$B$5),$W37)))</f>
        <v>70000</v>
      </c>
      <c r="F37" s="124" t="s">
        <v>2275</v>
      </c>
      <c r="G37" s="82" t="str">
        <f>IF(NOT(ISBLANK('PAAR (EN)'!$G37)),IF('PAAR (EN)'!$G37 &lt;&gt; "",IF(PAAR!$B$10="English",'PAAR (EN)'!$G37,IF(PAAR!$B$10="Français",_xlfn.XLOOKUP('PAAR (EN)'!$G37,'Dropdown Data'!$A$365:$A$368, 'Dropdown Data'!$B$365:$B$368,0,0,1),_xlfn.XLOOKUP('PAAR (EN)'!$G37,'Dropdown Data'!$A$365:$A$368,'Dropdown Data'!$C$365:$C$368,0,0,1))),""),"")</f>
        <v/>
      </c>
      <c r="H37" s="92" t="str">
        <f>IF('PAAR (EN)'!$H37 &lt;&gt;"", 'PAAR (EN)'!$H37, "")</f>
        <v/>
      </c>
      <c r="I37" s="89" t="str">
        <f>IF('PAAR (EN)'!$I37 &lt;&gt; "", 'PAAR (EN)'!$I37, "")</f>
        <v/>
      </c>
      <c r="J37" s="15"/>
      <c r="K37" s="42" t="str">
        <f>IFERROR(VLOOKUP(B37,Modules!C:D,2,0),"")</f>
        <v>MCI-01325</v>
      </c>
      <c r="L37" s="40" t="str" cm="1">
        <f t="array" ref="L37">IFERROR(INDEX(Interventions!$F$12:$F$178,MATCH(TRUE,INDEX(Interventions!$E$12:$E$178=$C37,0),0)),0)</f>
        <v>MCI-01486</v>
      </c>
      <c r="M37" s="15" t="str">
        <f>CLEAN(IFERROR(VLOOKUP($C37,Interventions!$E$1:$K$444,7,0),""))</f>
        <v>FunOpp_16:ActAre_449</v>
      </c>
      <c r="N37" s="15" t="str">
        <f>CLEAN(IF(C37="","",CONCATENATE(Modules!$B$8,PAAR!M37,Q37)))</f>
        <v>Geography_131/FundingOpportunity_16/FunOpp_16:ActAre_4499</v>
      </c>
      <c r="O37" s="70" t="str">
        <f>IFERROR(INDEX('Dropdown Data'!$D$33:$D$35,MATCH(A37,'Dropdown Data'!$B$33:$B$35,0)),IFERROR(INDEX('Dropdown Data'!$D$33:$D$35,MATCH(A37,'Dropdown Data'!$C$33:$C$35,0)),A37))</f>
        <v>High</v>
      </c>
      <c r="P37" s="70" t="str">
        <f>IFERROR(INDEX('Dropdown Data'!$D$33:$D$36,MATCH(G37,'Dropdown Data'!$B$33:$B$36,0)),IFERROR(INDEX('Dropdown Data'!$D$33:$D$36,MATCH(G37,'Dropdown Data'!$C$33:$C$36,0)),G37))</f>
        <v/>
      </c>
      <c r="Q37" s="71">
        <v>9</v>
      </c>
      <c r="R37" s="71" t="b">
        <f t="shared" si="0"/>
        <v>0</v>
      </c>
      <c r="S37" s="71">
        <f t="shared" si="1"/>
        <v>4</v>
      </c>
      <c r="T37" s="71" t="str">
        <f>IFERROR(VLOOKUP(B37,Modules!$E$11:$K$52,7,0),IFERROR(VLOOKUP(B37,Modules!$F$11:$K$52,6,0),VLOOKUP(B37,Modules!$G$11:$K$52,5,0)))</f>
        <v>MCI-01325</v>
      </c>
      <c r="U37" s="71">
        <f>IFERROR(MATCH(T37,Interventions!C:C,0),0)</f>
        <v>157</v>
      </c>
      <c r="V37" s="71" cm="1">
        <f t="array" ref="V37">SUM(U37,COUNTIF(ModuleStart,T37)-1)</f>
        <v>164</v>
      </c>
      <c r="W37" s="72">
        <f t="shared" si="2"/>
        <v>70000</v>
      </c>
      <c r="X37" s="72">
        <f t="shared" si="3"/>
        <v>70000</v>
      </c>
      <c r="Y37" s="82" t="str">
        <f>IF(AND(AE37="Continue",AG37="Continue"),VLOOKUP($B$10,Translation[],91,0),IF(AND(AE37&lt;&gt;"Continue",AG37="Continue"),AE37,IF(AND(AG37&lt;&gt;"Continue",AE37="Continue"),AG37,CONCATENATE(AE37,CHAR(10),AG37))))</f>
        <v>No error</v>
      </c>
      <c r="Z37" s="62" t="str">
        <f>IF(OR(AND($B37&lt;&gt;"",$K37=""),AND($C37&lt;&gt;"",$L37="")),VLOOKUP($B$10,Translation[],87,0),"Continue")</f>
        <v>Continue</v>
      </c>
      <c r="AA37" s="62" t="str">
        <f>IF(AND($B37 &lt;&gt; "",$K37&lt;&gt;""),IF($K37=_xlfn.XLOOKUP(L37,Interventions!$F$11:$F$179,Interventions!$C$11:$C$179,1,0,1),"Continue",VLOOKUP($B$10,Translation[],88,0)),"Continue")</f>
        <v>Continue</v>
      </c>
      <c r="AB37" s="9" t="str">
        <f>IFERROR(IF($A37&lt;&gt;"",IF($B$10="English", IF(MATCH($A37,'Dropdown Data'!$A$361:$A$363,0)&gt;0,"Continue"), IF($B$10="Français",IF(MATCH($A37,'Dropdown Data'!$B$361:$B$363,0)&gt;0,"Continue"), IF($B$10="Español",IF(MATCH($A37,'Dropdown Data'!$C$361:$C$363,0)&gt;0,"Continue"),VLOOKUP($B$10,Translation[],89,0)))),"Continue"),VLOOKUP($B$10,Translation[],89,0))</f>
        <v>Continue</v>
      </c>
      <c r="AC37" s="62" t="str">
        <f>IF(AND(NOT(ISBLANK($D37)),(NOT(ISNUMBER($D37)))),VLOOKUP($B$10,Translation[],90,0),"Continue")</f>
        <v>Continue</v>
      </c>
      <c r="AD37" s="62" t="str">
        <f xml:space="preserve"> IFERROR(IF(INT($D37) &lt;&gt; $D37, VLOOKUP($B$10,Translation[],92,0), "Continue"),"Continue")</f>
        <v>Continue</v>
      </c>
      <c r="AE37" s="62" t="str">
        <f t="shared" si="4"/>
        <v>Continue</v>
      </c>
      <c r="AF37" s="9" t="str">
        <f t="shared" si="5"/>
        <v>Continue</v>
      </c>
      <c r="AG37" s="9" t="str">
        <f t="shared" si="6"/>
        <v>Continue</v>
      </c>
    </row>
    <row r="38" spans="1:33" ht="45" x14ac:dyDescent="0.2">
      <c r="A38" s="83" t="s">
        <v>1416</v>
      </c>
      <c r="B38" s="84" t="s">
        <v>183</v>
      </c>
      <c r="C38" s="84" t="s">
        <v>867</v>
      </c>
      <c r="D38" s="122">
        <v>50000</v>
      </c>
      <c r="E38" s="93">
        <f>IF(ISBLANK(D38),"",IF(IF(Modules!$D$4="EUR",W38*(Modules!$B$5),$W38)=0,0,IF(Modules!$D$4="EUR",W38*(Modules!$B$5),$W38)))</f>
        <v>50000</v>
      </c>
      <c r="F38" s="124" t="s">
        <v>2268</v>
      </c>
      <c r="G38" s="82" t="str">
        <f>IF(NOT(ISBLANK('PAAR (EN)'!$G38)),IF('PAAR (EN)'!$G38 &lt;&gt; "",IF(PAAR!$B$10="English",'PAAR (EN)'!$G38,IF(PAAR!$B$10="Français",_xlfn.XLOOKUP('PAAR (EN)'!$G38,'Dropdown Data'!$A$365:$A$368, 'Dropdown Data'!$B$365:$B$368,0,0,1),_xlfn.XLOOKUP('PAAR (EN)'!$G38,'Dropdown Data'!$A$365:$A$368,'Dropdown Data'!$C$365:$C$368,0,0,1))),""),"")</f>
        <v/>
      </c>
      <c r="H38" s="92" t="str">
        <f>IF('PAAR (EN)'!$H38 &lt;&gt;"", 'PAAR (EN)'!$H38, "")</f>
        <v/>
      </c>
      <c r="I38" s="89" t="str">
        <f>IF('PAAR (EN)'!$I38 &lt;&gt; "", 'PAAR (EN)'!$I38, "")</f>
        <v/>
      </c>
      <c r="J38" s="15"/>
      <c r="K38" s="42" t="str">
        <f>IFERROR(VLOOKUP(B38,Modules!C:D,2,0),"")</f>
        <v>MCI-01322</v>
      </c>
      <c r="L38" s="40" t="str" cm="1">
        <f t="array" ref="L38">IFERROR(INDEX(Interventions!$F$12:$F$178,MATCH(TRUE,INDEX(Interventions!$E$12:$E$178=$C38,0),0)),0)</f>
        <v>MCI-01420</v>
      </c>
      <c r="M38" s="15" t="str">
        <f>CLEAN(IFERROR(VLOOKUP($C38,Interventions!$E$1:$K$444,7,0),""))</f>
        <v>FunOpp_16:ActAre_527</v>
      </c>
      <c r="N38" s="15" t="str">
        <f>CLEAN(IF(C38="","",CONCATENATE(Modules!$B$8,PAAR!M38,Q38)))</f>
        <v>Geography_131/FundingOpportunity_16/FunOpp_16:ActAre_52710</v>
      </c>
      <c r="O38" s="70" t="str">
        <f>IFERROR(INDEX('Dropdown Data'!$D$33:$D$35,MATCH(A38,'Dropdown Data'!$B$33:$B$35,0)),IFERROR(INDEX('Dropdown Data'!$D$33:$D$35,MATCH(A38,'Dropdown Data'!$C$33:$C$35,0)),A38))</f>
        <v>High</v>
      </c>
      <c r="P38" s="70" t="str">
        <f>IFERROR(INDEX('Dropdown Data'!$D$33:$D$36,MATCH(G38,'Dropdown Data'!$B$33:$B$36,0)),IFERROR(INDEX('Dropdown Data'!$D$33:$D$36,MATCH(G38,'Dropdown Data'!$C$33:$C$36,0)),G38))</f>
        <v/>
      </c>
      <c r="Q38" s="71">
        <v>10</v>
      </c>
      <c r="R38" s="71" t="b">
        <f t="shared" si="0"/>
        <v>0</v>
      </c>
      <c r="S38" s="71">
        <f t="shared" si="1"/>
        <v>4</v>
      </c>
      <c r="T38" s="71" t="str">
        <f>IFERROR(VLOOKUP(B38,Modules!$E$11:$K$52,7,0),IFERROR(VLOOKUP(B38,Modules!$F$11:$K$52,6,0),VLOOKUP(B38,Modules!$G$11:$K$52,5,0)))</f>
        <v>MCI-01322</v>
      </c>
      <c r="U38" s="71">
        <f>IFERROR(MATCH(T38,Interventions!C:C,0),0)</f>
        <v>133</v>
      </c>
      <c r="V38" s="71" cm="1">
        <f t="array" ref="V38">SUM(U38,COUNTIF(ModuleStart,T38)-1)</f>
        <v>139</v>
      </c>
      <c r="W38" s="72">
        <f t="shared" si="2"/>
        <v>50000</v>
      </c>
      <c r="X38" s="72">
        <f t="shared" si="3"/>
        <v>50000</v>
      </c>
      <c r="Y38" s="82" t="str">
        <f>IF(AND(AE38="Continue",AG38="Continue"),VLOOKUP($B$10,Translation[],91,0),IF(AND(AE38&lt;&gt;"Continue",AG38="Continue"),AE38,IF(AND(AG38&lt;&gt;"Continue",AE38="Continue"),AG38,CONCATENATE(AE38,CHAR(10),AG38))))</f>
        <v>No error</v>
      </c>
      <c r="Z38" s="62" t="str">
        <f>IF(OR(AND($B38&lt;&gt;"",$K38=""),AND($C38&lt;&gt;"",$L38="")),VLOOKUP($B$10,Translation[],87,0),"Continue")</f>
        <v>Continue</v>
      </c>
      <c r="AA38" s="62" t="str">
        <f>IF(AND($B38 &lt;&gt; "",$K38&lt;&gt;""),IF($K38=_xlfn.XLOOKUP(L38,Interventions!$F$11:$F$179,Interventions!$C$11:$C$179,1,0,1),"Continue",VLOOKUP($B$10,Translation[],88,0)),"Continue")</f>
        <v>Continue</v>
      </c>
      <c r="AB38" s="9" t="str">
        <f>IFERROR(IF($A38&lt;&gt;"",IF($B$10="English", IF(MATCH($A38,'Dropdown Data'!$A$361:$A$363,0)&gt;0,"Continue"), IF($B$10="Français",IF(MATCH($A38,'Dropdown Data'!$B$361:$B$363,0)&gt;0,"Continue"), IF($B$10="Español",IF(MATCH($A38,'Dropdown Data'!$C$361:$C$363,0)&gt;0,"Continue"),VLOOKUP($B$10,Translation[],89,0)))),"Continue"),VLOOKUP($B$10,Translation[],89,0))</f>
        <v>Continue</v>
      </c>
      <c r="AC38" s="62" t="str">
        <f>IF(AND(NOT(ISBLANK($D38)),(NOT(ISNUMBER($D38)))),VLOOKUP($B$10,Translation[],90,0),"Continue")</f>
        <v>Continue</v>
      </c>
      <c r="AD38" s="62" t="str">
        <f xml:space="preserve"> IFERROR(IF(INT($D38) &lt;&gt; $D38, VLOOKUP($B$10,Translation[],92,0), "Continue"),"Continue")</f>
        <v>Continue</v>
      </c>
      <c r="AE38" s="62" t="str">
        <f t="shared" si="4"/>
        <v>Continue</v>
      </c>
      <c r="AF38" s="9" t="str">
        <f t="shared" si="5"/>
        <v>Continue</v>
      </c>
      <c r="AG38" s="9" t="str">
        <f t="shared" si="6"/>
        <v>Continue</v>
      </c>
    </row>
    <row r="39" spans="1:33" ht="45" x14ac:dyDescent="0.2">
      <c r="A39" s="83" t="s">
        <v>1416</v>
      </c>
      <c r="B39" s="84" t="s">
        <v>156</v>
      </c>
      <c r="C39" s="84" t="s">
        <v>656</v>
      </c>
      <c r="D39" s="122">
        <v>6444</v>
      </c>
      <c r="E39" s="93">
        <f>IF(ISBLANK(D39),"",IF(IF(Modules!$D$4="EUR",W39*(Modules!$B$5),$W39)=0,0,IF(Modules!$D$4="EUR",W39*(Modules!$B$5),$W39)))</f>
        <v>6444</v>
      </c>
      <c r="F39" s="124" t="s">
        <v>2276</v>
      </c>
      <c r="G39" s="82" t="str">
        <f>IF(NOT(ISBLANK('PAAR (EN)'!$G39)),IF('PAAR (EN)'!$G39 &lt;&gt; "",IF(PAAR!$B$10="English",'PAAR (EN)'!$G39,IF(PAAR!$B$10="Français",_xlfn.XLOOKUP('PAAR (EN)'!$G39,'Dropdown Data'!$A$365:$A$368, 'Dropdown Data'!$B$365:$B$368,0,0,1),_xlfn.XLOOKUP('PAAR (EN)'!$G39,'Dropdown Data'!$A$365:$A$368,'Dropdown Data'!$C$365:$C$368,0,0,1))),""),"")</f>
        <v/>
      </c>
      <c r="H39" s="92" t="str">
        <f>IF('PAAR (EN)'!$H39 &lt;&gt;"", 'PAAR (EN)'!$H39, "")</f>
        <v/>
      </c>
      <c r="I39" s="89" t="str">
        <f>IF('PAAR (EN)'!$I39 &lt;&gt; "", 'PAAR (EN)'!$I39, "")</f>
        <v/>
      </c>
      <c r="J39" s="15"/>
      <c r="K39" s="42" t="str">
        <f>IFERROR(VLOOKUP(B39,Modules!C:D,2,0),"")</f>
        <v>MCI-01310</v>
      </c>
      <c r="L39" s="40" t="str" cm="1">
        <f t="array" ref="L39">IFERROR(INDEX(Interventions!$F$12:$F$178,MATCH(TRUE,INDEX(Interventions!$E$12:$E$178=$C39,0),0)),0)</f>
        <v>MCI-01508</v>
      </c>
      <c r="M39" s="15" t="str">
        <f>CLEAN(IFERROR(VLOOKUP($C39,Interventions!$E$1:$K$444,7,0),""))</f>
        <v>FunOpp_16:ActAre_538</v>
      </c>
      <c r="N39" s="15" t="str">
        <f>CLEAN(IF(C39="","",CONCATENATE(Modules!$B$8,PAAR!M39,Q39)))</f>
        <v>Geography_131/FundingOpportunity_16/FunOpp_16:ActAre_53811</v>
      </c>
      <c r="O39" s="70" t="str">
        <f>IFERROR(INDEX('Dropdown Data'!$D$33:$D$35,MATCH(A39,'Dropdown Data'!$B$33:$B$35,0)),IFERROR(INDEX('Dropdown Data'!$D$33:$D$35,MATCH(A39,'Dropdown Data'!$C$33:$C$35,0)),A39))</f>
        <v>High</v>
      </c>
      <c r="P39" s="70" t="str">
        <f>IFERROR(INDEX('Dropdown Data'!$D$33:$D$36,MATCH(G39,'Dropdown Data'!$B$33:$B$36,0)),IFERROR(INDEX('Dropdown Data'!$D$33:$D$36,MATCH(G39,'Dropdown Data'!$C$33:$C$36,0)),G39))</f>
        <v/>
      </c>
      <c r="Q39" s="71">
        <v>11</v>
      </c>
      <c r="R39" s="71" t="b">
        <f t="shared" si="0"/>
        <v>0</v>
      </c>
      <c r="S39" s="71">
        <f t="shared" si="1"/>
        <v>4</v>
      </c>
      <c r="T39" s="71" t="str">
        <f>IFERROR(VLOOKUP(B39,Modules!$E$11:$K$52,7,0),IFERROR(VLOOKUP(B39,Modules!$F$11:$K$52,6,0),VLOOKUP(B39,Modules!$G$11:$K$52,5,0)))</f>
        <v>MCI-01310</v>
      </c>
      <c r="U39" s="71">
        <f>IFERROR(MATCH(T39,Interventions!C:C,0),0)</f>
        <v>96</v>
      </c>
      <c r="V39" s="71" cm="1">
        <f t="array" ref="V39">SUM(U39,COUNTIF(ModuleStart,T39)-1)</f>
        <v>98</v>
      </c>
      <c r="W39" s="72">
        <f t="shared" si="2"/>
        <v>6444</v>
      </c>
      <c r="X39" s="72">
        <f t="shared" si="3"/>
        <v>6444</v>
      </c>
      <c r="Y39" s="82" t="str">
        <f>IF(AND(AE39="Continue",AG39="Continue"),VLOOKUP($B$10,Translation[],91,0),IF(AND(AE39&lt;&gt;"Continue",AG39="Continue"),AE39,IF(AND(AG39&lt;&gt;"Continue",AE39="Continue"),AG39,CONCATENATE(AE39,CHAR(10),AG39))))</f>
        <v>No error</v>
      </c>
      <c r="Z39" s="62" t="str">
        <f>IF(OR(AND($B39&lt;&gt;"",$K39=""),AND($C39&lt;&gt;"",$L39="")),VLOOKUP($B$10,Translation[],87,0),"Continue")</f>
        <v>Continue</v>
      </c>
      <c r="AA39" s="62" t="str">
        <f>IF(AND($B39 &lt;&gt; "",$K39&lt;&gt;""),IF($K39=_xlfn.XLOOKUP(L39,Interventions!$F$11:$F$179,Interventions!$C$11:$C$179,1,0,1),"Continue",VLOOKUP($B$10,Translation[],88,0)),"Continue")</f>
        <v>Continue</v>
      </c>
      <c r="AB39" s="9" t="str">
        <f>IFERROR(IF($A39&lt;&gt;"",IF($B$10="English", IF(MATCH($A39,'Dropdown Data'!$A$361:$A$363,0)&gt;0,"Continue"), IF($B$10="Français",IF(MATCH($A39,'Dropdown Data'!$B$361:$B$363,0)&gt;0,"Continue"), IF($B$10="Español",IF(MATCH($A39,'Dropdown Data'!$C$361:$C$363,0)&gt;0,"Continue"),VLOOKUP($B$10,Translation[],89,0)))),"Continue"),VLOOKUP($B$10,Translation[],89,0))</f>
        <v>Continue</v>
      </c>
      <c r="AC39" s="62" t="str">
        <f>IF(AND(NOT(ISBLANK($D39)),(NOT(ISNUMBER($D39)))),VLOOKUP($B$10,Translation[],90,0),"Continue")</f>
        <v>Continue</v>
      </c>
      <c r="AD39" s="62" t="str">
        <f xml:space="preserve"> IFERROR(IF(INT($D39) &lt;&gt; $D39, VLOOKUP($B$10,Translation[],92,0), "Continue"),"Continue")</f>
        <v>Continue</v>
      </c>
      <c r="AE39" s="62" t="str">
        <f t="shared" si="4"/>
        <v>Continue</v>
      </c>
      <c r="AF39" s="9" t="str">
        <f t="shared" si="5"/>
        <v>Continue</v>
      </c>
      <c r="AG39" s="9" t="str">
        <f t="shared" si="6"/>
        <v>Continue</v>
      </c>
    </row>
    <row r="40" spans="1:33" ht="45" customHeight="1" x14ac:dyDescent="0.2">
      <c r="A40" s="83" t="s">
        <v>1421</v>
      </c>
      <c r="B40" s="84" t="s">
        <v>111</v>
      </c>
      <c r="C40" s="84" t="s">
        <v>323</v>
      </c>
      <c r="D40" s="122">
        <v>4200000</v>
      </c>
      <c r="E40" s="93">
        <f>IF(ISBLANK(D40),"",IF(IF(Modules!$D$4="EUR",W40*(Modules!$B$5),$W40)=0,0,IF(Modules!$D$4="EUR",W40*(Modules!$B$5),$W40)))</f>
        <v>4200000</v>
      </c>
      <c r="F40" s="124" t="s">
        <v>2269</v>
      </c>
      <c r="G40" s="82" t="str">
        <f>IF(NOT(ISBLANK('PAAR (EN)'!$G40)),IF('PAAR (EN)'!$G40 &lt;&gt; "",IF(PAAR!$B$10="English",'PAAR (EN)'!$G40,IF(PAAR!$B$10="Français",_xlfn.XLOOKUP('PAAR (EN)'!$G40,'Dropdown Data'!$A$365:$A$368, 'Dropdown Data'!$B$365:$B$368,0,0,1),_xlfn.XLOOKUP('PAAR (EN)'!$G40,'Dropdown Data'!$A$365:$A$368,'Dropdown Data'!$C$365:$C$368,0,0,1))),""),"")</f>
        <v/>
      </c>
      <c r="H40" s="92" t="str">
        <f>IF('PAAR (EN)'!$H40 &lt;&gt;"", 'PAAR (EN)'!$H40, "")</f>
        <v/>
      </c>
      <c r="I40" s="89" t="str">
        <f>IF('PAAR (EN)'!$I40 &lt;&gt; "", 'PAAR (EN)'!$I40, "")</f>
        <v/>
      </c>
      <c r="J40" s="15"/>
      <c r="K40" s="42" t="str">
        <f>IFERROR(VLOOKUP(B40,Modules!C:D,2,0),"")</f>
        <v>MCI-01299</v>
      </c>
      <c r="L40" s="40" t="str" cm="1">
        <f t="array" ref="L40">IFERROR(INDEX(Interventions!$F$12:$F$178,MATCH(TRUE,INDEX(Interventions!$E$12:$E$178=$C40,0),0)),0)</f>
        <v>MCI-01335</v>
      </c>
      <c r="M40" s="15" t="str">
        <f>CLEAN(IFERROR(VLOOKUP($C40,Interventions!$E$1:$K$444,7,0),""))</f>
        <v>FunOpp_16:ActAre_462</v>
      </c>
      <c r="N40" s="15" t="str">
        <f>CLEAN(IF(C40="","",CONCATENATE(Modules!$B$8,PAAR!M40,Q40)))</f>
        <v>Geography_131/FundingOpportunity_16/FunOpp_16:ActAre_46212</v>
      </c>
      <c r="O40" s="70" t="str">
        <f>IFERROR(INDEX('Dropdown Data'!$D$33:$D$35,MATCH(A40,'Dropdown Data'!$B$33:$B$35,0)),IFERROR(INDEX('Dropdown Data'!$D$33:$D$35,MATCH(A40,'Dropdown Data'!$C$33:$C$35,0)),A40))</f>
        <v>Medium</v>
      </c>
      <c r="P40" s="70" t="str">
        <f>IFERROR(INDEX('Dropdown Data'!$D$33:$D$36,MATCH(G40,'Dropdown Data'!$B$33:$B$36,0)),IFERROR(INDEX('Dropdown Data'!$D$33:$D$36,MATCH(G40,'Dropdown Data'!$C$33:$C$36,0)),G40))</f>
        <v/>
      </c>
      <c r="Q40" s="71">
        <v>12</v>
      </c>
      <c r="R40" s="71" t="b">
        <f t="shared" si="0"/>
        <v>0</v>
      </c>
      <c r="S40" s="71">
        <f t="shared" si="1"/>
        <v>4</v>
      </c>
      <c r="T40" s="71" t="str">
        <f>IFERROR(VLOOKUP(B40,Modules!$E$11:$K$52,7,0),IFERROR(VLOOKUP(B40,Modules!$F$11:$K$52,6,0),VLOOKUP(B40,Modules!$G$11:$K$52,5,0)))</f>
        <v>MCI-01299</v>
      </c>
      <c r="U40" s="71">
        <f>IFERROR(MATCH(T40,Interventions!C:C,0),0)</f>
        <v>31</v>
      </c>
      <c r="V40" s="71" cm="1">
        <f t="array" ref="V40">SUM(U40,COUNTIF(ModuleStart,T40)-1)</f>
        <v>39</v>
      </c>
      <c r="W40" s="72">
        <f t="shared" si="2"/>
        <v>4200000</v>
      </c>
      <c r="X40" s="72">
        <f t="shared" si="3"/>
        <v>4200000</v>
      </c>
      <c r="Y40" s="82" t="str">
        <f>IF(AND(AE40="Continue",AG40="Continue"),VLOOKUP($B$10,Translation[],91,0),IF(AND(AE40&lt;&gt;"Continue",AG40="Continue"),AE40,IF(AND(AG40&lt;&gt;"Continue",AE40="Continue"),AG40,CONCATENATE(AE40,CHAR(10),AG40))))</f>
        <v>No error</v>
      </c>
      <c r="Z40" s="62" t="str">
        <f>IF(OR(AND($B40&lt;&gt;"",$K40=""),AND($C40&lt;&gt;"",$L40="")),VLOOKUP($B$10,Translation[],87,0),"Continue")</f>
        <v>Continue</v>
      </c>
      <c r="AA40" s="62" t="str">
        <f>IF(AND($B40 &lt;&gt; "",$K40&lt;&gt;""),IF($K40=_xlfn.XLOOKUP(L40,Interventions!$F$11:$F$179,Interventions!$C$11:$C$179,1,0,1),"Continue",VLOOKUP($B$10,Translation[],88,0)),"Continue")</f>
        <v>Continue</v>
      </c>
      <c r="AB40" s="9" t="str">
        <f>IFERROR(IF($A40&lt;&gt;"",IF($B$10="English", IF(MATCH($A40,'Dropdown Data'!$A$361:$A$363,0)&gt;0,"Continue"), IF($B$10="Français",IF(MATCH($A40,'Dropdown Data'!$B$361:$B$363,0)&gt;0,"Continue"), IF($B$10="Español",IF(MATCH($A40,'Dropdown Data'!$C$361:$C$363,0)&gt;0,"Continue"),VLOOKUP($B$10,Translation[],89,0)))),"Continue"),VLOOKUP($B$10,Translation[],89,0))</f>
        <v>Continue</v>
      </c>
      <c r="AC40" s="62" t="str">
        <f>IF(AND(NOT(ISBLANK($D40)),(NOT(ISNUMBER($D40)))),VLOOKUP($B$10,Translation[],90,0),"Continue")</f>
        <v>Continue</v>
      </c>
      <c r="AD40" s="62" t="str">
        <f xml:space="preserve"> IFERROR(IF(INT($D40) &lt;&gt; $D40, VLOOKUP($B$10,Translation[],92,0), "Continue"),"Continue")</f>
        <v>Continue</v>
      </c>
      <c r="AE40" s="62" t="str">
        <f t="shared" si="4"/>
        <v>Continue</v>
      </c>
      <c r="AF40" s="9" t="str">
        <f t="shared" si="5"/>
        <v>Continue</v>
      </c>
      <c r="AG40" s="9" t="str">
        <f t="shared" si="6"/>
        <v>Continue</v>
      </c>
    </row>
    <row r="41" spans="1:33" ht="195" x14ac:dyDescent="0.2">
      <c r="A41" s="83" t="s">
        <v>1421</v>
      </c>
      <c r="B41" s="84" t="s">
        <v>111</v>
      </c>
      <c r="C41" s="84" t="s">
        <v>353</v>
      </c>
      <c r="D41" s="122">
        <f>320000+96000+600000+150000+120000+50000</f>
        <v>1336000</v>
      </c>
      <c r="E41" s="93">
        <f>IF(ISBLANK(D41),"",IF(IF(Modules!$D$4="EUR",W41*(Modules!$B$5),$W41)=0,0,IF(Modules!$D$4="EUR",W41*(Modules!$B$5),$W41)))</f>
        <v>1336000</v>
      </c>
      <c r="F41" s="124" t="s">
        <v>2277</v>
      </c>
      <c r="G41" s="82" t="str">
        <f>IF(NOT(ISBLANK('PAAR (EN)'!$G41)),IF('PAAR (EN)'!$G41 &lt;&gt; "",IF(PAAR!$B$10="English",'PAAR (EN)'!$G41,IF(PAAR!$B$10="Français",_xlfn.XLOOKUP('PAAR (EN)'!$G41,'Dropdown Data'!$A$365:$A$368, 'Dropdown Data'!$B$365:$B$368,0,0,1),_xlfn.XLOOKUP('PAAR (EN)'!$G41,'Dropdown Data'!$A$365:$A$368,'Dropdown Data'!$C$365:$C$368,0,0,1))),""),"")</f>
        <v/>
      </c>
      <c r="H41" s="92" t="str">
        <f>IF('PAAR (EN)'!$H41 &lt;&gt;"", 'PAAR (EN)'!$H41, "")</f>
        <v/>
      </c>
      <c r="I41" s="89" t="str">
        <f>IF('PAAR (EN)'!$I41 &lt;&gt; "", 'PAAR (EN)'!$I41, "")</f>
        <v/>
      </c>
      <c r="J41" s="15"/>
      <c r="K41" s="42" t="str">
        <f>IFERROR(VLOOKUP(B41,Modules!C:D,2,0),"")</f>
        <v>MCI-01299</v>
      </c>
      <c r="L41" s="40" t="str" cm="1">
        <f t="array" ref="L41">IFERROR(INDEX(Interventions!$F$12:$F$178,MATCH(TRUE,INDEX(Interventions!$E$12:$E$178=$C41,0),0)),0)</f>
        <v>MCI-01341</v>
      </c>
      <c r="M41" s="15" t="str">
        <f>CLEAN(IFERROR(VLOOKUP($C41,Interventions!$E$1:$K$444,7,0),""))</f>
        <v>FunOpp_16:ActAre_596</v>
      </c>
      <c r="N41" s="15" t="str">
        <f>CLEAN(IF(C41="","",CONCATENATE(Modules!$B$8,PAAR!M41,Q41)))</f>
        <v>Geography_131/FundingOpportunity_16/FunOpp_16:ActAre_59613</v>
      </c>
      <c r="O41" s="70" t="str">
        <f>IFERROR(INDEX('Dropdown Data'!$D$33:$D$35,MATCH(A41,'Dropdown Data'!$B$33:$B$35,0)),IFERROR(INDEX('Dropdown Data'!$D$33:$D$35,MATCH(A41,'Dropdown Data'!$C$33:$C$35,0)),A41))</f>
        <v>Medium</v>
      </c>
      <c r="P41" s="70" t="str">
        <f>IFERROR(INDEX('Dropdown Data'!$D$33:$D$36,MATCH(G41,'Dropdown Data'!$B$33:$B$36,0)),IFERROR(INDEX('Dropdown Data'!$D$33:$D$36,MATCH(G41,'Dropdown Data'!$C$33:$C$36,0)),G41))</f>
        <v/>
      </c>
      <c r="Q41" s="71">
        <v>13</v>
      </c>
      <c r="R41" s="71" t="b">
        <f t="shared" si="0"/>
        <v>0</v>
      </c>
      <c r="S41" s="71">
        <f t="shared" si="1"/>
        <v>4</v>
      </c>
      <c r="T41" s="71" t="str">
        <f>IFERROR(VLOOKUP(B41,Modules!$E$11:$K$52,7,0),IFERROR(VLOOKUP(B41,Modules!$F$11:$K$52,6,0),VLOOKUP(B41,Modules!$G$11:$K$52,5,0)))</f>
        <v>MCI-01299</v>
      </c>
      <c r="U41" s="71">
        <f>IFERROR(MATCH(T41,Interventions!C:C,0),0)</f>
        <v>31</v>
      </c>
      <c r="V41" s="71" cm="1">
        <f t="array" ref="V41">SUM(U41,COUNTIF(ModuleStart,T41)-1)</f>
        <v>39</v>
      </c>
      <c r="W41" s="72">
        <f t="shared" si="2"/>
        <v>1336000</v>
      </c>
      <c r="X41" s="72">
        <f t="shared" si="3"/>
        <v>1336000</v>
      </c>
      <c r="Y41" s="82" t="str">
        <f>IF(AND(AE41="Continue",AG41="Continue"),VLOOKUP($B$10,Translation[],91,0),IF(AND(AE41&lt;&gt;"Continue",AG41="Continue"),AE41,IF(AND(AG41&lt;&gt;"Continue",AE41="Continue"),AG41,CONCATENATE(AE41,CHAR(10),AG41))))</f>
        <v>No error</v>
      </c>
      <c r="Z41" s="62" t="str">
        <f>IF(OR(AND($B41&lt;&gt;"",$K41=""),AND($C41&lt;&gt;"",$L41="")),VLOOKUP($B$10,Translation[],87,0),"Continue")</f>
        <v>Continue</v>
      </c>
      <c r="AA41" s="62" t="str">
        <f>IF(AND($B41 &lt;&gt; "",$K41&lt;&gt;""),IF($K41=_xlfn.XLOOKUP(L41,Interventions!$F$11:$F$179,Interventions!$C$11:$C$179,1,0,1),"Continue",VLOOKUP($B$10,Translation[],88,0)),"Continue")</f>
        <v>Continue</v>
      </c>
      <c r="AB41" s="9" t="str">
        <f>IFERROR(IF($A41&lt;&gt;"",IF($B$10="English", IF(MATCH($A41,'Dropdown Data'!$A$361:$A$363,0)&gt;0,"Continue"), IF($B$10="Français",IF(MATCH($A41,'Dropdown Data'!$B$361:$B$363,0)&gt;0,"Continue"), IF($B$10="Español",IF(MATCH($A41,'Dropdown Data'!$C$361:$C$363,0)&gt;0,"Continue"),VLOOKUP($B$10,Translation[],89,0)))),"Continue"),VLOOKUP($B$10,Translation[],89,0))</f>
        <v>Continue</v>
      </c>
      <c r="AC41" s="62" t="str">
        <f>IF(AND(NOT(ISBLANK($D41)),(NOT(ISNUMBER($D41)))),VLOOKUP($B$10,Translation[],90,0),"Continue")</f>
        <v>Continue</v>
      </c>
      <c r="AD41" s="62" t="str">
        <f xml:space="preserve"> IFERROR(IF(INT($D41) &lt;&gt; $D41, VLOOKUP($B$10,Translation[],92,0), "Continue"),"Continue")</f>
        <v>Continue</v>
      </c>
      <c r="AE41" s="62" t="str">
        <f t="shared" si="4"/>
        <v>Continue</v>
      </c>
      <c r="AF41" s="9" t="str">
        <f t="shared" si="5"/>
        <v>Continue</v>
      </c>
      <c r="AG41" s="9" t="str">
        <f t="shared" si="6"/>
        <v>Continue</v>
      </c>
    </row>
    <row r="42" spans="1:33" ht="45" customHeight="1" x14ac:dyDescent="0.2">
      <c r="A42" s="83" t="s">
        <v>1421</v>
      </c>
      <c r="B42" s="84" t="s">
        <v>195</v>
      </c>
      <c r="C42" s="84" t="s">
        <v>1000</v>
      </c>
      <c r="D42" s="122">
        <v>967975</v>
      </c>
      <c r="E42" s="93">
        <f>IF(ISBLANK(D42),"",IF(IF(Modules!$D$4="EUR",W42*(Modules!$B$5),$W42)=0,0,IF(Modules!$D$4="EUR",W42*(Modules!$B$5),$W42)))</f>
        <v>967975</v>
      </c>
      <c r="F42" s="124" t="s">
        <v>2278</v>
      </c>
      <c r="G42" s="82" t="str">
        <f>IF(NOT(ISBLANK('PAAR (EN)'!$G42)),IF('PAAR (EN)'!$G42 &lt;&gt; "",IF(PAAR!$B$10="English",'PAAR (EN)'!$G42,IF(PAAR!$B$10="Français",_xlfn.XLOOKUP('PAAR (EN)'!$G42,'Dropdown Data'!$A$365:$A$368, 'Dropdown Data'!$B$365:$B$368,0,0,1),_xlfn.XLOOKUP('PAAR (EN)'!$G42,'Dropdown Data'!$A$365:$A$368,'Dropdown Data'!$C$365:$C$368,0,0,1))),""),"")</f>
        <v/>
      </c>
      <c r="H42" s="92" t="str">
        <f>IF('PAAR (EN)'!$H42 &lt;&gt;"", 'PAAR (EN)'!$H42, "")</f>
        <v/>
      </c>
      <c r="I42" s="89" t="str">
        <f>IF('PAAR (EN)'!$I42 &lt;&gt; "", 'PAAR (EN)'!$I42, "")</f>
        <v/>
      </c>
      <c r="J42" s="15"/>
      <c r="K42" s="42" t="str">
        <f>IFERROR(VLOOKUP(B42,Modules!C:D,2,0),"")</f>
        <v>MCI-01325</v>
      </c>
      <c r="L42" s="40" t="str" cm="1">
        <f t="array" ref="L42">IFERROR(INDEX(Interventions!$F$12:$F$178,MATCH(TRUE,INDEX(Interventions!$E$12:$E$178=$C42,0),0)),0)</f>
        <v>MCI-01492</v>
      </c>
      <c r="M42" s="15" t="str">
        <f>CLEAN(IFERROR(VLOOKUP($C42,Interventions!$E$1:$K$444,7,0),""))</f>
        <v>FunOpp_16:ActAre_448</v>
      </c>
      <c r="N42" s="15" t="str">
        <f>CLEAN(IF(C42="","",CONCATENATE(Modules!$B$8,PAAR!M42,Q42)))</f>
        <v>Geography_131/FundingOpportunity_16/FunOpp_16:ActAre_44814</v>
      </c>
      <c r="O42" s="70" t="str">
        <f>IFERROR(INDEX('Dropdown Data'!$D$33:$D$35,MATCH(A42,'Dropdown Data'!$B$33:$B$35,0)),IFERROR(INDEX('Dropdown Data'!$D$33:$D$35,MATCH(A42,'Dropdown Data'!$C$33:$C$35,0)),A42))</f>
        <v>Medium</v>
      </c>
      <c r="P42" s="70" t="str">
        <f>IFERROR(INDEX('Dropdown Data'!$D$33:$D$36,MATCH(G42,'Dropdown Data'!$B$33:$B$36,0)),IFERROR(INDEX('Dropdown Data'!$D$33:$D$36,MATCH(G42,'Dropdown Data'!$C$33:$C$36,0)),G42))</f>
        <v/>
      </c>
      <c r="Q42" s="71">
        <v>14</v>
      </c>
      <c r="R42" s="71" t="b">
        <f t="shared" si="0"/>
        <v>0</v>
      </c>
      <c r="S42" s="71">
        <f t="shared" si="1"/>
        <v>4</v>
      </c>
      <c r="T42" s="71" t="str">
        <f>IFERROR(VLOOKUP(B42,Modules!$E$11:$K$52,7,0),IFERROR(VLOOKUP(B42,Modules!$F$11:$K$52,6,0),VLOOKUP(B42,Modules!$G$11:$K$52,5,0)))</f>
        <v>MCI-01325</v>
      </c>
      <c r="U42" s="71">
        <f>IFERROR(MATCH(T42,Interventions!C:C,0),0)</f>
        <v>157</v>
      </c>
      <c r="V42" s="71" cm="1">
        <f t="array" ref="V42">SUM(U42,COUNTIF(ModuleStart,T42)-1)</f>
        <v>164</v>
      </c>
      <c r="W42" s="72">
        <f t="shared" si="2"/>
        <v>967975</v>
      </c>
      <c r="X42" s="72">
        <f t="shared" si="3"/>
        <v>967975</v>
      </c>
      <c r="Y42" s="82" t="str">
        <f>IF(AND(AE42="Continue",AG42="Continue"),VLOOKUP($B$10,Translation[],91,0),IF(AND(AE42&lt;&gt;"Continue",AG42="Continue"),AE42,IF(AND(AG42&lt;&gt;"Continue",AE42="Continue"),AG42,CONCATENATE(AE42,CHAR(10),AG42))))</f>
        <v>No error</v>
      </c>
      <c r="Z42" s="62" t="str">
        <f>IF(OR(AND($B42&lt;&gt;"",$K42=""),AND($C42&lt;&gt;"",$L42="")),VLOOKUP($B$10,Translation[],87,0),"Continue")</f>
        <v>Continue</v>
      </c>
      <c r="AA42" s="62" t="str">
        <f>IF(AND($B42 &lt;&gt; "",$K42&lt;&gt;""),IF($K42=_xlfn.XLOOKUP(L42,Interventions!$F$11:$F$179,Interventions!$C$11:$C$179,1,0,1),"Continue",VLOOKUP($B$10,Translation[],88,0)),"Continue")</f>
        <v>Continue</v>
      </c>
      <c r="AB42" s="9" t="str">
        <f>IFERROR(IF($A42&lt;&gt;"",IF($B$10="English", IF(MATCH($A42,'Dropdown Data'!$A$361:$A$363,0)&gt;0,"Continue"), IF($B$10="Français",IF(MATCH($A42,'Dropdown Data'!$B$361:$B$363,0)&gt;0,"Continue"), IF($B$10="Español",IF(MATCH($A42,'Dropdown Data'!$C$361:$C$363,0)&gt;0,"Continue"),VLOOKUP($B$10,Translation[],89,0)))),"Continue"),VLOOKUP($B$10,Translation[],89,0))</f>
        <v>Continue</v>
      </c>
      <c r="AC42" s="62" t="str">
        <f>IF(AND(NOT(ISBLANK($D42)),(NOT(ISNUMBER($D42)))),VLOOKUP($B$10,Translation[],90,0),"Continue")</f>
        <v>Continue</v>
      </c>
      <c r="AD42" s="62" t="str">
        <f xml:space="preserve"> IFERROR(IF(INT($D42) &lt;&gt; $D42, VLOOKUP($B$10,Translation[],92,0), "Continue"),"Continue")</f>
        <v>Continue</v>
      </c>
      <c r="AE42" s="62" t="str">
        <f t="shared" si="4"/>
        <v>Continue</v>
      </c>
      <c r="AF42" s="9" t="str">
        <f t="shared" si="5"/>
        <v>Continue</v>
      </c>
      <c r="AG42" s="9" t="str">
        <f t="shared" si="6"/>
        <v>Continue</v>
      </c>
    </row>
    <row r="43" spans="1:33" ht="45" customHeight="1" x14ac:dyDescent="0.2">
      <c r="A43" s="83" t="s">
        <v>1421</v>
      </c>
      <c r="B43" s="84" t="s">
        <v>139</v>
      </c>
      <c r="C43" s="84" t="s">
        <v>556</v>
      </c>
      <c r="D43" s="122">
        <f>60000*3*3</f>
        <v>540000</v>
      </c>
      <c r="E43" s="93">
        <f>IF(ISBLANK(D43),"",IF(IF(Modules!$D$4="EUR",W43*(Modules!$B$5),$W43)=0,0,IF(Modules!$D$4="EUR",W43*(Modules!$B$5),$W43)))</f>
        <v>540000</v>
      </c>
      <c r="F43" s="124" t="s">
        <v>2279</v>
      </c>
      <c r="G43" s="82" t="str">
        <f>IF(NOT(ISBLANK('PAAR (EN)'!$G43)),IF('PAAR (EN)'!$G43 &lt;&gt; "",IF(PAAR!$B$10="English",'PAAR (EN)'!$G43,IF(PAAR!$B$10="Français",_xlfn.XLOOKUP('PAAR (EN)'!$G43,'Dropdown Data'!$A$365:$A$368, 'Dropdown Data'!$B$365:$B$368,0,0,1),_xlfn.XLOOKUP('PAAR (EN)'!$G43,'Dropdown Data'!$A$365:$A$368,'Dropdown Data'!$C$365:$C$368,0,0,1))),""),"")</f>
        <v/>
      </c>
      <c r="H43" s="92" t="str">
        <f>IF('PAAR (EN)'!$H43 &lt;&gt;"", 'PAAR (EN)'!$H43, "")</f>
        <v/>
      </c>
      <c r="I43" s="89" t="str">
        <f>IF('PAAR (EN)'!$I43 &lt;&gt; "", 'PAAR (EN)'!$I43, "")</f>
        <v/>
      </c>
      <c r="J43" s="15"/>
      <c r="K43" s="42" t="str">
        <f>IFERROR(VLOOKUP(B43,Modules!C:D,2,0),"")</f>
        <v>MCI-01306</v>
      </c>
      <c r="L43" s="40" t="str" cm="1">
        <f t="array" ref="L43">IFERROR(INDEX(Interventions!$F$12:$F$178,MATCH(TRUE,INDEX(Interventions!$E$12:$E$178=$C43,0),0)),0)</f>
        <v>MCI-01354</v>
      </c>
      <c r="M43" s="15" t="str">
        <f>CLEAN(IFERROR(VLOOKUP($C43,Interventions!$E$1:$K$444,7,0),""))</f>
        <v>FunOpp_16:ActAre_598</v>
      </c>
      <c r="N43" s="15" t="str">
        <f>CLEAN(IF(C43="","",CONCATENATE(Modules!$B$8,PAAR!M43,Q43)))</f>
        <v>Geography_131/FundingOpportunity_16/FunOpp_16:ActAre_59815</v>
      </c>
      <c r="O43" s="70" t="str">
        <f>IFERROR(INDEX('Dropdown Data'!$D$33:$D$35,MATCH(A43,'Dropdown Data'!$B$33:$B$35,0)),IFERROR(INDEX('Dropdown Data'!$D$33:$D$35,MATCH(A43,'Dropdown Data'!$C$33:$C$35,0)),A43))</f>
        <v>Medium</v>
      </c>
      <c r="P43" s="70" t="str">
        <f>IFERROR(INDEX('Dropdown Data'!$D$33:$D$36,MATCH(G43,'Dropdown Data'!$B$33:$B$36,0)),IFERROR(INDEX('Dropdown Data'!$D$33:$D$36,MATCH(G43,'Dropdown Data'!$C$33:$C$36,0)),G43))</f>
        <v/>
      </c>
      <c r="Q43" s="71">
        <v>15</v>
      </c>
      <c r="R43" s="71" t="b">
        <f t="shared" si="0"/>
        <v>0</v>
      </c>
      <c r="S43" s="71">
        <f t="shared" si="1"/>
        <v>4</v>
      </c>
      <c r="T43" s="71" t="str">
        <f>IFERROR(VLOOKUP(B43,Modules!$E$11:$K$52,7,0),IFERROR(VLOOKUP(B43,Modules!$F$11:$K$52,6,0),VLOOKUP(B43,Modules!$G$11:$K$52,5,0)))</f>
        <v>MCI-01306</v>
      </c>
      <c r="U43" s="71">
        <f>IFERROR(MATCH(T43,Interventions!C:C,0),0)</f>
        <v>78</v>
      </c>
      <c r="V43" s="71" cm="1">
        <f t="array" ref="V43">SUM(U43,COUNTIF(ModuleStart,T43)-1)</f>
        <v>83</v>
      </c>
      <c r="W43" s="72">
        <f t="shared" si="2"/>
        <v>540000</v>
      </c>
      <c r="X43" s="72">
        <f t="shared" si="3"/>
        <v>540000</v>
      </c>
      <c r="Y43" s="82" t="str">
        <f>IF(AND(AE43="Continue",AG43="Continue"),VLOOKUP($B$10,Translation[],91,0),IF(AND(AE43&lt;&gt;"Continue",AG43="Continue"),AE43,IF(AND(AG43&lt;&gt;"Continue",AE43="Continue"),AG43,CONCATENATE(AE43,CHAR(10),AG43))))</f>
        <v>No error</v>
      </c>
      <c r="Z43" s="62" t="str">
        <f>IF(OR(AND($B43&lt;&gt;"",$K43=""),AND($C43&lt;&gt;"",$L43="")),VLOOKUP($B$10,Translation[],87,0),"Continue")</f>
        <v>Continue</v>
      </c>
      <c r="AA43" s="62" t="str">
        <f>IF(AND($B43 &lt;&gt; "",$K43&lt;&gt;""),IF($K43=_xlfn.XLOOKUP(L43,Interventions!$F$11:$F$179,Interventions!$C$11:$C$179,1,0,1),"Continue",VLOOKUP($B$10,Translation[],88,0)),"Continue")</f>
        <v>Continue</v>
      </c>
      <c r="AB43" s="9" t="str">
        <f>IFERROR(IF($A43&lt;&gt;"",IF($B$10="English", IF(MATCH($A43,'Dropdown Data'!$A$361:$A$363,0)&gt;0,"Continue"), IF($B$10="Français",IF(MATCH($A43,'Dropdown Data'!$B$361:$B$363,0)&gt;0,"Continue"), IF($B$10="Español",IF(MATCH($A43,'Dropdown Data'!$C$361:$C$363,0)&gt;0,"Continue"),VLOOKUP($B$10,Translation[],89,0)))),"Continue"),VLOOKUP($B$10,Translation[],89,0))</f>
        <v>Continue</v>
      </c>
      <c r="AC43" s="62" t="str">
        <f>IF(AND(NOT(ISBLANK($D43)),(NOT(ISNUMBER($D43)))),VLOOKUP($B$10,Translation[],90,0),"Continue")</f>
        <v>Continue</v>
      </c>
      <c r="AD43" s="62" t="str">
        <f xml:space="preserve"> IFERROR(IF(INT($D43) &lt;&gt; $D43, VLOOKUP($B$10,Translation[],92,0), "Continue"),"Continue")</f>
        <v>Continue</v>
      </c>
      <c r="AE43" s="62" t="str">
        <f t="shared" si="4"/>
        <v>Continue</v>
      </c>
      <c r="AF43" s="9" t="str">
        <f t="shared" si="5"/>
        <v>Continue</v>
      </c>
      <c r="AG43" s="9" t="str">
        <f t="shared" si="6"/>
        <v>Continue</v>
      </c>
    </row>
    <row r="44" spans="1:33" ht="45" customHeight="1" x14ac:dyDescent="0.2">
      <c r="A44" s="83" t="s">
        <v>1421</v>
      </c>
      <c r="B44" s="84" t="s">
        <v>123</v>
      </c>
      <c r="C44" s="84" t="s">
        <v>471</v>
      </c>
      <c r="D44" s="122">
        <f>60000*2*3</f>
        <v>360000</v>
      </c>
      <c r="E44" s="93">
        <f>IF(ISBLANK(D44),"",IF(IF(Modules!$D$4="EUR",W44*(Modules!$B$5),$W44)=0,0,IF(Modules!$D$4="EUR",W44*(Modules!$B$5),$W44)))</f>
        <v>360000</v>
      </c>
      <c r="F44" s="124" t="s">
        <v>2280</v>
      </c>
      <c r="G44" s="82" t="str">
        <f>IF(NOT(ISBLANK('PAAR (EN)'!$G44)),IF('PAAR (EN)'!$G44 &lt;&gt; "",IF(PAAR!$B$10="English",'PAAR (EN)'!$G44,IF(PAAR!$B$10="Français",_xlfn.XLOOKUP('PAAR (EN)'!$G44,'Dropdown Data'!$A$365:$A$368, 'Dropdown Data'!$B$365:$B$368,0,0,1),_xlfn.XLOOKUP('PAAR (EN)'!$G44,'Dropdown Data'!$A$365:$A$368,'Dropdown Data'!$C$365:$C$368,0,0,1))),""),"")</f>
        <v/>
      </c>
      <c r="H44" s="92" t="str">
        <f>IF('PAAR (EN)'!$H44 &lt;&gt;"", 'PAAR (EN)'!$H44, "")</f>
        <v/>
      </c>
      <c r="I44" s="89" t="str">
        <f>IF('PAAR (EN)'!$I44 &lt;&gt; "", 'PAAR (EN)'!$I44, "")</f>
        <v/>
      </c>
      <c r="J44" s="15"/>
      <c r="K44" s="42" t="str">
        <f>IFERROR(VLOOKUP(B44,Modules!C:D,2,0),"")</f>
        <v>MCI-01302</v>
      </c>
      <c r="L44" s="40" t="str" cm="1">
        <f t="array" ref="L44">IFERROR(INDEX(Interventions!$F$12:$F$178,MATCH(TRUE,INDEX(Interventions!$E$12:$E$178=$C44,0),0)),0)</f>
        <v>MCI-01519</v>
      </c>
      <c r="M44" s="15" t="str">
        <f>CLEAN(IFERROR(VLOOKUP($C44,Interventions!$E$1:$K$444,7,0),""))</f>
        <v>FunOpp_16:ActAre_459</v>
      </c>
      <c r="N44" s="15" t="str">
        <f>CLEAN(IF(C44="","",CONCATENATE(Modules!$B$8,PAAR!M44,Q44)))</f>
        <v>Geography_131/FundingOpportunity_16/FunOpp_16:ActAre_45916</v>
      </c>
      <c r="O44" s="70" t="str">
        <f>IFERROR(INDEX('Dropdown Data'!$D$33:$D$35,MATCH(A44,'Dropdown Data'!$B$33:$B$35,0)),IFERROR(INDEX('Dropdown Data'!$D$33:$D$35,MATCH(A44,'Dropdown Data'!$C$33:$C$35,0)),A44))</f>
        <v>Medium</v>
      </c>
      <c r="P44" s="70" t="str">
        <f>IFERROR(INDEX('Dropdown Data'!$D$33:$D$36,MATCH(G44,'Dropdown Data'!$B$33:$B$36,0)),IFERROR(INDEX('Dropdown Data'!$D$33:$D$36,MATCH(G44,'Dropdown Data'!$C$33:$C$36,0)),G44))</f>
        <v/>
      </c>
      <c r="Q44" s="71">
        <v>16</v>
      </c>
      <c r="R44" s="71" t="b">
        <f t="shared" si="0"/>
        <v>0</v>
      </c>
      <c r="S44" s="71">
        <f t="shared" si="1"/>
        <v>4</v>
      </c>
      <c r="T44" s="71" t="str">
        <f>IFERROR(VLOOKUP(B44,Modules!$E$11:$K$52,7,0),IFERROR(VLOOKUP(B44,Modules!$F$11:$K$52,6,0),VLOOKUP(B44,Modules!$G$11:$K$52,5,0)))</f>
        <v>MCI-01302</v>
      </c>
      <c r="U44" s="71">
        <f>IFERROR(MATCH(T44,Interventions!C:C,0),0)</f>
        <v>52</v>
      </c>
      <c r="V44" s="71" cm="1">
        <f t="array" ref="V44">SUM(U44,COUNTIF(ModuleStart,T44)-1)</f>
        <v>62</v>
      </c>
      <c r="W44" s="72">
        <f t="shared" si="2"/>
        <v>360000</v>
      </c>
      <c r="X44" s="72">
        <f t="shared" si="3"/>
        <v>360000</v>
      </c>
      <c r="Y44" s="82" t="str">
        <f>IF(AND(AE44="Continue",AG44="Continue"),VLOOKUP($B$10,Translation[],91,0),IF(AND(AE44&lt;&gt;"Continue",AG44="Continue"),AE44,IF(AND(AG44&lt;&gt;"Continue",AE44="Continue"),AG44,CONCATENATE(AE44,CHAR(10),AG44))))</f>
        <v>No error</v>
      </c>
      <c r="Z44" s="62" t="str">
        <f>IF(OR(AND($B44&lt;&gt;"",$K44=""),AND($C44&lt;&gt;"",$L44="")),VLOOKUP($B$10,Translation[],87,0),"Continue")</f>
        <v>Continue</v>
      </c>
      <c r="AA44" s="62" t="str">
        <f>IF(AND($B44 &lt;&gt; "",$K44&lt;&gt;""),IF($K44=_xlfn.XLOOKUP(L44,Interventions!$F$11:$F$179,Interventions!$C$11:$C$179,1,0,1),"Continue",VLOOKUP($B$10,Translation[],88,0)),"Continue")</f>
        <v>Continue</v>
      </c>
      <c r="AB44" s="9" t="str">
        <f>IFERROR(IF($A44&lt;&gt;"",IF($B$10="English", IF(MATCH($A44,'Dropdown Data'!$A$361:$A$363,0)&gt;0,"Continue"), IF($B$10="Français",IF(MATCH($A44,'Dropdown Data'!$B$361:$B$363,0)&gt;0,"Continue"), IF($B$10="Español",IF(MATCH($A44,'Dropdown Data'!$C$361:$C$363,0)&gt;0,"Continue"),VLOOKUP($B$10,Translation[],89,0)))),"Continue"),VLOOKUP($B$10,Translation[],89,0))</f>
        <v>Continue</v>
      </c>
      <c r="AC44" s="62" t="str">
        <f>IF(AND(NOT(ISBLANK($D44)),(NOT(ISNUMBER($D44)))),VLOOKUP($B$10,Translation[],90,0),"Continue")</f>
        <v>Continue</v>
      </c>
      <c r="AD44" s="62" t="str">
        <f xml:space="preserve"> IFERROR(IF(INT($D44) &lt;&gt; $D44, VLOOKUP($B$10,Translation[],92,0), "Continue"),"Continue")</f>
        <v>Continue</v>
      </c>
      <c r="AE44" s="62" t="str">
        <f t="shared" si="4"/>
        <v>Continue</v>
      </c>
      <c r="AF44" s="9" t="str">
        <f t="shared" si="5"/>
        <v>Continue</v>
      </c>
      <c r="AG44" s="9" t="str">
        <f t="shared" si="6"/>
        <v>Continue</v>
      </c>
    </row>
    <row r="45" spans="1:33" ht="45" customHeight="1" x14ac:dyDescent="0.2">
      <c r="A45" s="83" t="s">
        <v>1421</v>
      </c>
      <c r="B45" s="84" t="s">
        <v>203</v>
      </c>
      <c r="C45" s="84" t="s">
        <v>1032</v>
      </c>
      <c r="D45" s="122">
        <v>300000</v>
      </c>
      <c r="E45" s="93">
        <f>IF(ISBLANK(D45),"",IF(IF(Modules!$D$4="EUR",W45*(Modules!$B$5),$W45)=0,0,IF(Modules!$D$4="EUR",W45*(Modules!$B$5),$W45)))</f>
        <v>300000</v>
      </c>
      <c r="F45" s="124" t="s">
        <v>2281</v>
      </c>
      <c r="G45" s="82" t="str">
        <f>IF(NOT(ISBLANK('PAAR (EN)'!$G45)),IF('PAAR (EN)'!$G45 &lt;&gt; "",IF(PAAR!$B$10="English",'PAAR (EN)'!$G45,IF(PAAR!$B$10="Français",_xlfn.XLOOKUP('PAAR (EN)'!$G45,'Dropdown Data'!$A$365:$A$368, 'Dropdown Data'!$B$365:$B$368,0,0,1),_xlfn.XLOOKUP('PAAR (EN)'!$G45,'Dropdown Data'!$A$365:$A$368,'Dropdown Data'!$C$365:$C$368,0,0,1))),""),"")</f>
        <v/>
      </c>
      <c r="H45" s="92" t="str">
        <f>IF('PAAR (EN)'!$H45 &lt;&gt;"", 'PAAR (EN)'!$H45, "")</f>
        <v/>
      </c>
      <c r="I45" s="89" t="str">
        <f>IF('PAAR (EN)'!$I45 &lt;&gt; "", 'PAAR (EN)'!$I45, "")</f>
        <v/>
      </c>
      <c r="J45" s="15"/>
      <c r="K45" s="42" t="str">
        <f>IFERROR(VLOOKUP(B45,Modules!C:D,2,0),"")</f>
        <v>MCI-01327</v>
      </c>
      <c r="L45" s="40" t="str" cm="1">
        <f t="array" ref="L45">IFERROR(INDEX(Interventions!$F$12:$F$178,MATCH(TRUE,INDEX(Interventions!$E$12:$E$178=$C45,0),0)),0)</f>
        <v>MCI-01427</v>
      </c>
      <c r="M45" s="15" t="str">
        <f>CLEAN(IFERROR(VLOOKUP($C45,Interventions!$E$1:$K$444,7,0),""))</f>
        <v>FunOpp_16:ActAre_519</v>
      </c>
      <c r="N45" s="15" t="str">
        <f>CLEAN(IF(C45="","",CONCATENATE(Modules!$B$8,PAAR!M45,Q45)))</f>
        <v>Geography_131/FundingOpportunity_16/FunOpp_16:ActAre_51917</v>
      </c>
      <c r="O45" s="70" t="str">
        <f>IFERROR(INDEX('Dropdown Data'!$D$33:$D$35,MATCH(A45,'Dropdown Data'!$B$33:$B$35,0)),IFERROR(INDEX('Dropdown Data'!$D$33:$D$35,MATCH(A45,'Dropdown Data'!$C$33:$C$35,0)),A45))</f>
        <v>Medium</v>
      </c>
      <c r="P45" s="70" t="str">
        <f>IFERROR(INDEX('Dropdown Data'!$D$33:$D$36,MATCH(G45,'Dropdown Data'!$B$33:$B$36,0)),IFERROR(INDEX('Dropdown Data'!$D$33:$D$36,MATCH(G45,'Dropdown Data'!$C$33:$C$36,0)),G45))</f>
        <v/>
      </c>
      <c r="Q45" s="71">
        <v>17</v>
      </c>
      <c r="R45" s="71" t="b">
        <f t="shared" si="0"/>
        <v>0</v>
      </c>
      <c r="S45" s="71">
        <f t="shared" si="1"/>
        <v>4</v>
      </c>
      <c r="T45" s="71" t="str">
        <f>IFERROR(VLOOKUP(B45,Modules!$E$11:$K$52,7,0),IFERROR(VLOOKUP(B45,Modules!$F$11:$K$52,6,0),VLOOKUP(B45,Modules!$G$11:$K$52,5,0)))</f>
        <v>MCI-01327</v>
      </c>
      <c r="U45" s="71">
        <f>IFERROR(MATCH(T45,Interventions!C:C,0),0)</f>
        <v>169</v>
      </c>
      <c r="V45" s="71" cm="1">
        <f t="array" ref="V45">SUM(U45,COUNTIF(ModuleStart,T45)-1)</f>
        <v>177</v>
      </c>
      <c r="W45" s="72">
        <f t="shared" si="2"/>
        <v>300000</v>
      </c>
      <c r="X45" s="72">
        <f t="shared" si="3"/>
        <v>300000</v>
      </c>
      <c r="Y45" s="82" t="str">
        <f>IF(AND(AE45="Continue",AG45="Continue"),VLOOKUP($B$10,Translation[],91,0),IF(AND(AE45&lt;&gt;"Continue",AG45="Continue"),AE45,IF(AND(AG45&lt;&gt;"Continue",AE45="Continue"),AG45,CONCATENATE(AE45,CHAR(10),AG45))))</f>
        <v>No error</v>
      </c>
      <c r="Z45" s="62" t="str">
        <f>IF(OR(AND($B45&lt;&gt;"",$K45=""),AND($C45&lt;&gt;"",$L45="")),VLOOKUP($B$10,Translation[],87,0),"Continue")</f>
        <v>Continue</v>
      </c>
      <c r="AA45" s="62" t="str">
        <f>IF(AND($B45 &lt;&gt; "",$K45&lt;&gt;""),IF($K45=_xlfn.XLOOKUP(L45,Interventions!$F$11:$F$179,Interventions!$C$11:$C$179,1,0,1),"Continue",VLOOKUP($B$10,Translation[],88,0)),"Continue")</f>
        <v>Continue</v>
      </c>
      <c r="AB45" s="9" t="str">
        <f>IFERROR(IF($A45&lt;&gt;"",IF($B$10="English", IF(MATCH($A45,'Dropdown Data'!$A$361:$A$363,0)&gt;0,"Continue"), IF($B$10="Français",IF(MATCH($A45,'Dropdown Data'!$B$361:$B$363,0)&gt;0,"Continue"), IF($B$10="Español",IF(MATCH($A45,'Dropdown Data'!$C$361:$C$363,0)&gt;0,"Continue"),VLOOKUP($B$10,Translation[],89,0)))),"Continue"),VLOOKUP($B$10,Translation[],89,0))</f>
        <v>Continue</v>
      </c>
      <c r="AC45" s="62" t="str">
        <f>IF(AND(NOT(ISBLANK($D45)),(NOT(ISNUMBER($D45)))),VLOOKUP($B$10,Translation[],90,0),"Continue")</f>
        <v>Continue</v>
      </c>
      <c r="AD45" s="62" t="str">
        <f xml:space="preserve"> IFERROR(IF(INT($D45) &lt;&gt; $D45, VLOOKUP($B$10,Translation[],92,0), "Continue"),"Continue")</f>
        <v>Continue</v>
      </c>
      <c r="AE45" s="62" t="str">
        <f t="shared" si="4"/>
        <v>Continue</v>
      </c>
      <c r="AF45" s="9" t="str">
        <f t="shared" si="5"/>
        <v>Continue</v>
      </c>
      <c r="AG45" s="9" t="str">
        <f t="shared" si="6"/>
        <v>Continue</v>
      </c>
    </row>
    <row r="46" spans="1:33" ht="75" x14ac:dyDescent="0.2">
      <c r="A46" s="83" t="s">
        <v>1421</v>
      </c>
      <c r="B46" s="84" t="s">
        <v>119</v>
      </c>
      <c r="C46" s="84" t="s">
        <v>415</v>
      </c>
      <c r="D46" s="122">
        <f>144000+108000</f>
        <v>252000</v>
      </c>
      <c r="E46" s="93">
        <f>IF(ISBLANK(D46),"",IF(IF(Modules!$D$4="EUR",W46*(Modules!$B$5),$W46)=0,0,IF(Modules!$D$4="EUR",W46*(Modules!$B$5),$W46)))</f>
        <v>252000</v>
      </c>
      <c r="F46" s="124" t="s">
        <v>2282</v>
      </c>
      <c r="G46" s="82" t="str">
        <f>IF(NOT(ISBLANK('PAAR (EN)'!$G46)),IF('PAAR (EN)'!$G46 &lt;&gt; "",IF(PAAR!$B$10="English",'PAAR (EN)'!$G46,IF(PAAR!$B$10="Français",_xlfn.XLOOKUP('PAAR (EN)'!$G46,'Dropdown Data'!$A$365:$A$368, 'Dropdown Data'!$B$365:$B$368,0,0,1),_xlfn.XLOOKUP('PAAR (EN)'!$G46,'Dropdown Data'!$A$365:$A$368,'Dropdown Data'!$C$365:$C$368,0,0,1))),""),"")</f>
        <v/>
      </c>
      <c r="H46" s="92" t="str">
        <f>IF('PAAR (EN)'!$H46 &lt;&gt;"", 'PAAR (EN)'!$H46, "")</f>
        <v/>
      </c>
      <c r="I46" s="89" t="str">
        <f>IF('PAAR (EN)'!$I46 &lt;&gt; "", 'PAAR (EN)'!$I46, "")</f>
        <v/>
      </c>
      <c r="J46" s="15"/>
      <c r="K46" s="42" t="str">
        <f>IFERROR(VLOOKUP(B46,Modules!C:D,2,0),"")</f>
        <v>MCI-01301</v>
      </c>
      <c r="L46" s="40" t="str" cm="1">
        <f t="array" ref="L46">IFERROR(INDEX(Interventions!$F$12:$F$178,MATCH(TRUE,INDEX(Interventions!$E$12:$E$178=$C46,0),0)),0)</f>
        <v>MCI-01347</v>
      </c>
      <c r="M46" s="15" t="str">
        <f>CLEAN(IFERROR(VLOOKUP($C46,Interventions!$E$1:$K$444,7,0),""))</f>
        <v>FunOpp_16:ActAre_597</v>
      </c>
      <c r="N46" s="15" t="str">
        <f>CLEAN(IF(C46="","",CONCATENATE(Modules!$B$8,PAAR!M46,Q46)))</f>
        <v>Geography_131/FundingOpportunity_16/FunOpp_16:ActAre_59718</v>
      </c>
      <c r="O46" s="70" t="str">
        <f>IFERROR(INDEX('Dropdown Data'!$D$33:$D$35,MATCH(A46,'Dropdown Data'!$B$33:$B$35,0)),IFERROR(INDEX('Dropdown Data'!$D$33:$D$35,MATCH(A46,'Dropdown Data'!$C$33:$C$35,0)),A46))</f>
        <v>Medium</v>
      </c>
      <c r="P46" s="70" t="str">
        <f>IFERROR(INDEX('Dropdown Data'!$D$33:$D$36,MATCH(G46,'Dropdown Data'!$B$33:$B$36,0)),IFERROR(INDEX('Dropdown Data'!$D$33:$D$36,MATCH(G46,'Dropdown Data'!$C$33:$C$36,0)),G46))</f>
        <v/>
      </c>
      <c r="Q46" s="71">
        <v>18</v>
      </c>
      <c r="R46" s="71" t="b">
        <f t="shared" si="0"/>
        <v>0</v>
      </c>
      <c r="S46" s="71">
        <f t="shared" si="1"/>
        <v>4</v>
      </c>
      <c r="T46" s="71" t="str">
        <f>IFERROR(VLOOKUP(B46,Modules!$E$11:$K$52,7,0),IFERROR(VLOOKUP(B46,Modules!$F$11:$K$52,6,0),VLOOKUP(B46,Modules!$G$11:$K$52,5,0)))</f>
        <v>MCI-01301</v>
      </c>
      <c r="U46" s="71">
        <f>IFERROR(MATCH(T46,Interventions!C:C,0),0)</f>
        <v>46</v>
      </c>
      <c r="V46" s="71" cm="1">
        <f t="array" ref="V46">SUM(U46,COUNTIF(ModuleStart,T46)-1)</f>
        <v>51</v>
      </c>
      <c r="W46" s="72">
        <f t="shared" si="2"/>
        <v>252000</v>
      </c>
      <c r="X46" s="72">
        <f t="shared" si="3"/>
        <v>252000</v>
      </c>
      <c r="Y46" s="82" t="str">
        <f>IF(AND(AE46="Continue",AG46="Continue"),VLOOKUP($B$10,Translation[],91,0),IF(AND(AE46&lt;&gt;"Continue",AG46="Continue"),AE46,IF(AND(AG46&lt;&gt;"Continue",AE46="Continue"),AG46,CONCATENATE(AE46,CHAR(10),AG46))))</f>
        <v>No error</v>
      </c>
      <c r="Z46" s="62" t="str">
        <f>IF(OR(AND($B46&lt;&gt;"",$K46=""),AND($C46&lt;&gt;"",$L46="")),VLOOKUP($B$10,Translation[],87,0),"Continue")</f>
        <v>Continue</v>
      </c>
      <c r="AA46" s="62" t="str">
        <f>IF(AND($B46 &lt;&gt; "",$K46&lt;&gt;""),IF($K46=_xlfn.XLOOKUP(L46,Interventions!$F$11:$F$179,Interventions!$C$11:$C$179,1,0,1),"Continue",VLOOKUP($B$10,Translation[],88,0)),"Continue")</f>
        <v>Continue</v>
      </c>
      <c r="AB46" s="9" t="str">
        <f>IFERROR(IF($A46&lt;&gt;"",IF($B$10="English", IF(MATCH($A46,'Dropdown Data'!$A$361:$A$363,0)&gt;0,"Continue"), IF($B$10="Français",IF(MATCH($A46,'Dropdown Data'!$B$361:$B$363,0)&gt;0,"Continue"), IF($B$10="Español",IF(MATCH($A46,'Dropdown Data'!$C$361:$C$363,0)&gt;0,"Continue"),VLOOKUP($B$10,Translation[],89,0)))),"Continue"),VLOOKUP($B$10,Translation[],89,0))</f>
        <v>Continue</v>
      </c>
      <c r="AC46" s="62" t="str">
        <f>IF(AND(NOT(ISBLANK($D46)),(NOT(ISNUMBER($D46)))),VLOOKUP($B$10,Translation[],90,0),"Continue")</f>
        <v>Continue</v>
      </c>
      <c r="AD46" s="62" t="str">
        <f xml:space="preserve"> IFERROR(IF(INT($D46) &lt;&gt; $D46, VLOOKUP($B$10,Translation[],92,0), "Continue"),"Continue")</f>
        <v>Continue</v>
      </c>
      <c r="AE46" s="62" t="str">
        <f t="shared" si="4"/>
        <v>Continue</v>
      </c>
      <c r="AF46" s="9" t="str">
        <f t="shared" si="5"/>
        <v>Continue</v>
      </c>
      <c r="AG46" s="9" t="str">
        <f t="shared" si="6"/>
        <v>Continue</v>
      </c>
    </row>
    <row r="47" spans="1:33" ht="45" customHeight="1" x14ac:dyDescent="0.2">
      <c r="A47" s="83" t="s">
        <v>1421</v>
      </c>
      <c r="B47" s="84" t="s">
        <v>152</v>
      </c>
      <c r="C47" s="84" t="s">
        <v>639</v>
      </c>
      <c r="D47" s="122">
        <v>203329</v>
      </c>
      <c r="E47" s="93">
        <f>IF(ISBLANK(D47),"",IF(IF(Modules!$D$4="EUR",W47*(Modules!$B$5),$W47)=0,0,IF(Modules!$D$4="EUR",W47*(Modules!$B$5),$W47)))</f>
        <v>203329</v>
      </c>
      <c r="F47" s="124" t="s">
        <v>2286</v>
      </c>
      <c r="G47" s="82" t="str">
        <f>IF(NOT(ISBLANK('PAAR (EN)'!$G47)),IF('PAAR (EN)'!$G47 &lt;&gt; "",IF(PAAR!$B$10="English",'PAAR (EN)'!$G47,IF(PAAR!$B$10="Français",_xlfn.XLOOKUP('PAAR (EN)'!$G47,'Dropdown Data'!$A$365:$A$368, 'Dropdown Data'!$B$365:$B$368,0,0,1),_xlfn.XLOOKUP('PAAR (EN)'!$G47,'Dropdown Data'!$A$365:$A$368,'Dropdown Data'!$C$365:$C$368,0,0,1))),""),"")</f>
        <v/>
      </c>
      <c r="H47" s="92" t="str">
        <f>IF('PAAR (EN)'!$H47 &lt;&gt;"", 'PAAR (EN)'!$H47, "")</f>
        <v/>
      </c>
      <c r="I47" s="89" t="str">
        <f>IF('PAAR (EN)'!$I47 &lt;&gt; "", 'PAAR (EN)'!$I47, "")</f>
        <v/>
      </c>
      <c r="J47" s="15"/>
      <c r="K47" s="42" t="str">
        <f>IFERROR(VLOOKUP(B47,Modules!C:D,2,0),"")</f>
        <v>MCI-01309</v>
      </c>
      <c r="L47" s="40" t="str" cm="1">
        <f t="array" ref="L47">IFERROR(INDEX(Interventions!$F$12:$F$178,MATCH(TRUE,INDEX(Interventions!$E$12:$E$178=$C47,0),0)),0)</f>
        <v>MCI-01368</v>
      </c>
      <c r="M47" s="15" t="str">
        <f>CLEAN(IFERROR(VLOOKUP($C47,Interventions!$E$1:$K$444,7,0),""))</f>
        <v>FunOpp_16:ActAre_101</v>
      </c>
      <c r="N47" s="15" t="str">
        <f>CLEAN(IF(C47="","",CONCATENATE(Modules!$B$8,PAAR!M47,Q47)))</f>
        <v>Geography_131/FundingOpportunity_16/FunOpp_16:ActAre_10119</v>
      </c>
      <c r="O47" s="70" t="str">
        <f>IFERROR(INDEX('Dropdown Data'!$D$33:$D$35,MATCH(A47,'Dropdown Data'!$B$33:$B$35,0)),IFERROR(INDEX('Dropdown Data'!$D$33:$D$35,MATCH(A47,'Dropdown Data'!$C$33:$C$35,0)),A47))</f>
        <v>Medium</v>
      </c>
      <c r="P47" s="70" t="str">
        <f>IFERROR(INDEX('Dropdown Data'!$D$33:$D$36,MATCH(G47,'Dropdown Data'!$B$33:$B$36,0)),IFERROR(INDEX('Dropdown Data'!$D$33:$D$36,MATCH(G47,'Dropdown Data'!$C$33:$C$36,0)),G47))</f>
        <v/>
      </c>
      <c r="Q47" s="71">
        <v>19</v>
      </c>
      <c r="R47" s="71" t="b">
        <f t="shared" si="0"/>
        <v>0</v>
      </c>
      <c r="S47" s="71">
        <f t="shared" si="1"/>
        <v>4</v>
      </c>
      <c r="T47" s="71" t="str">
        <f>IFERROR(VLOOKUP(B47,Modules!$E$11:$K$52,7,0),IFERROR(VLOOKUP(B47,Modules!$F$11:$K$52,6,0),VLOOKUP(B47,Modules!$G$11:$K$52,5,0)))</f>
        <v>MCI-01309</v>
      </c>
      <c r="U47" s="71">
        <f>IFERROR(MATCH(T47,Interventions!C:C,0),0)</f>
        <v>94</v>
      </c>
      <c r="V47" s="71" cm="1">
        <f t="array" ref="V47">SUM(U47,COUNTIF(ModuleStart,T47)-1)</f>
        <v>95</v>
      </c>
      <c r="W47" s="72">
        <f t="shared" si="2"/>
        <v>203329</v>
      </c>
      <c r="X47" s="72">
        <f t="shared" si="3"/>
        <v>203329</v>
      </c>
      <c r="Y47" s="82" t="str">
        <f>IF(AND(AE47="Continue",AG47="Continue"),VLOOKUP($B$10,Translation[],91,0),IF(AND(AE47&lt;&gt;"Continue",AG47="Continue"),AE47,IF(AND(AG47&lt;&gt;"Continue",AE47="Continue"),AG47,CONCATENATE(AE47,CHAR(10),AG47))))</f>
        <v>No error</v>
      </c>
      <c r="Z47" s="62" t="str">
        <f>IF(OR(AND($B47&lt;&gt;"",$K47=""),AND($C47&lt;&gt;"",$L47="")),VLOOKUP($B$10,Translation[],87,0),"Continue")</f>
        <v>Continue</v>
      </c>
      <c r="AA47" s="62" t="str">
        <f>IF(AND($B47 &lt;&gt; "",$K47&lt;&gt;""),IF($K47=_xlfn.XLOOKUP(L47,Interventions!$F$11:$F$179,Interventions!$C$11:$C$179,1,0,1),"Continue",VLOOKUP($B$10,Translation[],88,0)),"Continue")</f>
        <v>Continue</v>
      </c>
      <c r="AB47" s="9" t="str">
        <f>IFERROR(IF($A47&lt;&gt;"",IF($B$10="English", IF(MATCH($A47,'Dropdown Data'!$A$361:$A$363,0)&gt;0,"Continue"), IF($B$10="Français",IF(MATCH($A47,'Dropdown Data'!$B$361:$B$363,0)&gt;0,"Continue"), IF($B$10="Español",IF(MATCH($A47,'Dropdown Data'!$C$361:$C$363,0)&gt;0,"Continue"),VLOOKUP($B$10,Translation[],89,0)))),"Continue"),VLOOKUP($B$10,Translation[],89,0))</f>
        <v>Continue</v>
      </c>
      <c r="AC47" s="62" t="str">
        <f>IF(AND(NOT(ISBLANK($D47)),(NOT(ISNUMBER($D47)))),VLOOKUP($B$10,Translation[],90,0),"Continue")</f>
        <v>Continue</v>
      </c>
      <c r="AD47" s="62" t="str">
        <f xml:space="preserve"> IFERROR(IF(INT($D47) &lt;&gt; $D47, VLOOKUP($B$10,Translation[],92,0), "Continue"),"Continue")</f>
        <v>Continue</v>
      </c>
      <c r="AE47" s="62" t="str">
        <f t="shared" si="4"/>
        <v>Continue</v>
      </c>
      <c r="AF47" s="9" t="str">
        <f t="shared" si="5"/>
        <v>Continue</v>
      </c>
      <c r="AG47" s="9" t="str">
        <f t="shared" si="6"/>
        <v>Continue</v>
      </c>
    </row>
    <row r="48" spans="1:33" ht="45" customHeight="1" x14ac:dyDescent="0.2">
      <c r="A48" s="83" t="s">
        <v>1421</v>
      </c>
      <c r="B48" s="84" t="s">
        <v>187</v>
      </c>
      <c r="C48" s="84" t="s">
        <v>883</v>
      </c>
      <c r="D48" s="122">
        <v>180000</v>
      </c>
      <c r="E48" s="93">
        <f>IF(ISBLANK(D48),"",IF(IF(Modules!$D$4="EUR",W48*(Modules!$B$5),$W48)=0,0,IF(Modules!$D$4="EUR",W48*(Modules!$B$5),$W48)))</f>
        <v>180000</v>
      </c>
      <c r="F48" s="124" t="s">
        <v>2283</v>
      </c>
      <c r="G48" s="82" t="str">
        <f>IF(NOT(ISBLANK('PAAR (EN)'!$G48)),IF('PAAR (EN)'!$G48 &lt;&gt; "",IF(PAAR!$B$10="English",'PAAR (EN)'!$G48,IF(PAAR!$B$10="Français",_xlfn.XLOOKUP('PAAR (EN)'!$G48,'Dropdown Data'!$A$365:$A$368, 'Dropdown Data'!$B$365:$B$368,0,0,1),_xlfn.XLOOKUP('PAAR (EN)'!$G48,'Dropdown Data'!$A$365:$A$368,'Dropdown Data'!$C$365:$C$368,0,0,1))),""),"")</f>
        <v/>
      </c>
      <c r="H48" s="92" t="str">
        <f>IF('PAAR (EN)'!$H48 &lt;&gt;"", 'PAAR (EN)'!$H48, "")</f>
        <v/>
      </c>
      <c r="I48" s="89" t="str">
        <f>IF('PAAR (EN)'!$I48 &lt;&gt; "", 'PAAR (EN)'!$I48, "")</f>
        <v/>
      </c>
      <c r="J48" s="15"/>
      <c r="K48" s="42" t="str">
        <f>IFERROR(VLOOKUP(B48,Modules!C:D,2,0),"")</f>
        <v>MCI-01323</v>
      </c>
      <c r="L48" s="40" t="str" cm="1">
        <f t="array" ref="L48">IFERROR(INDEX(Interventions!$F$12:$F$178,MATCH(TRUE,INDEX(Interventions!$E$12:$E$178=$C48,0),0)),0)</f>
        <v>MCI-01409</v>
      </c>
      <c r="M48" s="15" t="str">
        <f>CLEAN(IFERROR(VLOOKUP($C48,Interventions!$E$1:$K$444,7,0),""))</f>
        <v>FunOpp_16:ActAre_433</v>
      </c>
      <c r="N48" s="15" t="str">
        <f>CLEAN(IF(C48="","",CONCATENATE(Modules!$B$8,PAAR!M48,Q48)))</f>
        <v>Geography_131/FundingOpportunity_16/FunOpp_16:ActAre_43320</v>
      </c>
      <c r="O48" s="70" t="str">
        <f>IFERROR(INDEX('Dropdown Data'!$D$33:$D$35,MATCH(A48,'Dropdown Data'!$B$33:$B$35,0)),IFERROR(INDEX('Dropdown Data'!$D$33:$D$35,MATCH(A48,'Dropdown Data'!$C$33:$C$35,0)),A48))</f>
        <v>Medium</v>
      </c>
      <c r="P48" s="70" t="str">
        <f>IFERROR(INDEX('Dropdown Data'!$D$33:$D$36,MATCH(G48,'Dropdown Data'!$B$33:$B$36,0)),IFERROR(INDEX('Dropdown Data'!$D$33:$D$36,MATCH(G48,'Dropdown Data'!$C$33:$C$36,0)),G48))</f>
        <v/>
      </c>
      <c r="Q48" s="71">
        <v>20</v>
      </c>
      <c r="R48" s="71" t="b">
        <f t="shared" si="0"/>
        <v>0</v>
      </c>
      <c r="S48" s="71">
        <f t="shared" si="1"/>
        <v>4</v>
      </c>
      <c r="T48" s="71" t="str">
        <f>IFERROR(VLOOKUP(B48,Modules!$E$11:$K$52,7,0),IFERROR(VLOOKUP(B48,Modules!$F$11:$K$52,6,0),VLOOKUP(B48,Modules!$G$11:$K$52,5,0)))</f>
        <v>MCI-01323</v>
      </c>
      <c r="U48" s="71">
        <f>IFERROR(MATCH(T48,Interventions!C:C,0),0)</f>
        <v>140</v>
      </c>
      <c r="V48" s="71" cm="1">
        <f t="array" ref="V48">SUM(U48,COUNTIF(ModuleStart,T48)-1)</f>
        <v>146</v>
      </c>
      <c r="W48" s="72">
        <f t="shared" si="2"/>
        <v>180000</v>
      </c>
      <c r="X48" s="72">
        <f t="shared" si="3"/>
        <v>180000</v>
      </c>
      <c r="Y48" s="82" t="str">
        <f>IF(AND(AE48="Continue",AG48="Continue"),VLOOKUP($B$10,Translation[],91,0),IF(AND(AE48&lt;&gt;"Continue",AG48="Continue"),AE48,IF(AND(AG48&lt;&gt;"Continue",AE48="Continue"),AG48,CONCATENATE(AE48,CHAR(10),AG48))))</f>
        <v>No error</v>
      </c>
      <c r="Z48" s="62" t="str">
        <f>IF(OR(AND($B48&lt;&gt;"",$K48=""),AND($C48&lt;&gt;"",$L48="")),VLOOKUP($B$10,Translation[],87,0),"Continue")</f>
        <v>Continue</v>
      </c>
      <c r="AA48" s="62" t="str">
        <f>IF(AND($B48 &lt;&gt; "",$K48&lt;&gt;""),IF($K48=_xlfn.XLOOKUP(L48,Interventions!$F$11:$F$179,Interventions!$C$11:$C$179,1,0,1),"Continue",VLOOKUP($B$10,Translation[],88,0)),"Continue")</f>
        <v>Continue</v>
      </c>
      <c r="AB48" s="9" t="str">
        <f>IFERROR(IF($A48&lt;&gt;"",IF($B$10="English", IF(MATCH($A48,'Dropdown Data'!$A$361:$A$363,0)&gt;0,"Continue"), IF($B$10="Français",IF(MATCH($A48,'Dropdown Data'!$B$361:$B$363,0)&gt;0,"Continue"), IF($B$10="Español",IF(MATCH($A48,'Dropdown Data'!$C$361:$C$363,0)&gt;0,"Continue"),VLOOKUP($B$10,Translation[],89,0)))),"Continue"),VLOOKUP($B$10,Translation[],89,0))</f>
        <v>Continue</v>
      </c>
      <c r="AC48" s="62" t="str">
        <f>IF(AND(NOT(ISBLANK($D48)),(NOT(ISNUMBER($D48)))),VLOOKUP($B$10,Translation[],90,0),"Continue")</f>
        <v>Continue</v>
      </c>
      <c r="AD48" s="62" t="str">
        <f xml:space="preserve"> IFERROR(IF(INT($D48) &lt;&gt; $D48, VLOOKUP($B$10,Translation[],92,0), "Continue"),"Continue")</f>
        <v>Continue</v>
      </c>
      <c r="AE48" s="62" t="str">
        <f t="shared" si="4"/>
        <v>Continue</v>
      </c>
      <c r="AF48" s="9" t="str">
        <f t="shared" si="5"/>
        <v>Continue</v>
      </c>
      <c r="AG48" s="9" t="str">
        <f t="shared" si="6"/>
        <v>Continue</v>
      </c>
    </row>
    <row r="49" spans="1:33" ht="75" x14ac:dyDescent="0.2">
      <c r="A49" s="84" t="s">
        <v>1421</v>
      </c>
      <c r="B49" s="84" t="s">
        <v>175</v>
      </c>
      <c r="C49" s="84" t="s">
        <v>804</v>
      </c>
      <c r="D49" s="122">
        <v>150000</v>
      </c>
      <c r="E49" s="93">
        <f>IF(ISBLANK(D49),"",IF(IF(Modules!$D$4="EUR",W49*(Modules!$B$5),$W49)=0,0,IF(Modules!$D$4="EUR",W49*(Modules!$B$5),$W49)))</f>
        <v>150000</v>
      </c>
      <c r="F49" s="124" t="s">
        <v>2284</v>
      </c>
      <c r="G49" s="82" t="str">
        <f>IF(NOT(ISBLANK('PAAR (EN)'!$G49)),IF('PAAR (EN)'!$G49 &lt;&gt; "",IF(PAAR!$B$10="English",'PAAR (EN)'!$G49,IF(PAAR!$B$10="Français",_xlfn.XLOOKUP('PAAR (EN)'!$G49,'Dropdown Data'!$A$365:$A$368, 'Dropdown Data'!$B$365:$B$368,0,0,1),_xlfn.XLOOKUP('PAAR (EN)'!$G49,'Dropdown Data'!$A$365:$A$368,'Dropdown Data'!$C$365:$C$368,0,0,1))),""),"")</f>
        <v/>
      </c>
      <c r="H49" s="92" t="str">
        <f>IF('PAAR (EN)'!$H49 &lt;&gt;"", 'PAAR (EN)'!$H49, "")</f>
        <v/>
      </c>
      <c r="I49" s="89" t="str">
        <f>IF('PAAR (EN)'!$I49 &lt;&gt; "", 'PAAR (EN)'!$I49, "")</f>
        <v/>
      </c>
      <c r="J49" s="15"/>
      <c r="K49" s="42" t="str">
        <f>IFERROR(VLOOKUP(B49,Modules!C:D,2,0),"")</f>
        <v>MCI-01320</v>
      </c>
      <c r="L49" s="40" t="str" cm="1">
        <f t="array" ref="L49">IFERROR(INDEX(Interventions!$F$12:$F$178,MATCH(TRUE,INDEX(Interventions!$E$12:$E$178=$C49,0),0)),0)</f>
        <v>MCI-01473</v>
      </c>
      <c r="M49" s="15" t="str">
        <f>CLEAN(IFERROR(VLOOKUP($C49,Interventions!$E$1:$K$444,7,0),""))</f>
        <v>FunOpp_16:ActAre_253</v>
      </c>
      <c r="N49" s="15" t="str">
        <f>CLEAN(IF(C49="","",CONCATENATE(Modules!$B$8,PAAR!M49,Q49)))</f>
        <v>Geography_131/FundingOpportunity_16/FunOpp_16:ActAre_25321</v>
      </c>
      <c r="O49" s="70" t="str">
        <f>IFERROR(INDEX('Dropdown Data'!$D$33:$D$35,MATCH(A49,'Dropdown Data'!$B$33:$B$35,0)),IFERROR(INDEX('Dropdown Data'!$D$33:$D$35,MATCH(A49,'Dropdown Data'!$C$33:$C$35,0)),A49))</f>
        <v>Medium</v>
      </c>
      <c r="P49" s="70" t="str">
        <f>IFERROR(INDEX('Dropdown Data'!$D$33:$D$36,MATCH(G49,'Dropdown Data'!$B$33:$B$36,0)),IFERROR(INDEX('Dropdown Data'!$D$33:$D$36,MATCH(G49,'Dropdown Data'!$C$33:$C$36,0)),G49))</f>
        <v/>
      </c>
      <c r="Q49" s="71">
        <v>21</v>
      </c>
      <c r="R49" s="71" t="b">
        <f t="shared" si="0"/>
        <v>0</v>
      </c>
      <c r="S49" s="71">
        <f t="shared" si="1"/>
        <v>4</v>
      </c>
      <c r="T49" s="71" t="str">
        <f>IFERROR(VLOOKUP(B49,Modules!$E$11:$K$52,7,0),IFERROR(VLOOKUP(B49,Modules!$F$11:$K$52,6,0),VLOOKUP(B49,Modules!$G$11:$K$52,5,0)))</f>
        <v>MCI-01320</v>
      </c>
      <c r="U49" s="71">
        <f>IFERROR(MATCH(T49,Interventions!C:C,0),0)</f>
        <v>126</v>
      </c>
      <c r="V49" s="71" cm="1">
        <f t="array" ref="V49">SUM(U49,COUNTIF(ModuleStart,T49)-1)</f>
        <v>128</v>
      </c>
      <c r="W49" s="72">
        <f t="shared" si="2"/>
        <v>150000</v>
      </c>
      <c r="X49" s="72">
        <f t="shared" si="3"/>
        <v>150000</v>
      </c>
      <c r="Y49" s="82" t="str">
        <f>IF(AND(AE49="Continue",AG49="Continue"),VLOOKUP($B$10,Translation[],91,0),IF(AND(AE49&lt;&gt;"Continue",AG49="Continue"),AE49,IF(AND(AG49&lt;&gt;"Continue",AE49="Continue"),AG49,CONCATENATE(AE49,CHAR(10),AG49))))</f>
        <v>No error</v>
      </c>
      <c r="Z49" s="62" t="str">
        <f>IF(OR(AND($B49&lt;&gt;"",$K49=""),AND($C49&lt;&gt;"",$L49="")),VLOOKUP($B$10,Translation[],87,0),"Continue")</f>
        <v>Continue</v>
      </c>
      <c r="AA49" s="62" t="str">
        <f>IF(AND($B49 &lt;&gt; "",$K49&lt;&gt;""),IF($K49=_xlfn.XLOOKUP(L49,Interventions!$F$11:$F$179,Interventions!$C$11:$C$179,1,0,1),"Continue",VLOOKUP($B$10,Translation[],88,0)),"Continue")</f>
        <v>Continue</v>
      </c>
      <c r="AB49" s="9" t="str">
        <f>IFERROR(IF($A49&lt;&gt;"",IF($B$10="English", IF(MATCH($A49,'Dropdown Data'!$A$361:$A$363,0)&gt;0,"Continue"), IF($B$10="Français",IF(MATCH($A49,'Dropdown Data'!$B$361:$B$363,0)&gt;0,"Continue"), IF($B$10="Español",IF(MATCH($A49,'Dropdown Data'!$C$361:$C$363,0)&gt;0,"Continue"),VLOOKUP($B$10,Translation[],89,0)))),"Continue"),VLOOKUP($B$10,Translation[],89,0))</f>
        <v>Continue</v>
      </c>
      <c r="AC49" s="62" t="str">
        <f>IF(AND(NOT(ISBLANK($D49)),(NOT(ISNUMBER($D49)))),VLOOKUP($B$10,Translation[],90,0),"Continue")</f>
        <v>Continue</v>
      </c>
      <c r="AD49" s="62" t="str">
        <f xml:space="preserve"> IFERROR(IF(INT($D49) &lt;&gt; $D49, VLOOKUP($B$10,Translation[],92,0), "Continue"),"Continue")</f>
        <v>Continue</v>
      </c>
      <c r="AE49" s="62" t="str">
        <f t="shared" si="4"/>
        <v>Continue</v>
      </c>
      <c r="AF49" s="9" t="str">
        <f t="shared" si="5"/>
        <v>Continue</v>
      </c>
      <c r="AG49" s="9" t="str">
        <f t="shared" si="6"/>
        <v>Continue</v>
      </c>
    </row>
    <row r="50" spans="1:33" ht="45" x14ac:dyDescent="0.2">
      <c r="A50" s="84" t="s">
        <v>1421</v>
      </c>
      <c r="B50" s="84" t="s">
        <v>195</v>
      </c>
      <c r="C50" s="84" t="s">
        <v>970</v>
      </c>
      <c r="D50" s="122">
        <v>100000</v>
      </c>
      <c r="E50" s="93">
        <f>IF(ISBLANK(D50),"",IF(IF(Modules!$D$4="EUR",W50*(Modules!$B$5),$W50)=0,0,IF(Modules!$D$4="EUR",W50*(Modules!$B$5),$W50)))</f>
        <v>100000</v>
      </c>
      <c r="F50" s="124" t="s">
        <v>2285</v>
      </c>
      <c r="G50" s="82" t="str">
        <f>IF(NOT(ISBLANK('PAAR (EN)'!$G50)),IF('PAAR (EN)'!$G50 &lt;&gt; "",IF(PAAR!$B$10="English",'PAAR (EN)'!$G50,IF(PAAR!$B$10="Français",_xlfn.XLOOKUP('PAAR (EN)'!$G50,'Dropdown Data'!$A$365:$A$368, 'Dropdown Data'!$B$365:$B$368,0,0,1),_xlfn.XLOOKUP('PAAR (EN)'!$G50,'Dropdown Data'!$A$365:$A$368,'Dropdown Data'!$C$365:$C$368,0,0,1))),""),"")</f>
        <v/>
      </c>
      <c r="H50" s="92" t="str">
        <f>IF('PAAR (EN)'!$H50 &lt;&gt;"", 'PAAR (EN)'!$H50, "")</f>
        <v/>
      </c>
      <c r="I50" s="89" t="str">
        <f>IF('PAAR (EN)'!$I50 &lt;&gt; "", 'PAAR (EN)'!$I50, "")</f>
        <v/>
      </c>
      <c r="J50" s="15"/>
      <c r="K50" s="42" t="str">
        <f>IFERROR(VLOOKUP(B50,Modules!C:D,2,0),"")</f>
        <v>MCI-01325</v>
      </c>
      <c r="L50" s="40" t="str" cm="1">
        <f t="array" ref="L50">IFERROR(INDEX(Interventions!$F$12:$F$178,MATCH(TRUE,INDEX(Interventions!$E$12:$E$178=$C50,0),0)),0)</f>
        <v>MCI-01486</v>
      </c>
      <c r="M50" s="15" t="str">
        <f>CLEAN(IFERROR(VLOOKUP($C50,Interventions!$E$1:$K$444,7,0),""))</f>
        <v>FunOpp_16:ActAre_449</v>
      </c>
      <c r="N50" s="15" t="str">
        <f>CLEAN(IF(C50="","",CONCATENATE(Modules!$B$8,PAAR!M50,Q50)))</f>
        <v>Geography_131/FundingOpportunity_16/FunOpp_16:ActAre_44922</v>
      </c>
      <c r="O50" s="70" t="str">
        <f>IFERROR(INDEX('Dropdown Data'!$D$33:$D$35,MATCH(A50,'Dropdown Data'!$B$33:$B$35,0)),IFERROR(INDEX('Dropdown Data'!$D$33:$D$35,MATCH(A50,'Dropdown Data'!$C$33:$C$35,0)),A50))</f>
        <v>Medium</v>
      </c>
      <c r="P50" s="70" t="str">
        <f>IFERROR(INDEX('Dropdown Data'!$D$33:$D$36,MATCH(G50,'Dropdown Data'!$B$33:$B$36,0)),IFERROR(INDEX('Dropdown Data'!$D$33:$D$36,MATCH(G50,'Dropdown Data'!$C$33:$C$36,0)),G50))</f>
        <v/>
      </c>
      <c r="Q50" s="71">
        <v>22</v>
      </c>
      <c r="R50" s="71" t="b">
        <f t="shared" si="0"/>
        <v>0</v>
      </c>
      <c r="S50" s="71">
        <f t="shared" si="1"/>
        <v>4</v>
      </c>
      <c r="T50" s="71" t="str">
        <f>IFERROR(VLOOKUP(B50,Modules!$E$11:$K$52,7,0),IFERROR(VLOOKUP(B50,Modules!$F$11:$K$52,6,0),VLOOKUP(B50,Modules!$G$11:$K$52,5,0)))</f>
        <v>MCI-01325</v>
      </c>
      <c r="U50" s="71">
        <f>IFERROR(MATCH(T50,Interventions!C:C,0),0)</f>
        <v>157</v>
      </c>
      <c r="V50" s="71" cm="1">
        <f t="array" ref="V50">SUM(U50,COUNTIF(ModuleStart,T50)-1)</f>
        <v>164</v>
      </c>
      <c r="W50" s="72">
        <f t="shared" si="2"/>
        <v>100000</v>
      </c>
      <c r="X50" s="72">
        <f t="shared" si="3"/>
        <v>100000</v>
      </c>
      <c r="Y50" s="82" t="str">
        <f>IF(AND(AE50="Continue",AG50="Continue"),VLOOKUP($B$10,Translation[],91,0),IF(AND(AE50&lt;&gt;"Continue",AG50="Continue"),AE50,IF(AND(AG50&lt;&gt;"Continue",AE50="Continue"),AG50,CONCATENATE(AE50,CHAR(10),AG50))))</f>
        <v>No error</v>
      </c>
      <c r="Z50" s="62" t="str">
        <f>IF(OR(AND($B50&lt;&gt;"",$K50=""),AND($C50&lt;&gt;"",$L50="")),VLOOKUP($B$10,Translation[],87,0),"Continue")</f>
        <v>Continue</v>
      </c>
      <c r="AA50" s="62" t="str">
        <f>IF(AND($B50 &lt;&gt; "",$K50&lt;&gt;""),IF($K50=_xlfn.XLOOKUP(L50,Interventions!$F$11:$F$179,Interventions!$C$11:$C$179,1,0,1),"Continue",VLOOKUP($B$10,Translation[],88,0)),"Continue")</f>
        <v>Continue</v>
      </c>
      <c r="AB50" s="9" t="str">
        <f>IFERROR(IF($A50&lt;&gt;"",IF($B$10="English", IF(MATCH($A50,'Dropdown Data'!$A$361:$A$363,0)&gt;0,"Continue"), IF($B$10="Français",IF(MATCH($A50,'Dropdown Data'!$B$361:$B$363,0)&gt;0,"Continue"), IF($B$10="Español",IF(MATCH($A50,'Dropdown Data'!$C$361:$C$363,0)&gt;0,"Continue"),VLOOKUP($B$10,Translation[],89,0)))),"Continue"),VLOOKUP($B$10,Translation[],89,0))</f>
        <v>Continue</v>
      </c>
      <c r="AC50" s="62" t="str">
        <f>IF(AND(NOT(ISBLANK($D50)),(NOT(ISNUMBER($D50)))),VLOOKUP($B$10,Translation[],90,0),"Continue")</f>
        <v>Continue</v>
      </c>
      <c r="AD50" s="62" t="str">
        <f xml:space="preserve"> IFERROR(IF(INT($D50) &lt;&gt; $D50, VLOOKUP($B$10,Translation[],92,0), "Continue"),"Continue")</f>
        <v>Continue</v>
      </c>
      <c r="AE50" s="62" t="str">
        <f t="shared" si="4"/>
        <v>Continue</v>
      </c>
      <c r="AF50" s="9" t="str">
        <f t="shared" si="5"/>
        <v>Continue</v>
      </c>
      <c r="AG50" s="9" t="str">
        <f t="shared" si="6"/>
        <v>Continue</v>
      </c>
    </row>
    <row r="51" spans="1:33" ht="15" x14ac:dyDescent="0.2">
      <c r="A51" s="83"/>
      <c r="B51" s="121"/>
      <c r="C51" s="121"/>
      <c r="D51" s="122"/>
      <c r="E51" s="120" t="str">
        <f>IF(ISBLANK(D51),"",IF(IF(Modules!$D$4="EUR",W51*(Modules!$B$5),$W51)=0,0,IF(Modules!$D$4="EUR",W51*(Modules!$B$5),$W51)))</f>
        <v/>
      </c>
      <c r="F51" s="125"/>
      <c r="G51" s="82" t="str">
        <f>IF(NOT(ISBLANK('PAAR (EN)'!$G51)),IF('PAAR (EN)'!$G51 &lt;&gt; "",IF(PAAR!$B$10="English",'PAAR (EN)'!$G51,IF(PAAR!$B$10="Français",_xlfn.XLOOKUP('PAAR (EN)'!$G51,'Dropdown Data'!$A$365:$A$368, 'Dropdown Data'!$B$365:$B$368,0,0,1),_xlfn.XLOOKUP('PAAR (EN)'!$G51,'Dropdown Data'!$A$365:$A$368,'Dropdown Data'!$C$365:$C$368,0,0,1))),""),"")</f>
        <v/>
      </c>
      <c r="H51" s="92" t="str">
        <f>IF('PAAR (EN)'!$H51 &lt;&gt;"", 'PAAR (EN)'!$H51, "")</f>
        <v/>
      </c>
      <c r="I51" s="89" t="str">
        <f>IF('PAAR (EN)'!$I51 &lt;&gt; "", 'PAAR (EN)'!$I51, "")</f>
        <v/>
      </c>
      <c r="J51" s="15"/>
      <c r="K51" s="42" t="str">
        <f>IFERROR(VLOOKUP(B51,Modules!C:D,2,0),"")</f>
        <v/>
      </c>
      <c r="L51" s="40" t="str" cm="1">
        <f t="array" ref="L51">IFERROR(INDEX(Interventions!$F$12:$F$178,MATCH(TRUE,INDEX(Interventions!$E$12:$E$178=$C51,0),0)),0)</f>
        <v>[Name ID]</v>
      </c>
      <c r="M51" s="15" t="str">
        <f>CLEAN(IFERROR(VLOOKUP($C51,Interventions!$E$1:$K$444,7,0),""))</f>
        <v/>
      </c>
      <c r="N51" s="15" t="str">
        <f>CLEAN(IF(C51="","",CONCATENATE(Modules!$B$8,PAAR!M51,Q51)))</f>
        <v/>
      </c>
      <c r="O51" s="70">
        <f>IFERROR(INDEX('Dropdown Data'!$D$33:$D$35,MATCH(A51,'Dropdown Data'!$B$33:$B$35,0)),IFERROR(INDEX('Dropdown Data'!$D$33:$D$35,MATCH(A51,'Dropdown Data'!$C$33:$C$35,0)),A51))</f>
        <v>0</v>
      </c>
      <c r="P51" s="70" t="str">
        <f>IFERROR(INDEX('Dropdown Data'!$D$33:$D$36,MATCH(G51,'Dropdown Data'!$B$33:$B$36,0)),IFERROR(INDEX('Dropdown Data'!$D$33:$D$36,MATCH(G51,'Dropdown Data'!$C$33:$C$36,0)),G51))</f>
        <v/>
      </c>
      <c r="Q51" s="71">
        <v>23</v>
      </c>
      <c r="R51" s="71" t="b">
        <f t="shared" si="0"/>
        <v>0</v>
      </c>
      <c r="S51" s="71">
        <f t="shared" si="1"/>
        <v>10</v>
      </c>
      <c r="T51" s="71" t="e">
        <f>IFERROR(VLOOKUP(B51,Modules!$E$11:$K$52,7,0),IFERROR(VLOOKUP(B51,Modules!$F$11:$K$52,6,0),VLOOKUP(B51,Modules!$G$11:$K$52,5,0)))</f>
        <v>#N/A</v>
      </c>
      <c r="U51" s="71">
        <f>IFERROR(MATCH(T51,Interventions!C:C,0),0)</f>
        <v>0</v>
      </c>
      <c r="V51" s="71" cm="1">
        <f t="array" ref="V51">SUM(U51,COUNTIF(ModuleStart,T51)-1)</f>
        <v>-1</v>
      </c>
      <c r="W51" s="72">
        <f t="shared" si="2"/>
        <v>0</v>
      </c>
      <c r="X51" s="72" t="str">
        <f t="shared" si="3"/>
        <v/>
      </c>
      <c r="Y51" s="82" t="str">
        <f>IF(AND(AE51="Continue",AG51="Continue"),VLOOKUP($B$10,Translation[],91,0),IF(AND(AE51&lt;&gt;"Continue",AG51="Continue"),AE51,IF(AND(AG51&lt;&gt;"Continue",AE51="Continue"),AG51,CONCATENATE(AE51,CHAR(10),AG51))))</f>
        <v>No error</v>
      </c>
      <c r="Z51" s="62" t="str">
        <f>IF(OR(AND($B51&lt;&gt;"",$K51=""),AND($C51&lt;&gt;"",$L51="")),VLOOKUP($B$10,Translation[],87,0),"Continue")</f>
        <v>Continue</v>
      </c>
      <c r="AA51" s="62" t="str">
        <f>IF(AND($B51 &lt;&gt; "",$K51&lt;&gt;""),IF($K51=_xlfn.XLOOKUP(L51,Interventions!$F$11:$F$179,Interventions!$C$11:$C$179,1,0,1),"Continue",VLOOKUP($B$10,Translation[],88,0)),"Continue")</f>
        <v>Continue</v>
      </c>
      <c r="AB51" s="9" t="str">
        <f>IFERROR(IF($A51&lt;&gt;"",IF($B$10="English", IF(MATCH($A51,'Dropdown Data'!$A$361:$A$363,0)&gt;0,"Continue"), IF($B$10="Français",IF(MATCH($A51,'Dropdown Data'!$B$361:$B$363,0)&gt;0,"Continue"), IF($B$10="Español",IF(MATCH($A51,'Dropdown Data'!$C$361:$C$363,0)&gt;0,"Continue"),VLOOKUP($B$10,Translation[],89,0)))),"Continue"),VLOOKUP($B$10,Translation[],89,0))</f>
        <v>Continue</v>
      </c>
      <c r="AC51" s="62" t="str">
        <f>IF(AND(NOT(ISBLANK($D51)),(NOT(ISNUMBER($D51)))),VLOOKUP($B$10,Translation[],90,0),"Continue")</f>
        <v>Continue</v>
      </c>
      <c r="AD51" s="62" t="str">
        <f xml:space="preserve"> IFERROR(IF(INT($D51) &lt;&gt; $D51, VLOOKUP($B$10,Translation[],92,0), "Continue"),"Continue")</f>
        <v>Continue</v>
      </c>
      <c r="AE51" s="62" t="str">
        <f t="shared" si="4"/>
        <v>Continue</v>
      </c>
      <c r="AF51" s="9" t="str">
        <f t="shared" si="5"/>
        <v>Continue</v>
      </c>
      <c r="AG51" s="9" t="str">
        <f t="shared" si="6"/>
        <v>Continue</v>
      </c>
    </row>
    <row r="52" spans="1:33" ht="15" x14ac:dyDescent="0.2">
      <c r="A52" s="83"/>
      <c r="B52" s="84"/>
      <c r="C52" s="84"/>
      <c r="D52" s="122"/>
      <c r="E52" s="120" t="str">
        <f>IF(ISBLANK(D52),"",IF(IF(Modules!$D$4="EUR",W52*(Modules!$B$5),$W52)=0,0,IF(Modules!$D$4="EUR",W52*(Modules!$B$5),$W52)))</f>
        <v/>
      </c>
      <c r="F52" s="124"/>
      <c r="G52" s="82" t="str">
        <f>IF(NOT(ISBLANK('PAAR (EN)'!$G52)),IF('PAAR (EN)'!$G52 &lt;&gt; "",IF(PAAR!$B$10="English",'PAAR (EN)'!$G52,IF(PAAR!$B$10="Français",_xlfn.XLOOKUP('PAAR (EN)'!$G52,'Dropdown Data'!$A$365:$A$368, 'Dropdown Data'!$B$365:$B$368,0,0,1),_xlfn.XLOOKUP('PAAR (EN)'!$G52,'Dropdown Data'!$A$365:$A$368,'Dropdown Data'!$C$365:$C$368,0,0,1))),""),"")</f>
        <v/>
      </c>
      <c r="H52" s="92" t="str">
        <f>IF('PAAR (EN)'!$H52 &lt;&gt;"", 'PAAR (EN)'!$H52, "")</f>
        <v/>
      </c>
      <c r="I52" s="89" t="str">
        <f>IF('PAAR (EN)'!$I52 &lt;&gt; "", 'PAAR (EN)'!$I52, "")</f>
        <v/>
      </c>
      <c r="J52" s="15"/>
      <c r="K52" s="42" t="str">
        <f>IFERROR(VLOOKUP(B52,Modules!C:D,2,0),"")</f>
        <v/>
      </c>
      <c r="L52" s="40" t="str" cm="1">
        <f t="array" ref="L52">IFERROR(INDEX(Interventions!$F$12:$F$178,MATCH(TRUE,INDEX(Interventions!$E$12:$E$178=$C52,0),0)),0)</f>
        <v>[Name ID]</v>
      </c>
      <c r="M52" s="15" t="str">
        <f>CLEAN(IFERROR(VLOOKUP($C52,Interventions!$E$1:$K$444,7,0),""))</f>
        <v/>
      </c>
      <c r="N52" s="15" t="str">
        <f>CLEAN(IF(C52="","",CONCATENATE(Modules!$B$8,PAAR!M52,Q52)))</f>
        <v/>
      </c>
      <c r="O52" s="70">
        <f>IFERROR(INDEX('Dropdown Data'!$D$33:$D$35,MATCH(A52,'Dropdown Data'!$B$33:$B$35,0)),IFERROR(INDEX('Dropdown Data'!$D$33:$D$35,MATCH(A52,'Dropdown Data'!$C$33:$C$35,0)),A52))</f>
        <v>0</v>
      </c>
      <c r="P52" s="70" t="str">
        <f>IFERROR(INDEX('Dropdown Data'!$D$33:$D$36,MATCH(G52,'Dropdown Data'!$B$33:$B$36,0)),IFERROR(INDEX('Dropdown Data'!$D$33:$D$36,MATCH(G52,'Dropdown Data'!$C$33:$C$36,0)),G52))</f>
        <v/>
      </c>
      <c r="Q52" s="71">
        <v>24</v>
      </c>
      <c r="R52" s="71" t="b">
        <f t="shared" si="0"/>
        <v>0</v>
      </c>
      <c r="S52" s="71">
        <f t="shared" si="1"/>
        <v>10</v>
      </c>
      <c r="T52" s="71" t="e">
        <f>IFERROR(VLOOKUP(B52,Modules!$E$11:$K$52,7,0),IFERROR(VLOOKUP(B52,Modules!$F$11:$K$52,6,0),VLOOKUP(B52,Modules!$G$11:$K$52,5,0)))</f>
        <v>#N/A</v>
      </c>
      <c r="U52" s="71">
        <f>IFERROR(MATCH(T52,Interventions!C:C,0),0)</f>
        <v>0</v>
      </c>
      <c r="V52" s="71" cm="1">
        <f t="array" ref="V52">SUM(U52,COUNTIF(ModuleStart,T52)-1)</f>
        <v>-1</v>
      </c>
      <c r="W52" s="72">
        <f t="shared" si="2"/>
        <v>0</v>
      </c>
      <c r="X52" s="72" t="str">
        <f t="shared" si="3"/>
        <v/>
      </c>
      <c r="Y52" s="82" t="str">
        <f>IF(AND(AE52="Continue",AG52="Continue"),VLOOKUP($B$10,Translation[],91,0),IF(AND(AE52&lt;&gt;"Continue",AG52="Continue"),AE52,IF(AND(AG52&lt;&gt;"Continue",AE52="Continue"),AG52,CONCATENATE(AE52,CHAR(10),AG52))))</f>
        <v>No error</v>
      </c>
      <c r="Z52" s="62" t="str">
        <f>IF(OR(AND($B52&lt;&gt;"",$K52=""),AND($C52&lt;&gt;"",$L52="")),VLOOKUP($B$10,Translation[],87,0),"Continue")</f>
        <v>Continue</v>
      </c>
      <c r="AA52" s="62" t="str">
        <f>IF(AND($B52 &lt;&gt; "",$K52&lt;&gt;""),IF($K52=_xlfn.XLOOKUP(L52,Interventions!$F$11:$F$179,Interventions!$C$11:$C$179,1,0,1),"Continue",VLOOKUP($B$10,Translation[],88,0)),"Continue")</f>
        <v>Continue</v>
      </c>
      <c r="AB52" s="9" t="str">
        <f>IFERROR(IF($A52&lt;&gt;"",IF($B$10="English", IF(MATCH($A52,'Dropdown Data'!$A$361:$A$363,0)&gt;0,"Continue"), IF($B$10="Français",IF(MATCH($A52,'Dropdown Data'!$B$361:$B$363,0)&gt;0,"Continue"), IF($B$10="Español",IF(MATCH($A52,'Dropdown Data'!$C$361:$C$363,0)&gt;0,"Continue"),VLOOKUP($B$10,Translation[],89,0)))),"Continue"),VLOOKUP($B$10,Translation[],89,0))</f>
        <v>Continue</v>
      </c>
      <c r="AC52" s="62" t="str">
        <f>IF(AND(NOT(ISBLANK($D52)),(NOT(ISNUMBER($D52)))),VLOOKUP($B$10,Translation[],90,0),"Continue")</f>
        <v>Continue</v>
      </c>
      <c r="AD52" s="62" t="str">
        <f xml:space="preserve"> IFERROR(IF(INT($D52) &lt;&gt; $D52, VLOOKUP($B$10,Translation[],92,0), "Continue"),"Continue")</f>
        <v>Continue</v>
      </c>
      <c r="AE52" s="62" t="str">
        <f t="shared" si="4"/>
        <v>Continue</v>
      </c>
      <c r="AF52" s="9" t="str">
        <f t="shared" si="5"/>
        <v>Continue</v>
      </c>
      <c r="AG52" s="9" t="str">
        <f t="shared" si="6"/>
        <v>Continue</v>
      </c>
    </row>
    <row r="53" spans="1:33" ht="15" x14ac:dyDescent="0.2">
      <c r="A53" s="83"/>
      <c r="B53" s="121"/>
      <c r="C53" s="121"/>
      <c r="D53" s="122"/>
      <c r="E53" s="120" t="str">
        <f>IF(ISBLANK(D53),"",IF(IF(Modules!$D$4="EUR",W53*(Modules!$B$5),$W53)=0,0,IF(Modules!$D$4="EUR",W53*(Modules!$B$5),$W53)))</f>
        <v/>
      </c>
      <c r="F53" s="124"/>
      <c r="G53" s="82" t="str">
        <f>IF(NOT(ISBLANK('PAAR (EN)'!$G53)),IF('PAAR (EN)'!$G53 &lt;&gt; "",IF(PAAR!$B$10="English",'PAAR (EN)'!$G53,IF(PAAR!$B$10="Français",_xlfn.XLOOKUP('PAAR (EN)'!$G53,'Dropdown Data'!$A$365:$A$368, 'Dropdown Data'!$B$365:$B$368,0,0,1),_xlfn.XLOOKUP('PAAR (EN)'!$G53,'Dropdown Data'!$A$365:$A$368,'Dropdown Data'!$C$365:$C$368,0,0,1))),""),"")</f>
        <v/>
      </c>
      <c r="H53" s="92" t="str">
        <f>IF('PAAR (EN)'!$H53 &lt;&gt;"", 'PAAR (EN)'!$H53, "")</f>
        <v/>
      </c>
      <c r="I53" s="89" t="str">
        <f>IF('PAAR (EN)'!$I53 &lt;&gt; "", 'PAAR (EN)'!$I53, "")</f>
        <v/>
      </c>
      <c r="J53" s="15"/>
      <c r="K53" s="42" t="str">
        <f>IFERROR(VLOOKUP(B53,Modules!C:D,2,0),"")</f>
        <v/>
      </c>
      <c r="L53" s="40" t="str" cm="1">
        <f t="array" ref="L53">IFERROR(INDEX(Interventions!$F$12:$F$178,MATCH(TRUE,INDEX(Interventions!$E$12:$E$178=$C53,0),0)),0)</f>
        <v>[Name ID]</v>
      </c>
      <c r="M53" s="15" t="str">
        <f>CLEAN(IFERROR(VLOOKUP($C53,Interventions!$E$1:$K$444,7,0),""))</f>
        <v/>
      </c>
      <c r="N53" s="15" t="str">
        <f>CLEAN(IF(C53="","",CONCATENATE(Modules!$B$8,PAAR!M53,Q53)))</f>
        <v/>
      </c>
      <c r="O53" s="70">
        <f>IFERROR(INDEX('Dropdown Data'!$D$33:$D$35,MATCH(A53,'Dropdown Data'!$B$33:$B$35,0)),IFERROR(INDEX('Dropdown Data'!$D$33:$D$35,MATCH(A53,'Dropdown Data'!$C$33:$C$35,0)),A53))</f>
        <v>0</v>
      </c>
      <c r="P53" s="70" t="str">
        <f>IFERROR(INDEX('Dropdown Data'!$D$33:$D$36,MATCH(G53,'Dropdown Data'!$B$33:$B$36,0)),IFERROR(INDEX('Dropdown Data'!$D$33:$D$36,MATCH(G53,'Dropdown Data'!$C$33:$C$36,0)),G53))</f>
        <v/>
      </c>
      <c r="Q53" s="71">
        <v>25</v>
      </c>
      <c r="R53" s="71" t="b">
        <f t="shared" si="0"/>
        <v>0</v>
      </c>
      <c r="S53" s="71">
        <f t="shared" si="1"/>
        <v>10</v>
      </c>
      <c r="T53" s="71" t="e">
        <f>IFERROR(VLOOKUP(B53,Modules!$E$11:$K$52,7,0),IFERROR(VLOOKUP(B53,Modules!$F$11:$K$52,6,0),VLOOKUP(B53,Modules!$G$11:$K$52,5,0)))</f>
        <v>#N/A</v>
      </c>
      <c r="U53" s="71">
        <f>IFERROR(MATCH(T53,Interventions!C:C,0),0)</f>
        <v>0</v>
      </c>
      <c r="V53" s="71" cm="1">
        <f t="array" ref="V53">SUM(U53,COUNTIF(ModuleStart,T53)-1)</f>
        <v>-1</v>
      </c>
      <c r="W53" s="72">
        <f t="shared" si="2"/>
        <v>0</v>
      </c>
      <c r="X53" s="72" t="str">
        <f t="shared" si="3"/>
        <v/>
      </c>
      <c r="Y53" s="82" t="str">
        <f>IF(AND(AE53="Continue",AG53="Continue"),VLOOKUP($B$10,Translation[],91,0),IF(AND(AE53&lt;&gt;"Continue",AG53="Continue"),AE53,IF(AND(AG53&lt;&gt;"Continue",AE53="Continue"),AG53,CONCATENATE(AE53,CHAR(10),AG53))))</f>
        <v>No error</v>
      </c>
      <c r="Z53" s="62" t="str">
        <f>IF(OR(AND($B53&lt;&gt;"",$K53=""),AND($C53&lt;&gt;"",$L53="")),VLOOKUP($B$10,Translation[],87,0),"Continue")</f>
        <v>Continue</v>
      </c>
      <c r="AA53" s="62" t="str">
        <f>IF(AND($B53 &lt;&gt; "",$K53&lt;&gt;""),IF($K53=_xlfn.XLOOKUP(L53,Interventions!$F$11:$F$179,Interventions!$C$11:$C$179,1,0,1),"Continue",VLOOKUP($B$10,Translation[],88,0)),"Continue")</f>
        <v>Continue</v>
      </c>
      <c r="AB53" s="9" t="str">
        <f>IFERROR(IF($A53&lt;&gt;"",IF($B$10="English", IF(MATCH($A53,'Dropdown Data'!$A$361:$A$363,0)&gt;0,"Continue"), IF($B$10="Français",IF(MATCH($A53,'Dropdown Data'!$B$361:$B$363,0)&gt;0,"Continue"), IF($B$10="Español",IF(MATCH($A53,'Dropdown Data'!$C$361:$C$363,0)&gt;0,"Continue"),VLOOKUP($B$10,Translation[],89,0)))),"Continue"),VLOOKUP($B$10,Translation[],89,0))</f>
        <v>Continue</v>
      </c>
      <c r="AC53" s="62" t="str">
        <f>IF(AND(NOT(ISBLANK($D53)),(NOT(ISNUMBER($D53)))),VLOOKUP($B$10,Translation[],90,0),"Continue")</f>
        <v>Continue</v>
      </c>
      <c r="AD53" s="62" t="str">
        <f xml:space="preserve"> IFERROR(IF(INT($D53) &lt;&gt; $D53, VLOOKUP($B$10,Translation[],92,0), "Continue"),"Continue")</f>
        <v>Continue</v>
      </c>
      <c r="AE53" s="62" t="str">
        <f t="shared" si="4"/>
        <v>Continue</v>
      </c>
      <c r="AF53" s="9" t="str">
        <f t="shared" si="5"/>
        <v>Continue</v>
      </c>
      <c r="AG53" s="9" t="str">
        <f t="shared" si="6"/>
        <v>Continue</v>
      </c>
    </row>
    <row r="54" spans="1:33" ht="15" x14ac:dyDescent="0.2">
      <c r="A54" s="83"/>
      <c r="B54" s="84"/>
      <c r="C54" s="84"/>
      <c r="D54" s="122"/>
      <c r="E54" s="93" t="str">
        <f>IF(ISBLANK(D54),"",IF(IF(Modules!$D$4="EUR",W54*(Modules!$B$5),$W54)=0,0,IF(Modules!$D$4="EUR",W54*(Modules!$B$5),$W54)))</f>
        <v/>
      </c>
      <c r="F54" s="124"/>
      <c r="G54" s="82" t="str">
        <f>IF(NOT(ISBLANK('PAAR (EN)'!$G54)),IF('PAAR (EN)'!$G54 &lt;&gt; "",IF(PAAR!$B$10="English",'PAAR (EN)'!$G54,IF(PAAR!$B$10="Français",_xlfn.XLOOKUP('PAAR (EN)'!$G54,'Dropdown Data'!$A$365:$A$368, 'Dropdown Data'!$B$365:$B$368,0,0,1),_xlfn.XLOOKUP('PAAR (EN)'!$G54,'Dropdown Data'!$A$365:$A$368,'Dropdown Data'!$C$365:$C$368,0,0,1))),""),"")</f>
        <v/>
      </c>
      <c r="H54" s="92" t="str">
        <f>IF('PAAR (EN)'!$H54 &lt;&gt;"", 'PAAR (EN)'!$H54, "")</f>
        <v/>
      </c>
      <c r="I54" s="89" t="str">
        <f>IF('PAAR (EN)'!$I54 &lt;&gt; "", 'PAAR (EN)'!$I54, "")</f>
        <v/>
      </c>
      <c r="J54" s="15"/>
      <c r="K54" s="42" t="str">
        <f>IFERROR(VLOOKUP(B54,Modules!C:D,2,0),"")</f>
        <v/>
      </c>
      <c r="L54" s="40" t="str" cm="1">
        <f t="array" ref="L54">IFERROR(INDEX(Interventions!$F$12:$F$178,MATCH(TRUE,INDEX(Interventions!$E$12:$E$178=$C54,0),0)),0)</f>
        <v>[Name ID]</v>
      </c>
      <c r="M54" s="15" t="str">
        <f>CLEAN(IFERROR(VLOOKUP($C54,Interventions!$E$1:$K$444,7,0),""))</f>
        <v/>
      </c>
      <c r="N54" s="15" t="str">
        <f>CLEAN(IF(C54="","",CONCATENATE(Modules!$B$8,PAAR!M54,Q54)))</f>
        <v/>
      </c>
      <c r="O54" s="70">
        <f>IFERROR(INDEX('Dropdown Data'!$D$33:$D$35,MATCH(A54,'Dropdown Data'!$B$33:$B$35,0)),IFERROR(INDEX('Dropdown Data'!$D$33:$D$35,MATCH(A54,'Dropdown Data'!$C$33:$C$35,0)),A54))</f>
        <v>0</v>
      </c>
      <c r="P54" s="70" t="str">
        <f>IFERROR(INDEX('Dropdown Data'!$D$33:$D$36,MATCH(G54,'Dropdown Data'!$B$33:$B$36,0)),IFERROR(INDEX('Dropdown Data'!$D$33:$D$36,MATCH(G54,'Dropdown Data'!$C$33:$C$36,0)),G54))</f>
        <v/>
      </c>
      <c r="Q54" s="71">
        <v>26</v>
      </c>
      <c r="R54" s="71" t="b">
        <f t="shared" si="0"/>
        <v>0</v>
      </c>
      <c r="S54" s="71">
        <f t="shared" si="1"/>
        <v>10</v>
      </c>
      <c r="T54" s="71" t="e">
        <f>IFERROR(VLOOKUP(B54,Modules!$E$11:$K$52,7,0),IFERROR(VLOOKUP(B54,Modules!$F$11:$K$52,6,0),VLOOKUP(B54,Modules!$G$11:$K$52,5,0)))</f>
        <v>#N/A</v>
      </c>
      <c r="U54" s="71">
        <f>IFERROR(MATCH(T54,Interventions!C:C,0),0)</f>
        <v>0</v>
      </c>
      <c r="V54" s="71" cm="1">
        <f t="array" ref="V54">SUM(U54,COUNTIF(ModuleStart,T54)-1)</f>
        <v>-1</v>
      </c>
      <c r="W54" s="72">
        <f t="shared" si="2"/>
        <v>0</v>
      </c>
      <c r="X54" s="72" t="str">
        <f t="shared" si="3"/>
        <v/>
      </c>
      <c r="Y54" s="82" t="str">
        <f>IF(AND(AE54="Continue",AG54="Continue"),VLOOKUP($B$10,Translation[],91,0),IF(AND(AE54&lt;&gt;"Continue",AG54="Continue"),AE54,IF(AND(AG54&lt;&gt;"Continue",AE54="Continue"),AG54,CONCATENATE(AE54,CHAR(10),AG54))))</f>
        <v>No error</v>
      </c>
      <c r="Z54" s="62" t="str">
        <f>IF(OR(AND($B54&lt;&gt;"",$K54=""),AND($C54&lt;&gt;"",$L54="")),VLOOKUP($B$10,Translation[],87,0),"Continue")</f>
        <v>Continue</v>
      </c>
      <c r="AA54" s="62" t="str">
        <f>IF(AND($B54 &lt;&gt; "",$K54&lt;&gt;""),IF($K54=_xlfn.XLOOKUP(L54,Interventions!$F$11:$F$179,Interventions!$C$11:$C$179,1,0,1),"Continue",VLOOKUP($B$10,Translation[],88,0)),"Continue")</f>
        <v>Continue</v>
      </c>
      <c r="AB54" s="9" t="str">
        <f>IFERROR(IF($A54&lt;&gt;"",IF($B$10="English", IF(MATCH($A54,'Dropdown Data'!$A$361:$A$363,0)&gt;0,"Continue"), IF($B$10="Français",IF(MATCH($A54,'Dropdown Data'!$B$361:$B$363,0)&gt;0,"Continue"), IF($B$10="Español",IF(MATCH($A54,'Dropdown Data'!$C$361:$C$363,0)&gt;0,"Continue"),VLOOKUP($B$10,Translation[],89,0)))),"Continue"),VLOOKUP($B$10,Translation[],89,0))</f>
        <v>Continue</v>
      </c>
      <c r="AC54" s="62" t="str">
        <f>IF(AND(NOT(ISBLANK($D54)),(NOT(ISNUMBER($D54)))),VLOOKUP($B$10,Translation[],90,0),"Continue")</f>
        <v>Continue</v>
      </c>
      <c r="AD54" s="62" t="str">
        <f xml:space="preserve"> IFERROR(IF(INT($D54) &lt;&gt; $D54, VLOOKUP($B$10,Translation[],92,0), "Continue"),"Continue")</f>
        <v>Continue</v>
      </c>
      <c r="AE54" s="62" t="str">
        <f t="shared" si="4"/>
        <v>Continue</v>
      </c>
      <c r="AF54" s="9" t="str">
        <f t="shared" si="5"/>
        <v>Continue</v>
      </c>
      <c r="AG54" s="9" t="str">
        <f t="shared" si="6"/>
        <v>Continue</v>
      </c>
    </row>
    <row r="55" spans="1:33" ht="15" x14ac:dyDescent="0.2">
      <c r="A55" s="83"/>
      <c r="B55" s="121"/>
      <c r="C55" s="121"/>
      <c r="D55" s="122"/>
      <c r="E55" s="93" t="str">
        <f>IF(ISBLANK(D55),"",IF(IF(Modules!$D$4="EUR",W55*(Modules!$B$5),$W55)=0,0,IF(Modules!$D$4="EUR",W55*(Modules!$B$5),$W55)))</f>
        <v/>
      </c>
      <c r="F55" s="125"/>
      <c r="G55" s="82" t="str">
        <f>IF(NOT(ISBLANK('PAAR (EN)'!$G55)),IF('PAAR (EN)'!$G55 &lt;&gt; "",IF(PAAR!$B$10="English",'PAAR (EN)'!$G55,IF(PAAR!$B$10="Français",_xlfn.XLOOKUP('PAAR (EN)'!$G55,'Dropdown Data'!$A$365:$A$368, 'Dropdown Data'!$B$365:$B$368,0,0,1),_xlfn.XLOOKUP('PAAR (EN)'!$G55,'Dropdown Data'!$A$365:$A$368,'Dropdown Data'!$C$365:$C$368,0,0,1))),""),"")</f>
        <v/>
      </c>
      <c r="H55" s="92" t="str">
        <f>IF('PAAR (EN)'!$H55 &lt;&gt;"", 'PAAR (EN)'!$H55, "")</f>
        <v/>
      </c>
      <c r="I55" s="89" t="str">
        <f>IF('PAAR (EN)'!$I55 &lt;&gt; "", 'PAAR (EN)'!$I55, "")</f>
        <v/>
      </c>
      <c r="J55" s="15"/>
      <c r="K55" s="42" t="str">
        <f>IFERROR(VLOOKUP(B55,Modules!C:D,2,0),"")</f>
        <v/>
      </c>
      <c r="L55" s="40" t="str" cm="1">
        <f t="array" ref="L55">IFERROR(INDEX(Interventions!$F$12:$F$178,MATCH(TRUE,INDEX(Interventions!$E$12:$E$178=$C55,0),0)),0)</f>
        <v>[Name ID]</v>
      </c>
      <c r="M55" s="15" t="str">
        <f>CLEAN(IFERROR(VLOOKUP($C55,Interventions!$E$1:$K$444,7,0),""))</f>
        <v/>
      </c>
      <c r="N55" s="15" t="str">
        <f>CLEAN(IF(C55="","",CONCATENATE(Modules!$B$8,PAAR!M55,Q55)))</f>
        <v/>
      </c>
      <c r="O55" s="70">
        <f>IFERROR(INDEX('Dropdown Data'!$D$33:$D$35,MATCH(A55,'Dropdown Data'!$B$33:$B$35,0)),IFERROR(INDEX('Dropdown Data'!$D$33:$D$35,MATCH(A55,'Dropdown Data'!$C$33:$C$35,0)),A55))</f>
        <v>0</v>
      </c>
      <c r="P55" s="70" t="str">
        <f>IFERROR(INDEX('Dropdown Data'!$D$33:$D$36,MATCH(G55,'Dropdown Data'!$B$33:$B$36,0)),IFERROR(INDEX('Dropdown Data'!$D$33:$D$36,MATCH(G55,'Dropdown Data'!$C$33:$C$36,0)),G55))</f>
        <v/>
      </c>
      <c r="Q55" s="71">
        <v>27</v>
      </c>
      <c r="R55" s="71" t="b">
        <f t="shared" si="0"/>
        <v>0</v>
      </c>
      <c r="S55" s="71">
        <f t="shared" si="1"/>
        <v>10</v>
      </c>
      <c r="T55" s="71" t="e">
        <f>IFERROR(VLOOKUP(B55,Modules!$E$11:$K$52,7,0),IFERROR(VLOOKUP(B55,Modules!$F$11:$K$52,6,0),VLOOKUP(B55,Modules!$G$11:$K$52,5,0)))</f>
        <v>#N/A</v>
      </c>
      <c r="U55" s="71">
        <f>IFERROR(MATCH(T55,Interventions!C:C,0),0)</f>
        <v>0</v>
      </c>
      <c r="V55" s="71" cm="1">
        <f t="array" ref="V55">SUM(U55,COUNTIF(ModuleStart,T55)-1)</f>
        <v>-1</v>
      </c>
      <c r="W55" s="72">
        <f t="shared" si="2"/>
        <v>0</v>
      </c>
      <c r="X55" s="72" t="str">
        <f t="shared" si="3"/>
        <v/>
      </c>
      <c r="Y55" s="82" t="str">
        <f>IF(AND(AE55="Continue",AG55="Continue"),VLOOKUP($B$10,Translation[],91,0),IF(AND(AE55&lt;&gt;"Continue",AG55="Continue"),AE55,IF(AND(AG55&lt;&gt;"Continue",AE55="Continue"),AG55,CONCATENATE(AE55,CHAR(10),AG55))))</f>
        <v>No error</v>
      </c>
      <c r="Z55" s="62" t="str">
        <f>IF(OR(AND($B55&lt;&gt;"",$K55=""),AND($C55&lt;&gt;"",$L55="")),VLOOKUP($B$10,Translation[],87,0),"Continue")</f>
        <v>Continue</v>
      </c>
      <c r="AA55" s="62" t="str">
        <f>IF(AND($B55 &lt;&gt; "",$K55&lt;&gt;""),IF($K55=_xlfn.XLOOKUP(L55,Interventions!$F$11:$F$179,Interventions!$C$11:$C$179,1,0,1),"Continue",VLOOKUP($B$10,Translation[],88,0)),"Continue")</f>
        <v>Continue</v>
      </c>
      <c r="AB55" s="9" t="str">
        <f>IFERROR(IF($A55&lt;&gt;"",IF($B$10="English", IF(MATCH($A55,'Dropdown Data'!$A$361:$A$363,0)&gt;0,"Continue"), IF($B$10="Français",IF(MATCH($A55,'Dropdown Data'!$B$361:$B$363,0)&gt;0,"Continue"), IF($B$10="Español",IF(MATCH($A55,'Dropdown Data'!$C$361:$C$363,0)&gt;0,"Continue"),VLOOKUP($B$10,Translation[],89,0)))),"Continue"),VLOOKUP($B$10,Translation[],89,0))</f>
        <v>Continue</v>
      </c>
      <c r="AC55" s="62" t="str">
        <f>IF(AND(NOT(ISBLANK($D55)),(NOT(ISNUMBER($D55)))),VLOOKUP($B$10,Translation[],90,0),"Continue")</f>
        <v>Continue</v>
      </c>
      <c r="AD55" s="62" t="str">
        <f xml:space="preserve"> IFERROR(IF(INT($D55) &lt;&gt; $D55, VLOOKUP($B$10,Translation[],92,0), "Continue"),"Continue")</f>
        <v>Continue</v>
      </c>
      <c r="AE55" s="62" t="str">
        <f t="shared" si="4"/>
        <v>Continue</v>
      </c>
      <c r="AF55" s="9" t="str">
        <f t="shared" si="5"/>
        <v>Continue</v>
      </c>
      <c r="AG55" s="9" t="str">
        <f t="shared" si="6"/>
        <v>Continue</v>
      </c>
    </row>
    <row r="56" spans="1:33" ht="15" x14ac:dyDescent="0.2">
      <c r="A56" s="83"/>
      <c r="B56" s="84"/>
      <c r="C56" s="84"/>
      <c r="D56" s="122"/>
      <c r="E56" s="93" t="str">
        <f>IF(ISBLANK(D56),"",IF(IF(Modules!$D$4="EUR",W56*(Modules!$B$5),$W56)=0,0,IF(Modules!$D$4="EUR",W56*(Modules!$B$5),$W56)))</f>
        <v/>
      </c>
      <c r="F56" s="124"/>
      <c r="G56" s="82" t="str">
        <f>IF(NOT(ISBLANK('PAAR (EN)'!$G56)),IF('PAAR (EN)'!$G56 &lt;&gt; "",IF(PAAR!$B$10="English",'PAAR (EN)'!$G56,IF(PAAR!$B$10="Français",_xlfn.XLOOKUP('PAAR (EN)'!$G56,'Dropdown Data'!$A$365:$A$368, 'Dropdown Data'!$B$365:$B$368,0,0,1),_xlfn.XLOOKUP('PAAR (EN)'!$G56,'Dropdown Data'!$A$365:$A$368,'Dropdown Data'!$C$365:$C$368,0,0,1))),""),"")</f>
        <v/>
      </c>
      <c r="H56" s="92" t="str">
        <f>IF('PAAR (EN)'!$H56 &lt;&gt;"", 'PAAR (EN)'!$H56, "")</f>
        <v/>
      </c>
      <c r="I56" s="89" t="str">
        <f>IF('PAAR (EN)'!$I56 &lt;&gt; "", 'PAAR (EN)'!$I56, "")</f>
        <v/>
      </c>
      <c r="J56" s="15"/>
      <c r="K56" s="42" t="str">
        <f>IFERROR(VLOOKUP(B56,Modules!C:D,2,0),"")</f>
        <v/>
      </c>
      <c r="L56" s="40" t="str" cm="1">
        <f t="array" ref="L56">IFERROR(INDEX(Interventions!$F$12:$F$178,MATCH(TRUE,INDEX(Interventions!$E$12:$E$178=$C56,0),0)),0)</f>
        <v>[Name ID]</v>
      </c>
      <c r="M56" s="15" t="str">
        <f>CLEAN(IFERROR(VLOOKUP($C56,Interventions!$E$1:$K$444,7,0),""))</f>
        <v/>
      </c>
      <c r="N56" s="15" t="str">
        <f>CLEAN(IF(C56="","",CONCATENATE(Modules!$B$8,PAAR!M56,Q56)))</f>
        <v/>
      </c>
      <c r="O56" s="70">
        <f>IFERROR(INDEX('Dropdown Data'!$D$33:$D$35,MATCH(A56,'Dropdown Data'!$B$33:$B$35,0)),IFERROR(INDEX('Dropdown Data'!$D$33:$D$35,MATCH(A56,'Dropdown Data'!$C$33:$C$35,0)),A56))</f>
        <v>0</v>
      </c>
      <c r="P56" s="70" t="str">
        <f>IFERROR(INDEX('Dropdown Data'!$D$33:$D$36,MATCH(G56,'Dropdown Data'!$B$33:$B$36,0)),IFERROR(INDEX('Dropdown Data'!$D$33:$D$36,MATCH(G56,'Dropdown Data'!$C$33:$C$36,0)),G56))</f>
        <v/>
      </c>
      <c r="Q56" s="71">
        <v>28</v>
      </c>
      <c r="R56" s="71" t="b">
        <f t="shared" si="0"/>
        <v>0</v>
      </c>
      <c r="S56" s="71">
        <f t="shared" si="1"/>
        <v>10</v>
      </c>
      <c r="T56" s="71" t="e">
        <f>IFERROR(VLOOKUP(B56,Modules!$E$11:$K$52,7,0),IFERROR(VLOOKUP(B56,Modules!$F$11:$K$52,6,0),VLOOKUP(B56,Modules!$G$11:$K$52,5,0)))</f>
        <v>#N/A</v>
      </c>
      <c r="U56" s="71">
        <f>IFERROR(MATCH(T56,Interventions!C:C,0),0)</f>
        <v>0</v>
      </c>
      <c r="V56" s="71" cm="1">
        <f t="array" ref="V56">SUM(U56,COUNTIF(ModuleStart,T56)-1)</f>
        <v>-1</v>
      </c>
      <c r="W56" s="72">
        <f t="shared" si="2"/>
        <v>0</v>
      </c>
      <c r="X56" s="72" t="str">
        <f t="shared" si="3"/>
        <v/>
      </c>
      <c r="Y56" s="82" t="str">
        <f>IF(AND(AE56="Continue",AG56="Continue"),VLOOKUP($B$10,Translation[],91,0),IF(AND(AE56&lt;&gt;"Continue",AG56="Continue"),AE56,IF(AND(AG56&lt;&gt;"Continue",AE56="Continue"),AG56,CONCATENATE(AE56,CHAR(10),AG56))))</f>
        <v>No error</v>
      </c>
      <c r="Z56" s="62" t="str">
        <f>IF(OR(AND($B56&lt;&gt;"",$K56=""),AND($C56&lt;&gt;"",$L56="")),VLOOKUP($B$10,Translation[],87,0),"Continue")</f>
        <v>Continue</v>
      </c>
      <c r="AA56" s="62" t="str">
        <f>IF(AND($B56 &lt;&gt; "",$K56&lt;&gt;""),IF($K56=_xlfn.XLOOKUP(L56,Interventions!$F$11:$F$179,Interventions!$C$11:$C$179,1,0,1),"Continue",VLOOKUP($B$10,Translation[],88,0)),"Continue")</f>
        <v>Continue</v>
      </c>
      <c r="AB56" s="9" t="str">
        <f>IFERROR(IF($A56&lt;&gt;"",IF($B$10="English", IF(MATCH($A56,'Dropdown Data'!$A$361:$A$363,0)&gt;0,"Continue"), IF($B$10="Français",IF(MATCH($A56,'Dropdown Data'!$B$361:$B$363,0)&gt;0,"Continue"), IF($B$10="Español",IF(MATCH($A56,'Dropdown Data'!$C$361:$C$363,0)&gt;0,"Continue"),VLOOKUP($B$10,Translation[],89,0)))),"Continue"),VLOOKUP($B$10,Translation[],89,0))</f>
        <v>Continue</v>
      </c>
      <c r="AC56" s="62" t="str">
        <f>IF(AND(NOT(ISBLANK($D56)),(NOT(ISNUMBER($D56)))),VLOOKUP($B$10,Translation[],90,0),"Continue")</f>
        <v>Continue</v>
      </c>
      <c r="AD56" s="62" t="str">
        <f xml:space="preserve"> IFERROR(IF(INT($D56) &lt;&gt; $D56, VLOOKUP($B$10,Translation[],92,0), "Continue"),"Continue")</f>
        <v>Continue</v>
      </c>
      <c r="AE56" s="62" t="str">
        <f t="shared" si="4"/>
        <v>Continue</v>
      </c>
      <c r="AF56" s="9" t="str">
        <f t="shared" si="5"/>
        <v>Continue</v>
      </c>
      <c r="AG56" s="9" t="str">
        <f t="shared" si="6"/>
        <v>Continue</v>
      </c>
    </row>
    <row r="57" spans="1:33" ht="15" x14ac:dyDescent="0.2">
      <c r="A57" s="83"/>
      <c r="B57" s="84"/>
      <c r="C57" s="84"/>
      <c r="D57" s="122"/>
      <c r="E57" s="93" t="str">
        <f>IF(ISBLANK(D57),"",IF(IF(Modules!$D$4="EUR",W57*(Modules!$B$5),$W57)=0,0,IF(Modules!$D$4="EUR",W57*(Modules!$B$5),$W57)))</f>
        <v/>
      </c>
      <c r="F57" s="124"/>
      <c r="G57" s="82" t="str">
        <f>IF(NOT(ISBLANK('PAAR (EN)'!$G57)),IF('PAAR (EN)'!$G57 &lt;&gt; "",IF(PAAR!$B$10="English",'PAAR (EN)'!$G57,IF(PAAR!$B$10="Français",_xlfn.XLOOKUP('PAAR (EN)'!$G57,'Dropdown Data'!$A$365:$A$368, 'Dropdown Data'!$B$365:$B$368,0,0,1),_xlfn.XLOOKUP('PAAR (EN)'!$G57,'Dropdown Data'!$A$365:$A$368,'Dropdown Data'!$C$365:$C$368,0,0,1))),""),"")</f>
        <v/>
      </c>
      <c r="H57" s="92" t="str">
        <f>IF('PAAR (EN)'!$H57 &lt;&gt;"", 'PAAR (EN)'!$H57, "")</f>
        <v/>
      </c>
      <c r="I57" s="89" t="str">
        <f>IF('PAAR (EN)'!$I57 &lt;&gt; "", 'PAAR (EN)'!$I57, "")</f>
        <v/>
      </c>
      <c r="J57" s="15"/>
      <c r="K57" s="42" t="str">
        <f>IFERROR(VLOOKUP(B57,Modules!C:D,2,0),"")</f>
        <v/>
      </c>
      <c r="L57" s="40" t="str" cm="1">
        <f t="array" ref="L57">IFERROR(INDEX(Interventions!$F$12:$F$178,MATCH(TRUE,INDEX(Interventions!$E$12:$E$178=$C57,0),0)),0)</f>
        <v>[Name ID]</v>
      </c>
      <c r="M57" s="15" t="str">
        <f>CLEAN(IFERROR(VLOOKUP($C57,Interventions!$E$1:$K$444,7,0),""))</f>
        <v/>
      </c>
      <c r="N57" s="15" t="str">
        <f>CLEAN(IF(C57="","",CONCATENATE(Modules!$B$8,PAAR!M57,Q57)))</f>
        <v/>
      </c>
      <c r="O57" s="70">
        <f>IFERROR(INDEX('Dropdown Data'!$D$33:$D$35,MATCH(A57,'Dropdown Data'!$B$33:$B$35,0)),IFERROR(INDEX('Dropdown Data'!$D$33:$D$35,MATCH(A57,'Dropdown Data'!$C$33:$C$35,0)),A57))</f>
        <v>0</v>
      </c>
      <c r="P57" s="70" t="str">
        <f>IFERROR(INDEX('Dropdown Data'!$D$33:$D$36,MATCH(G57,'Dropdown Data'!$B$33:$B$36,0)),IFERROR(INDEX('Dropdown Data'!$D$33:$D$36,MATCH(G57,'Dropdown Data'!$C$33:$C$36,0)),G57))</f>
        <v/>
      </c>
      <c r="Q57" s="71">
        <v>29</v>
      </c>
      <c r="R57" s="71" t="b">
        <f t="shared" si="0"/>
        <v>0</v>
      </c>
      <c r="S57" s="71">
        <f t="shared" si="1"/>
        <v>10</v>
      </c>
      <c r="T57" s="71" t="e">
        <f>IFERROR(VLOOKUP(B57,Modules!$E$11:$K$52,7,0),IFERROR(VLOOKUP(B57,Modules!$F$11:$K$52,6,0),VLOOKUP(B57,Modules!$G$11:$K$52,5,0)))</f>
        <v>#N/A</v>
      </c>
      <c r="U57" s="71">
        <f>IFERROR(MATCH(T57,Interventions!C:C,0),0)</f>
        <v>0</v>
      </c>
      <c r="V57" s="71" cm="1">
        <f t="array" ref="V57">SUM(U57,COUNTIF(ModuleStart,T57)-1)</f>
        <v>-1</v>
      </c>
      <c r="W57" s="72">
        <f t="shared" si="2"/>
        <v>0</v>
      </c>
      <c r="X57" s="72" t="str">
        <f t="shared" si="3"/>
        <v/>
      </c>
      <c r="Y57" s="82" t="str">
        <f>IF(AND(AE57="Continue",AG57="Continue"),VLOOKUP($B$10,Translation[],91,0),IF(AND(AE57&lt;&gt;"Continue",AG57="Continue"),AE57,IF(AND(AG57&lt;&gt;"Continue",AE57="Continue"),AG57,CONCATENATE(AE57,CHAR(10),AG57))))</f>
        <v>No error</v>
      </c>
      <c r="Z57" s="62" t="str">
        <f>IF(OR(AND($B57&lt;&gt;"",$K57=""),AND($C57&lt;&gt;"",$L57="")),VLOOKUP($B$10,Translation[],87,0),"Continue")</f>
        <v>Continue</v>
      </c>
      <c r="AA57" s="62" t="str">
        <f>IF(AND($B57 &lt;&gt; "",$K57&lt;&gt;""),IF($K57=_xlfn.XLOOKUP(L57,Interventions!$F$11:$F$179,Interventions!$C$11:$C$179,1,0,1),"Continue",VLOOKUP($B$10,Translation[],88,0)),"Continue")</f>
        <v>Continue</v>
      </c>
      <c r="AB57" s="9" t="str">
        <f>IFERROR(IF($A57&lt;&gt;"",IF($B$10="English", IF(MATCH($A57,'Dropdown Data'!$A$361:$A$363,0)&gt;0,"Continue"), IF($B$10="Français",IF(MATCH($A57,'Dropdown Data'!$B$361:$B$363,0)&gt;0,"Continue"), IF($B$10="Español",IF(MATCH($A57,'Dropdown Data'!$C$361:$C$363,0)&gt;0,"Continue"),VLOOKUP($B$10,Translation[],89,0)))),"Continue"),VLOOKUP($B$10,Translation[],89,0))</f>
        <v>Continue</v>
      </c>
      <c r="AC57" s="62" t="str">
        <f>IF(AND(NOT(ISBLANK($D57)),(NOT(ISNUMBER($D57)))),VLOOKUP($B$10,Translation[],90,0),"Continue")</f>
        <v>Continue</v>
      </c>
      <c r="AD57" s="62" t="str">
        <f xml:space="preserve"> IFERROR(IF(INT($D57) &lt;&gt; $D57, VLOOKUP($B$10,Translation[],92,0), "Continue"),"Continue")</f>
        <v>Continue</v>
      </c>
      <c r="AE57" s="62" t="str">
        <f t="shared" si="4"/>
        <v>Continue</v>
      </c>
      <c r="AF57" s="9" t="str">
        <f t="shared" si="5"/>
        <v>Continue</v>
      </c>
      <c r="AG57" s="9" t="str">
        <f t="shared" si="6"/>
        <v>Continue</v>
      </c>
    </row>
    <row r="58" spans="1:33" ht="15" x14ac:dyDescent="0.2">
      <c r="A58" s="83"/>
      <c r="B58" s="84"/>
      <c r="C58" s="84"/>
      <c r="D58" s="122"/>
      <c r="E58" s="93" t="str">
        <f>IF(ISBLANK(D58),"",IF(IF(Modules!$D$4="EUR",W58*(Modules!$B$5),$W58)=0,0,IF(Modules!$D$4="EUR",W58*(Modules!$B$5),$W58)))</f>
        <v/>
      </c>
      <c r="F58" s="124"/>
      <c r="G58" s="82" t="str">
        <f>IF(NOT(ISBLANK('PAAR (EN)'!$G58)),IF('PAAR (EN)'!$G58 &lt;&gt; "",IF(PAAR!$B$10="English",'PAAR (EN)'!$G58,IF(PAAR!$B$10="Français",_xlfn.XLOOKUP('PAAR (EN)'!$G58,'Dropdown Data'!$A$365:$A$368, 'Dropdown Data'!$B$365:$B$368,0,0,1),_xlfn.XLOOKUP('PAAR (EN)'!$G58,'Dropdown Data'!$A$365:$A$368,'Dropdown Data'!$C$365:$C$368,0,0,1))),""),"")</f>
        <v/>
      </c>
      <c r="H58" s="92" t="str">
        <f>IF('PAAR (EN)'!$H58 &lt;&gt;"", 'PAAR (EN)'!$H58, "")</f>
        <v/>
      </c>
      <c r="I58" s="89" t="str">
        <f>IF('PAAR (EN)'!$I58 &lt;&gt; "", 'PAAR (EN)'!$I58, "")</f>
        <v/>
      </c>
      <c r="J58" s="15"/>
      <c r="K58" s="42" t="str">
        <f>IFERROR(VLOOKUP(B58,Modules!C:D,2,0),"")</f>
        <v/>
      </c>
      <c r="L58" s="40" t="str" cm="1">
        <f t="array" ref="L58">IFERROR(INDEX(Interventions!$F$12:$F$178,MATCH(TRUE,INDEX(Interventions!$E$12:$E$178=$C58,0),0)),0)</f>
        <v>[Name ID]</v>
      </c>
      <c r="M58" s="15" t="str">
        <f>CLEAN(IFERROR(VLOOKUP($C58,Interventions!$E$1:$K$444,7,0),""))</f>
        <v/>
      </c>
      <c r="N58" s="15" t="str">
        <f>CLEAN(IF(C58="","",CONCATENATE(Modules!$B$8,PAAR!M58,Q58)))</f>
        <v/>
      </c>
      <c r="O58" s="70">
        <f>IFERROR(INDEX('Dropdown Data'!$D$33:$D$35,MATCH(A58,'Dropdown Data'!$B$33:$B$35,0)),IFERROR(INDEX('Dropdown Data'!$D$33:$D$35,MATCH(A58,'Dropdown Data'!$C$33:$C$35,0)),A58))</f>
        <v>0</v>
      </c>
      <c r="P58" s="70" t="str">
        <f>IFERROR(INDEX('Dropdown Data'!$D$33:$D$36,MATCH(G58,'Dropdown Data'!$B$33:$B$36,0)),IFERROR(INDEX('Dropdown Data'!$D$33:$D$36,MATCH(G58,'Dropdown Data'!$C$33:$C$36,0)),G58))</f>
        <v/>
      </c>
      <c r="Q58" s="71">
        <v>30</v>
      </c>
      <c r="R58" s="71" t="b">
        <f t="shared" si="0"/>
        <v>0</v>
      </c>
      <c r="S58" s="71">
        <f t="shared" si="1"/>
        <v>10</v>
      </c>
      <c r="T58" s="71" t="e">
        <f>IFERROR(VLOOKUP(B58,Modules!$E$11:$K$52,7,0),IFERROR(VLOOKUP(B58,Modules!$F$11:$K$52,6,0),VLOOKUP(B58,Modules!$G$11:$K$52,5,0)))</f>
        <v>#N/A</v>
      </c>
      <c r="U58" s="71">
        <f>IFERROR(MATCH(T58,Interventions!C:C,0),0)</f>
        <v>0</v>
      </c>
      <c r="V58" s="71" cm="1">
        <f t="array" ref="V58">SUM(U58,COUNTIF(ModuleStart,T58)-1)</f>
        <v>-1</v>
      </c>
      <c r="W58" s="72">
        <f t="shared" si="2"/>
        <v>0</v>
      </c>
      <c r="X58" s="72" t="str">
        <f t="shared" si="3"/>
        <v/>
      </c>
      <c r="Y58" s="82" t="str">
        <f>IF(AND(AE58="Continue",AG58="Continue"),VLOOKUP($B$10,Translation[],91,0),IF(AND(AE58&lt;&gt;"Continue",AG58="Continue"),AE58,IF(AND(AG58&lt;&gt;"Continue",AE58="Continue"),AG58,CONCATENATE(AE58,CHAR(10),AG58))))</f>
        <v>No error</v>
      </c>
      <c r="Z58" s="62" t="str">
        <f>IF(OR(AND($B58&lt;&gt;"",$K58=""),AND($C58&lt;&gt;"",$L58="")),VLOOKUP($B$10,Translation[],87,0),"Continue")</f>
        <v>Continue</v>
      </c>
      <c r="AA58" s="62" t="str">
        <f>IF(AND($B58 &lt;&gt; "",$K58&lt;&gt;""),IF($K58=_xlfn.XLOOKUP(L58,Interventions!$F$11:$F$179,Interventions!$C$11:$C$179,1,0,1),"Continue",VLOOKUP($B$10,Translation[],88,0)),"Continue")</f>
        <v>Continue</v>
      </c>
      <c r="AB58" s="9" t="str">
        <f>IFERROR(IF($A58&lt;&gt;"",IF($B$10="English", IF(MATCH($A58,'Dropdown Data'!$A$361:$A$363,0)&gt;0,"Continue"), IF($B$10="Français",IF(MATCH($A58,'Dropdown Data'!$B$361:$B$363,0)&gt;0,"Continue"), IF($B$10="Español",IF(MATCH($A58,'Dropdown Data'!$C$361:$C$363,0)&gt;0,"Continue"),VLOOKUP($B$10,Translation[],89,0)))),"Continue"),VLOOKUP($B$10,Translation[],89,0))</f>
        <v>Continue</v>
      </c>
      <c r="AC58" s="62" t="str">
        <f>IF(AND(NOT(ISBLANK($D58)),(NOT(ISNUMBER($D58)))),VLOOKUP($B$10,Translation[],90,0),"Continue")</f>
        <v>Continue</v>
      </c>
      <c r="AD58" s="62" t="str">
        <f xml:space="preserve"> IFERROR(IF(INT($D58) &lt;&gt; $D58, VLOOKUP($B$10,Translation[],92,0), "Continue"),"Continue")</f>
        <v>Continue</v>
      </c>
      <c r="AE58" s="62" t="str">
        <f t="shared" si="4"/>
        <v>Continue</v>
      </c>
      <c r="AF58" s="9" t="str">
        <f t="shared" si="5"/>
        <v>Continue</v>
      </c>
      <c r="AG58" s="9" t="str">
        <f t="shared" si="6"/>
        <v>Continue</v>
      </c>
    </row>
    <row r="59" spans="1:33" ht="15" x14ac:dyDescent="0.2">
      <c r="A59" s="83"/>
      <c r="B59" s="84"/>
      <c r="C59" s="84"/>
      <c r="D59" s="96"/>
      <c r="E59" s="93" t="str">
        <f>IF(ISBLANK(D59),"",IF(IF(Modules!$D$4="EUR",W59*(Modules!$B$5),$W59)=0,0,IF(Modules!$D$4="EUR",W59*(Modules!$B$5),$W59)))</f>
        <v/>
      </c>
      <c r="F59" s="41"/>
      <c r="G59" s="82" t="str">
        <f>IF(NOT(ISBLANK('PAAR (EN)'!$G59)),IF('PAAR (EN)'!$G59 &lt;&gt; "",IF(PAAR!$B$10="English",'PAAR (EN)'!$G59,IF(PAAR!$B$10="Français",_xlfn.XLOOKUP('PAAR (EN)'!$G59,'Dropdown Data'!$A$365:$A$368, 'Dropdown Data'!$B$365:$B$368,0,0,1),_xlfn.XLOOKUP('PAAR (EN)'!$G59,'Dropdown Data'!$A$365:$A$368,'Dropdown Data'!$C$365:$C$368,0,0,1))),""),"")</f>
        <v/>
      </c>
      <c r="H59" s="92" t="str">
        <f>IF('PAAR (EN)'!$H59 &lt;&gt;"", 'PAAR (EN)'!$H59, "")</f>
        <v/>
      </c>
      <c r="I59" s="89" t="str">
        <f>IF('PAAR (EN)'!$I59 &lt;&gt; "", 'PAAR (EN)'!$I59, "")</f>
        <v/>
      </c>
      <c r="J59" s="15"/>
      <c r="K59" s="42" t="str">
        <f>IFERROR(VLOOKUP(B59,Modules!C:D,2,0),"")</f>
        <v/>
      </c>
      <c r="L59" s="40" t="str" cm="1">
        <f t="array" ref="L59">IFERROR(INDEX(Interventions!$F$12:$F$178,MATCH(TRUE,INDEX(Interventions!$E$12:$E$178=$C59,0),0)),0)</f>
        <v>[Name ID]</v>
      </c>
      <c r="M59" s="15" t="str">
        <f>CLEAN(IFERROR(VLOOKUP($C59,Interventions!$E$1:$K$444,7,0),""))</f>
        <v/>
      </c>
      <c r="N59" s="15" t="str">
        <f>CLEAN(IF(C59="","",CONCATENATE(Modules!$B$8,PAAR!M59,Q59)))</f>
        <v/>
      </c>
      <c r="O59" s="70">
        <f>IFERROR(INDEX('Dropdown Data'!$D$33:$D$35,MATCH(A59,'Dropdown Data'!$B$33:$B$35,0)),IFERROR(INDEX('Dropdown Data'!$D$33:$D$35,MATCH(A59,'Dropdown Data'!$C$33:$C$35,0)),A59))</f>
        <v>0</v>
      </c>
      <c r="P59" s="70" t="str">
        <f>IFERROR(INDEX('Dropdown Data'!$D$33:$D$36,MATCH(G59,'Dropdown Data'!$B$33:$B$36,0)),IFERROR(INDEX('Dropdown Data'!$D$33:$D$36,MATCH(G59,'Dropdown Data'!$C$33:$C$36,0)),G59))</f>
        <v/>
      </c>
      <c r="Q59" s="71">
        <v>31</v>
      </c>
      <c r="R59" s="71" t="b">
        <f t="shared" si="0"/>
        <v>0</v>
      </c>
      <c r="S59" s="71">
        <f t="shared" si="1"/>
        <v>10</v>
      </c>
      <c r="T59" s="71" t="e">
        <f>IFERROR(VLOOKUP(B59,Modules!$E$11:$K$52,7,0),IFERROR(VLOOKUP(B59,Modules!$F$11:$K$52,6,0),VLOOKUP(B59,Modules!$G$11:$K$52,5,0)))</f>
        <v>#N/A</v>
      </c>
      <c r="U59" s="71">
        <f>IFERROR(MATCH(T59,Interventions!C:C,0),0)</f>
        <v>0</v>
      </c>
      <c r="V59" s="71" cm="1">
        <f t="array" ref="V59">SUM(U59,COUNTIF(ModuleStart,T59)-1)</f>
        <v>-1</v>
      </c>
      <c r="W59" s="72">
        <f t="shared" si="2"/>
        <v>0</v>
      </c>
      <c r="X59" s="72" t="str">
        <f t="shared" si="3"/>
        <v/>
      </c>
      <c r="Y59" s="82" t="str">
        <f>IF(AND(AE59="Continue",AG59="Continue"),VLOOKUP($B$10,Translation[],91,0),IF(AND(AE59&lt;&gt;"Continue",AG59="Continue"),AE59,IF(AND(AG59&lt;&gt;"Continue",AE59="Continue"),AG59,CONCATENATE(AE59,CHAR(10),AG59))))</f>
        <v>No error</v>
      </c>
      <c r="Z59" s="62" t="str">
        <f>IF(OR(AND($B59&lt;&gt;"",$K59=""),AND($C59&lt;&gt;"",$L59="")),VLOOKUP($B$10,Translation[],87,0),"Continue")</f>
        <v>Continue</v>
      </c>
      <c r="AA59" s="62" t="str">
        <f>IF(AND($B59 &lt;&gt; "",$K59&lt;&gt;""),IF($K59=_xlfn.XLOOKUP(L59,Interventions!$F$11:$F$179,Interventions!$C$11:$C$179,1,0,1),"Continue",VLOOKUP($B$10,Translation[],88,0)),"Continue")</f>
        <v>Continue</v>
      </c>
      <c r="AB59" s="9" t="str">
        <f>IFERROR(IF($A59&lt;&gt;"",IF($B$10="English", IF(MATCH($A59,'Dropdown Data'!$A$361:$A$363,0)&gt;0,"Continue"), IF($B$10="Français",IF(MATCH($A59,'Dropdown Data'!$B$361:$B$363,0)&gt;0,"Continue"), IF($B$10="Español",IF(MATCH($A59,'Dropdown Data'!$C$361:$C$363,0)&gt;0,"Continue"),VLOOKUP($B$10,Translation[],89,0)))),"Continue"),VLOOKUP($B$10,Translation[],89,0))</f>
        <v>Continue</v>
      </c>
      <c r="AC59" s="62" t="str">
        <f>IF(AND(NOT(ISBLANK($D59)),(NOT(ISNUMBER($D59)))),VLOOKUP($B$10,Translation[],90,0),"Continue")</f>
        <v>Continue</v>
      </c>
      <c r="AD59" s="62" t="str">
        <f xml:space="preserve"> IFERROR(IF(INT($D59) &lt;&gt; $D59, VLOOKUP($B$10,Translation[],92,0), "Continue"),"Continue")</f>
        <v>Continue</v>
      </c>
      <c r="AE59" s="62" t="str">
        <f t="shared" si="4"/>
        <v>Continue</v>
      </c>
      <c r="AF59" s="9" t="str">
        <f t="shared" si="5"/>
        <v>Continue</v>
      </c>
      <c r="AG59" s="9" t="str">
        <f t="shared" si="6"/>
        <v>Continue</v>
      </c>
    </row>
    <row r="60" spans="1:33" ht="15" x14ac:dyDescent="0.2">
      <c r="A60" s="83"/>
      <c r="B60" s="84"/>
      <c r="C60" s="84"/>
      <c r="D60" s="96"/>
      <c r="E60" s="93" t="str">
        <f>IF(ISBLANK(D60),"",IF(IF(Modules!$D$4="EUR",W60*(Modules!$B$5),$W60)=0,0,IF(Modules!$D$4="EUR",W60*(Modules!$B$5),$W60)))</f>
        <v/>
      </c>
      <c r="F60" s="41"/>
      <c r="G60" s="82" t="str">
        <f>IF(NOT(ISBLANK('PAAR (EN)'!$G60)),IF('PAAR (EN)'!$G60 &lt;&gt; "",IF(PAAR!$B$10="English",'PAAR (EN)'!$G60,IF(PAAR!$B$10="Français",_xlfn.XLOOKUP('PAAR (EN)'!$G60,'Dropdown Data'!$A$365:$A$368, 'Dropdown Data'!$B$365:$B$368,0,0,1),_xlfn.XLOOKUP('PAAR (EN)'!$G60,'Dropdown Data'!$A$365:$A$368,'Dropdown Data'!$C$365:$C$368,0,0,1))),""),"")</f>
        <v/>
      </c>
      <c r="H60" s="92" t="str">
        <f>IF('PAAR (EN)'!$H60 &lt;&gt;"", 'PAAR (EN)'!$H60, "")</f>
        <v/>
      </c>
      <c r="I60" s="89" t="str">
        <f>IF('PAAR (EN)'!$I60 &lt;&gt; "", 'PAAR (EN)'!$I60, "")</f>
        <v/>
      </c>
      <c r="J60" s="15"/>
      <c r="K60" s="42" t="str">
        <f>IFERROR(VLOOKUP(B60,Modules!C:D,2,0),"")</f>
        <v/>
      </c>
      <c r="L60" s="40" t="str" cm="1">
        <f t="array" ref="L60">IFERROR(INDEX(Interventions!$F$12:$F$178,MATCH(TRUE,INDEX(Interventions!$E$12:$E$178=$C60,0),0)),0)</f>
        <v>[Name ID]</v>
      </c>
      <c r="M60" s="15" t="str">
        <f>CLEAN(IFERROR(VLOOKUP($C60,Interventions!$E$1:$K$444,7,0),""))</f>
        <v/>
      </c>
      <c r="N60" s="15" t="str">
        <f>CLEAN(IF(C60="","",CONCATENATE(Modules!$B$8,PAAR!M60,Q60)))</f>
        <v/>
      </c>
      <c r="O60" s="70">
        <f>IFERROR(INDEX('Dropdown Data'!$D$33:$D$35,MATCH(A60,'Dropdown Data'!$B$33:$B$35,0)),IFERROR(INDEX('Dropdown Data'!$D$33:$D$35,MATCH(A60,'Dropdown Data'!$C$33:$C$35,0)),A60))</f>
        <v>0</v>
      </c>
      <c r="P60" s="70" t="str">
        <f>IFERROR(INDEX('Dropdown Data'!$D$33:$D$36,MATCH(G60,'Dropdown Data'!$B$33:$B$36,0)),IFERROR(INDEX('Dropdown Data'!$D$33:$D$36,MATCH(G60,'Dropdown Data'!$C$33:$C$36,0)),G60))</f>
        <v/>
      </c>
      <c r="Q60" s="71">
        <v>32</v>
      </c>
      <c r="R60" s="71" t="b">
        <f t="shared" si="0"/>
        <v>0</v>
      </c>
      <c r="S60" s="71">
        <f t="shared" si="1"/>
        <v>10</v>
      </c>
      <c r="T60" s="71" t="e">
        <f>IFERROR(VLOOKUP(B60,Modules!$E$11:$K$52,7,0),IFERROR(VLOOKUP(B60,Modules!$F$11:$K$52,6,0),VLOOKUP(B60,Modules!$G$11:$K$52,5,0)))</f>
        <v>#N/A</v>
      </c>
      <c r="U60" s="71">
        <f>IFERROR(MATCH(T60,Interventions!C:C,0),0)</f>
        <v>0</v>
      </c>
      <c r="V60" s="71" cm="1">
        <f t="array" ref="V60">SUM(U60,COUNTIF(ModuleStart,T60)-1)</f>
        <v>-1</v>
      </c>
      <c r="W60" s="72">
        <f t="shared" si="2"/>
        <v>0</v>
      </c>
      <c r="X60" s="72" t="str">
        <f t="shared" si="3"/>
        <v/>
      </c>
      <c r="Y60" s="82" t="str">
        <f>IF(AND(AE60="Continue",AG60="Continue"),VLOOKUP($B$10,Translation[],91,0),IF(AND(AE60&lt;&gt;"Continue",AG60="Continue"),AE60,IF(AND(AG60&lt;&gt;"Continue",AE60="Continue"),AG60,CONCATENATE(AE60,CHAR(10),AG60))))</f>
        <v>No error</v>
      </c>
      <c r="Z60" s="62" t="str">
        <f>IF(OR(AND($B60&lt;&gt;"",$K60=""),AND($C60&lt;&gt;"",$L60="")),VLOOKUP($B$10,Translation[],87,0),"Continue")</f>
        <v>Continue</v>
      </c>
      <c r="AA60" s="62" t="str">
        <f>IF(AND($B60 &lt;&gt; "",$K60&lt;&gt;""),IF($K60=_xlfn.XLOOKUP(L60,Interventions!$F$11:$F$179,Interventions!$C$11:$C$179,1,0,1),"Continue",VLOOKUP($B$10,Translation[],88,0)),"Continue")</f>
        <v>Continue</v>
      </c>
      <c r="AB60" s="9" t="str">
        <f>IFERROR(IF($A60&lt;&gt;"",IF($B$10="English", IF(MATCH($A60,'Dropdown Data'!$A$361:$A$363,0)&gt;0,"Continue"), IF($B$10="Français",IF(MATCH($A60,'Dropdown Data'!$B$361:$B$363,0)&gt;0,"Continue"), IF($B$10="Español",IF(MATCH($A60,'Dropdown Data'!$C$361:$C$363,0)&gt;0,"Continue"),VLOOKUP($B$10,Translation[],89,0)))),"Continue"),VLOOKUP($B$10,Translation[],89,0))</f>
        <v>Continue</v>
      </c>
      <c r="AC60" s="62" t="str">
        <f>IF(AND(NOT(ISBLANK($D60)),(NOT(ISNUMBER($D60)))),VLOOKUP($B$10,Translation[],90,0),"Continue")</f>
        <v>Continue</v>
      </c>
      <c r="AD60" s="62" t="str">
        <f xml:space="preserve"> IFERROR(IF(INT($D60) &lt;&gt; $D60, VLOOKUP($B$10,Translation[],92,0), "Continue"),"Continue")</f>
        <v>Continue</v>
      </c>
      <c r="AE60" s="62" t="str">
        <f t="shared" si="4"/>
        <v>Continue</v>
      </c>
      <c r="AF60" s="9" t="str">
        <f t="shared" si="5"/>
        <v>Continue</v>
      </c>
      <c r="AG60" s="9" t="str">
        <f t="shared" si="6"/>
        <v>Continue</v>
      </c>
    </row>
    <row r="61" spans="1:33" ht="15" x14ac:dyDescent="0.2">
      <c r="A61" s="83"/>
      <c r="B61" s="84"/>
      <c r="C61" s="84"/>
      <c r="D61" s="96"/>
      <c r="E61" s="93" t="str">
        <f>IF(ISBLANK(D61),"",IF(IF(Modules!$D$4="EUR",W61*(Modules!$B$5),$W61)=0,0,IF(Modules!$D$4="EUR",W61*(Modules!$B$5),$W61)))</f>
        <v/>
      </c>
      <c r="F61" s="41"/>
      <c r="G61" s="82" t="str">
        <f>IF(NOT(ISBLANK('PAAR (EN)'!$G61)),IF('PAAR (EN)'!$G61 &lt;&gt; "",IF(PAAR!$B$10="English",'PAAR (EN)'!$G61,IF(PAAR!$B$10="Français",_xlfn.XLOOKUP('PAAR (EN)'!$G61,'Dropdown Data'!$A$365:$A$368, 'Dropdown Data'!$B$365:$B$368,0,0,1),_xlfn.XLOOKUP('PAAR (EN)'!$G61,'Dropdown Data'!$A$365:$A$368,'Dropdown Data'!$C$365:$C$368,0,0,1))),""),"")</f>
        <v/>
      </c>
      <c r="H61" s="92" t="str">
        <f>IF('PAAR (EN)'!$H61 &lt;&gt;"", 'PAAR (EN)'!$H61, "")</f>
        <v/>
      </c>
      <c r="I61" s="89" t="str">
        <f>IF('PAAR (EN)'!$I61 &lt;&gt; "", 'PAAR (EN)'!$I61, "")</f>
        <v/>
      </c>
      <c r="J61" s="15"/>
      <c r="K61" s="42" t="str">
        <f>IFERROR(VLOOKUP(B61,Modules!C:D,2,0),"")</f>
        <v/>
      </c>
      <c r="L61" s="40" t="str" cm="1">
        <f t="array" ref="L61">IFERROR(INDEX(Interventions!$F$12:$F$178,MATCH(TRUE,INDEX(Interventions!$E$12:$E$178=$C61,0),0)),0)</f>
        <v>[Name ID]</v>
      </c>
      <c r="M61" s="15" t="str">
        <f>CLEAN(IFERROR(VLOOKUP($C61,Interventions!$E$1:$K$444,7,0),""))</f>
        <v/>
      </c>
      <c r="N61" s="15" t="str">
        <f>CLEAN(IF(C61="","",CONCATENATE(Modules!$B$8,PAAR!M61,Q61)))</f>
        <v/>
      </c>
      <c r="O61" s="70">
        <f>IFERROR(INDEX('Dropdown Data'!$D$33:$D$35,MATCH(A61,'Dropdown Data'!$B$33:$B$35,0)),IFERROR(INDEX('Dropdown Data'!$D$33:$D$35,MATCH(A61,'Dropdown Data'!$C$33:$C$35,0)),A61))</f>
        <v>0</v>
      </c>
      <c r="P61" s="70" t="str">
        <f>IFERROR(INDEX('Dropdown Data'!$D$33:$D$36,MATCH(G61,'Dropdown Data'!$B$33:$B$36,0)),IFERROR(INDEX('Dropdown Data'!$D$33:$D$36,MATCH(G61,'Dropdown Data'!$C$33:$C$36,0)),G61))</f>
        <v/>
      </c>
      <c r="Q61" s="71">
        <v>33</v>
      </c>
      <c r="R61" s="71" t="b">
        <f t="shared" ref="R61:R92" si="7">IF(AND($B$17&gt;0,NOT(ISBLANK(E61)),(OR(ISBLANK(G61),ISBLANK(I61)))),TRUE,FALSE)</f>
        <v>0</v>
      </c>
      <c r="S61" s="71">
        <f t="shared" ref="S61:S92" si="8">COUNTBLANK(A61:J61)</f>
        <v>10</v>
      </c>
      <c r="T61" s="71" t="e">
        <f>IFERROR(VLOOKUP(B61,Modules!$E$11:$K$52,7,0),IFERROR(VLOOKUP(B61,Modules!$F$11:$K$52,6,0),VLOOKUP(B61,Modules!$G$11:$K$52,5,0)))</f>
        <v>#N/A</v>
      </c>
      <c r="U61" s="71">
        <f>IFERROR(MATCH(T61,Interventions!C:C,0),0)</f>
        <v>0</v>
      </c>
      <c r="V61" s="71" cm="1">
        <f t="array" ref="V61">SUM(U61,COUNTIF(ModuleStart,T61)-1)</f>
        <v>-1</v>
      </c>
      <c r="W61" s="72">
        <f t="shared" ref="W61:W92" si="9">ROUND(D61,0)</f>
        <v>0</v>
      </c>
      <c r="X61" s="72" t="str">
        <f t="shared" ref="X61:X92" si="10">IFERROR(ROUND(E61,0),"")</f>
        <v/>
      </c>
      <c r="Y61" s="82" t="str">
        <f>IF(AND(AE61="Continue",AG61="Continue"),VLOOKUP($B$10,Translation[],91,0),IF(AND(AE61&lt;&gt;"Continue",AG61="Continue"),AE61,IF(AND(AG61&lt;&gt;"Continue",AE61="Continue"),AG61,CONCATENATE(AE61,CHAR(10),AG61))))</f>
        <v>No error</v>
      </c>
      <c r="Z61" s="62" t="str">
        <f>IF(OR(AND($B61&lt;&gt;"",$K61=""),AND($C61&lt;&gt;"",$L61="")),VLOOKUP($B$10,Translation[],87,0),"Continue")</f>
        <v>Continue</v>
      </c>
      <c r="AA61" s="62" t="str">
        <f>IF(AND($B61 &lt;&gt; "",$K61&lt;&gt;""),IF($K61=_xlfn.XLOOKUP(L61,Interventions!$F$11:$F$179,Interventions!$C$11:$C$179,1,0,1),"Continue",VLOOKUP($B$10,Translation[],88,0)),"Continue")</f>
        <v>Continue</v>
      </c>
      <c r="AB61" s="9" t="str">
        <f>IFERROR(IF($A61&lt;&gt;"",IF($B$10="English", IF(MATCH($A61,'Dropdown Data'!$A$361:$A$363,0)&gt;0,"Continue"), IF($B$10="Français",IF(MATCH($A61,'Dropdown Data'!$B$361:$B$363,0)&gt;0,"Continue"), IF($B$10="Español",IF(MATCH($A61,'Dropdown Data'!$C$361:$C$363,0)&gt;0,"Continue"),VLOOKUP($B$10,Translation[],89,0)))),"Continue"),VLOOKUP($B$10,Translation[],89,0))</f>
        <v>Continue</v>
      </c>
      <c r="AC61" s="62" t="str">
        <f>IF(AND(NOT(ISBLANK($D61)),(NOT(ISNUMBER($D61)))),VLOOKUP($B$10,Translation[],90,0),"Continue")</f>
        <v>Continue</v>
      </c>
      <c r="AD61" s="62" t="str">
        <f xml:space="preserve"> IFERROR(IF(INT($D61) &lt;&gt; $D61, VLOOKUP($B$10,Translation[],92,0), "Continue"),"Continue")</f>
        <v>Continue</v>
      </c>
      <c r="AE61" s="62" t="str">
        <f t="shared" ref="AE61:AE92" si="11">IF(AND(Z61="Continue",AA61="Continue"),"Continue",IF(AND(Z61&lt;&gt;"Continue",AA61="Continue"),Z61,IF(AND(AA61&lt;&gt;"Continue",Z61="Continue"),AA61,CONCATENATE(Z61,CHAR(10),AA61))))</f>
        <v>Continue</v>
      </c>
      <c r="AF61" s="9" t="str">
        <f t="shared" si="5"/>
        <v>Continue</v>
      </c>
      <c r="AG61" s="9" t="str">
        <f t="shared" si="6"/>
        <v>Continue</v>
      </c>
    </row>
    <row r="62" spans="1:33" ht="15" x14ac:dyDescent="0.2">
      <c r="A62" s="83"/>
      <c r="B62" s="84"/>
      <c r="C62" s="84"/>
      <c r="D62" s="96"/>
      <c r="E62" s="93" t="str">
        <f>IF(ISBLANK(D62),"",IF(IF(Modules!$D$4="EUR",W62*(Modules!$B$5),$W62)=0,0,IF(Modules!$D$4="EUR",W62*(Modules!$B$5),$W62)))</f>
        <v/>
      </c>
      <c r="F62" s="41"/>
      <c r="G62" s="82" t="str">
        <f>IF(NOT(ISBLANK('PAAR (EN)'!$G62)),IF('PAAR (EN)'!$G62 &lt;&gt; "",IF(PAAR!$B$10="English",'PAAR (EN)'!$G62,IF(PAAR!$B$10="Français",_xlfn.XLOOKUP('PAAR (EN)'!$G62,'Dropdown Data'!$A$365:$A$368, 'Dropdown Data'!$B$365:$B$368,0,0,1),_xlfn.XLOOKUP('PAAR (EN)'!$G62,'Dropdown Data'!$A$365:$A$368,'Dropdown Data'!$C$365:$C$368,0,0,1))),""),"")</f>
        <v/>
      </c>
      <c r="H62" s="92" t="str">
        <f>IF('PAAR (EN)'!$H62 &lt;&gt;"", 'PAAR (EN)'!$H62, "")</f>
        <v/>
      </c>
      <c r="I62" s="89" t="str">
        <f>IF('PAAR (EN)'!$I62 &lt;&gt; "", 'PAAR (EN)'!$I62, "")</f>
        <v/>
      </c>
      <c r="J62" s="15"/>
      <c r="K62" s="42" t="str">
        <f>IFERROR(VLOOKUP(B62,Modules!C:D,2,0),"")</f>
        <v/>
      </c>
      <c r="L62" s="40" t="str" cm="1">
        <f t="array" ref="L62">IFERROR(INDEX(Interventions!$F$12:$F$178,MATCH(TRUE,INDEX(Interventions!$E$12:$E$178=$C62,0),0)),0)</f>
        <v>[Name ID]</v>
      </c>
      <c r="M62" s="15" t="str">
        <f>CLEAN(IFERROR(VLOOKUP($C62,Interventions!$E$1:$K$444,7,0),""))</f>
        <v/>
      </c>
      <c r="N62" s="15" t="str">
        <f>CLEAN(IF(C62="","",CONCATENATE(Modules!$B$8,PAAR!M62,Q62)))</f>
        <v/>
      </c>
      <c r="O62" s="70">
        <f>IFERROR(INDEX('Dropdown Data'!$D$33:$D$35,MATCH(A62,'Dropdown Data'!$B$33:$B$35,0)),IFERROR(INDEX('Dropdown Data'!$D$33:$D$35,MATCH(A62,'Dropdown Data'!$C$33:$C$35,0)),A62))</f>
        <v>0</v>
      </c>
      <c r="P62" s="70" t="str">
        <f>IFERROR(INDEX('Dropdown Data'!$D$33:$D$36,MATCH(G62,'Dropdown Data'!$B$33:$B$36,0)),IFERROR(INDEX('Dropdown Data'!$D$33:$D$36,MATCH(G62,'Dropdown Data'!$C$33:$C$36,0)),G62))</f>
        <v/>
      </c>
      <c r="Q62" s="71">
        <v>34</v>
      </c>
      <c r="R62" s="71" t="b">
        <f t="shared" si="7"/>
        <v>0</v>
      </c>
      <c r="S62" s="71">
        <f t="shared" si="8"/>
        <v>10</v>
      </c>
      <c r="T62" s="71" t="e">
        <f>IFERROR(VLOOKUP(B62,Modules!$E$11:$K$52,7,0),IFERROR(VLOOKUP(B62,Modules!$F$11:$K$52,6,0),VLOOKUP(B62,Modules!$G$11:$K$52,5,0)))</f>
        <v>#N/A</v>
      </c>
      <c r="U62" s="71">
        <f>IFERROR(MATCH(T62,Interventions!C:C,0),0)</f>
        <v>0</v>
      </c>
      <c r="V62" s="71" cm="1">
        <f t="array" ref="V62">SUM(U62,COUNTIF(ModuleStart,T62)-1)</f>
        <v>-1</v>
      </c>
      <c r="W62" s="72">
        <f t="shared" si="9"/>
        <v>0</v>
      </c>
      <c r="X62" s="72" t="str">
        <f t="shared" si="10"/>
        <v/>
      </c>
      <c r="Y62" s="82" t="str">
        <f>IF(AND(AE62="Continue",AG62="Continue"),VLOOKUP($B$10,Translation[],91,0),IF(AND(AE62&lt;&gt;"Continue",AG62="Continue"),AE62,IF(AND(AG62&lt;&gt;"Continue",AE62="Continue"),AG62,CONCATENATE(AE62,CHAR(10),AG62))))</f>
        <v>No error</v>
      </c>
      <c r="Z62" s="62" t="str">
        <f>IF(OR(AND($B62&lt;&gt;"",$K62=""),AND($C62&lt;&gt;"",$L62="")),VLOOKUP($B$10,Translation[],87,0),"Continue")</f>
        <v>Continue</v>
      </c>
      <c r="AA62" s="62" t="str">
        <f>IF(AND($B62 &lt;&gt; "",$K62&lt;&gt;""),IF($K62=_xlfn.XLOOKUP(L62,Interventions!$F$11:$F$179,Interventions!$C$11:$C$179,1,0,1),"Continue",VLOOKUP($B$10,Translation[],88,0)),"Continue")</f>
        <v>Continue</v>
      </c>
      <c r="AB62" s="9" t="str">
        <f>IFERROR(IF($A62&lt;&gt;"",IF($B$10="English", IF(MATCH($A62,'Dropdown Data'!$A$361:$A$363,0)&gt;0,"Continue"), IF($B$10="Français",IF(MATCH($A62,'Dropdown Data'!$B$361:$B$363,0)&gt;0,"Continue"), IF($B$10="Español",IF(MATCH($A62,'Dropdown Data'!$C$361:$C$363,0)&gt;0,"Continue"),VLOOKUP($B$10,Translation[],89,0)))),"Continue"),VLOOKUP($B$10,Translation[],89,0))</f>
        <v>Continue</v>
      </c>
      <c r="AC62" s="62" t="str">
        <f>IF(AND(NOT(ISBLANK($D62)),(NOT(ISNUMBER($D62)))),VLOOKUP($B$10,Translation[],90,0),"Continue")</f>
        <v>Continue</v>
      </c>
      <c r="AD62" s="62" t="str">
        <f xml:space="preserve"> IFERROR(IF(INT($D62) &lt;&gt; $D62, VLOOKUP($B$10,Translation[],92,0), "Continue"),"Continue")</f>
        <v>Continue</v>
      </c>
      <c r="AE62" s="62" t="str">
        <f t="shared" si="11"/>
        <v>Continue</v>
      </c>
      <c r="AF62" s="9" t="str">
        <f t="shared" si="5"/>
        <v>Continue</v>
      </c>
      <c r="AG62" s="9" t="str">
        <f t="shared" si="6"/>
        <v>Continue</v>
      </c>
    </row>
    <row r="63" spans="1:33" ht="15" x14ac:dyDescent="0.2">
      <c r="A63" s="83"/>
      <c r="B63" s="84"/>
      <c r="C63" s="84"/>
      <c r="D63" s="96"/>
      <c r="E63" s="93" t="str">
        <f>IF(ISBLANK(D63),"",IF(IF(Modules!$D$4="EUR",W63*(Modules!$B$5),$W63)=0,0,IF(Modules!$D$4="EUR",W63*(Modules!$B$5),$W63)))</f>
        <v/>
      </c>
      <c r="F63" s="41"/>
      <c r="G63" s="82" t="str">
        <f>IF(NOT(ISBLANK('PAAR (EN)'!$G63)),IF('PAAR (EN)'!$G63 &lt;&gt; "",IF(PAAR!$B$10="English",'PAAR (EN)'!$G63,IF(PAAR!$B$10="Français",_xlfn.XLOOKUP('PAAR (EN)'!$G63,'Dropdown Data'!$A$365:$A$368, 'Dropdown Data'!$B$365:$B$368,0,0,1),_xlfn.XLOOKUP('PAAR (EN)'!$G63,'Dropdown Data'!$A$365:$A$368,'Dropdown Data'!$C$365:$C$368,0,0,1))),""),"")</f>
        <v/>
      </c>
      <c r="H63" s="92" t="str">
        <f>IF('PAAR (EN)'!$H63 &lt;&gt;"", 'PAAR (EN)'!$H63, "")</f>
        <v/>
      </c>
      <c r="I63" s="89" t="str">
        <f>IF('PAAR (EN)'!$I63 &lt;&gt; "", 'PAAR (EN)'!$I63, "")</f>
        <v/>
      </c>
      <c r="J63" s="15"/>
      <c r="K63" s="42" t="str">
        <f>IFERROR(VLOOKUP(B63,Modules!C:D,2,0),"")</f>
        <v/>
      </c>
      <c r="L63" s="40" t="str" cm="1">
        <f t="array" ref="L63">IFERROR(INDEX(Interventions!$F$12:$F$178,MATCH(TRUE,INDEX(Interventions!$E$12:$E$178=$C63,0),0)),0)</f>
        <v>[Name ID]</v>
      </c>
      <c r="M63" s="15" t="str">
        <f>CLEAN(IFERROR(VLOOKUP($C63,Interventions!$E$1:$K$444,7,0),""))</f>
        <v/>
      </c>
      <c r="N63" s="15" t="str">
        <f>CLEAN(IF(C63="","",CONCATENATE(Modules!$B$8,PAAR!M63,Q63)))</f>
        <v/>
      </c>
      <c r="O63" s="70">
        <f>IFERROR(INDEX('Dropdown Data'!$D$33:$D$35,MATCH(A63,'Dropdown Data'!$B$33:$B$35,0)),IFERROR(INDEX('Dropdown Data'!$D$33:$D$35,MATCH(A63,'Dropdown Data'!$C$33:$C$35,0)),A63))</f>
        <v>0</v>
      </c>
      <c r="P63" s="70" t="str">
        <f>IFERROR(INDEX('Dropdown Data'!$D$33:$D$36,MATCH(G63,'Dropdown Data'!$B$33:$B$36,0)),IFERROR(INDEX('Dropdown Data'!$D$33:$D$36,MATCH(G63,'Dropdown Data'!$C$33:$C$36,0)),G63))</f>
        <v/>
      </c>
      <c r="Q63" s="71">
        <v>35</v>
      </c>
      <c r="R63" s="71" t="b">
        <f t="shared" si="7"/>
        <v>0</v>
      </c>
      <c r="S63" s="71">
        <f t="shared" si="8"/>
        <v>10</v>
      </c>
      <c r="T63" s="71" t="e">
        <f>IFERROR(VLOOKUP(B63,Modules!$E$11:$K$52,7,0),IFERROR(VLOOKUP(B63,Modules!$F$11:$K$52,6,0),VLOOKUP(B63,Modules!$G$11:$K$52,5,0)))</f>
        <v>#N/A</v>
      </c>
      <c r="U63" s="71">
        <f>IFERROR(MATCH(T63,Interventions!C:C,0),0)</f>
        <v>0</v>
      </c>
      <c r="V63" s="71" cm="1">
        <f t="array" ref="V63">SUM(U63,COUNTIF(ModuleStart,T63)-1)</f>
        <v>-1</v>
      </c>
      <c r="W63" s="72">
        <f t="shared" si="9"/>
        <v>0</v>
      </c>
      <c r="X63" s="72" t="str">
        <f t="shared" si="10"/>
        <v/>
      </c>
      <c r="Y63" s="82" t="str">
        <f>IF(AND(AE63="Continue",AG63="Continue"),VLOOKUP($B$10,Translation[],91,0),IF(AND(AE63&lt;&gt;"Continue",AG63="Continue"),AE63,IF(AND(AG63&lt;&gt;"Continue",AE63="Continue"),AG63,CONCATENATE(AE63,CHAR(10),AG63))))</f>
        <v>No error</v>
      </c>
      <c r="Z63" s="62" t="str">
        <f>IF(OR(AND($B63&lt;&gt;"",$K63=""),AND($C63&lt;&gt;"",$L63="")),VLOOKUP($B$10,Translation[],87,0),"Continue")</f>
        <v>Continue</v>
      </c>
      <c r="AA63" s="62" t="str">
        <f>IF(AND($B63 &lt;&gt; "",$K63&lt;&gt;""),IF($K63=_xlfn.XLOOKUP(L63,Interventions!$F$11:$F$179,Interventions!$C$11:$C$179,1,0,1),"Continue",VLOOKUP($B$10,Translation[],88,0)),"Continue")</f>
        <v>Continue</v>
      </c>
      <c r="AB63" s="9" t="str">
        <f>IFERROR(IF($A63&lt;&gt;"",IF($B$10="English", IF(MATCH($A63,'Dropdown Data'!$A$361:$A$363,0)&gt;0,"Continue"), IF($B$10="Français",IF(MATCH($A63,'Dropdown Data'!$B$361:$B$363,0)&gt;0,"Continue"), IF($B$10="Español",IF(MATCH($A63,'Dropdown Data'!$C$361:$C$363,0)&gt;0,"Continue"),VLOOKUP($B$10,Translation[],89,0)))),"Continue"),VLOOKUP($B$10,Translation[],89,0))</f>
        <v>Continue</v>
      </c>
      <c r="AC63" s="62" t="str">
        <f>IF(AND(NOT(ISBLANK($D63)),(NOT(ISNUMBER($D63)))),VLOOKUP($B$10,Translation[],90,0),"Continue")</f>
        <v>Continue</v>
      </c>
      <c r="AD63" s="62" t="str">
        <f xml:space="preserve"> IFERROR(IF(INT($D63) &lt;&gt; $D63, VLOOKUP($B$10,Translation[],92,0), "Continue"),"Continue")</f>
        <v>Continue</v>
      </c>
      <c r="AE63" s="62" t="str">
        <f t="shared" si="11"/>
        <v>Continue</v>
      </c>
      <c r="AF63" s="9" t="str">
        <f t="shared" si="5"/>
        <v>Continue</v>
      </c>
      <c r="AG63" s="9" t="str">
        <f t="shared" si="6"/>
        <v>Continue</v>
      </c>
    </row>
    <row r="64" spans="1:33" ht="15" x14ac:dyDescent="0.2">
      <c r="A64" s="83"/>
      <c r="B64" s="84"/>
      <c r="C64" s="84"/>
      <c r="D64" s="96"/>
      <c r="E64" s="93" t="str">
        <f>IF(ISBLANK(D64),"",IF(IF(Modules!$D$4="EUR",W64*(Modules!$B$5),$W64)=0,0,IF(Modules!$D$4="EUR",W64*(Modules!$B$5),$W64)))</f>
        <v/>
      </c>
      <c r="F64" s="41"/>
      <c r="G64" s="82" t="str">
        <f>IF(NOT(ISBLANK('PAAR (EN)'!$G64)),IF('PAAR (EN)'!$G64 &lt;&gt; "",IF(PAAR!$B$10="English",'PAAR (EN)'!$G64,IF(PAAR!$B$10="Français",_xlfn.XLOOKUP('PAAR (EN)'!$G64,'Dropdown Data'!$A$365:$A$368, 'Dropdown Data'!$B$365:$B$368,0,0,1),_xlfn.XLOOKUP('PAAR (EN)'!$G64,'Dropdown Data'!$A$365:$A$368,'Dropdown Data'!$C$365:$C$368,0,0,1))),""),"")</f>
        <v/>
      </c>
      <c r="H64" s="92" t="str">
        <f>IF('PAAR (EN)'!$H64 &lt;&gt;"", 'PAAR (EN)'!$H64, "")</f>
        <v/>
      </c>
      <c r="I64" s="89" t="str">
        <f>IF('PAAR (EN)'!$I64 &lt;&gt; "", 'PAAR (EN)'!$I64, "")</f>
        <v/>
      </c>
      <c r="J64" s="15"/>
      <c r="K64" s="42" t="str">
        <f>IFERROR(VLOOKUP(B64,Modules!C:D,2,0),"")</f>
        <v/>
      </c>
      <c r="L64" s="40" t="str" cm="1">
        <f t="array" ref="L64">IFERROR(INDEX(Interventions!$F$12:$F$178,MATCH(TRUE,INDEX(Interventions!$E$12:$E$178=$C64,0),0)),0)</f>
        <v>[Name ID]</v>
      </c>
      <c r="M64" s="15" t="str">
        <f>CLEAN(IFERROR(VLOOKUP($C64,Interventions!$E$1:$K$444,7,0),""))</f>
        <v/>
      </c>
      <c r="N64" s="15" t="str">
        <f>CLEAN(IF(C64="","",CONCATENATE(Modules!$B$8,PAAR!M64,Q64)))</f>
        <v/>
      </c>
      <c r="O64" s="70">
        <f>IFERROR(INDEX('Dropdown Data'!$D$33:$D$35,MATCH(A64,'Dropdown Data'!$B$33:$B$35,0)),IFERROR(INDEX('Dropdown Data'!$D$33:$D$35,MATCH(A64,'Dropdown Data'!$C$33:$C$35,0)),A64))</f>
        <v>0</v>
      </c>
      <c r="P64" s="70" t="str">
        <f>IFERROR(INDEX('Dropdown Data'!$D$33:$D$36,MATCH(G64,'Dropdown Data'!$B$33:$B$36,0)),IFERROR(INDEX('Dropdown Data'!$D$33:$D$36,MATCH(G64,'Dropdown Data'!$C$33:$C$36,0)),G64))</f>
        <v/>
      </c>
      <c r="Q64" s="71">
        <v>36</v>
      </c>
      <c r="R64" s="71" t="b">
        <f t="shared" si="7"/>
        <v>0</v>
      </c>
      <c r="S64" s="71">
        <f t="shared" si="8"/>
        <v>10</v>
      </c>
      <c r="T64" s="71" t="e">
        <f>IFERROR(VLOOKUP(B64,Modules!$E$11:$K$52,7,0),IFERROR(VLOOKUP(B64,Modules!$F$11:$K$52,6,0),VLOOKUP(B64,Modules!$G$11:$K$52,5,0)))</f>
        <v>#N/A</v>
      </c>
      <c r="U64" s="71">
        <f>IFERROR(MATCH(T64,Interventions!C:C,0),0)</f>
        <v>0</v>
      </c>
      <c r="V64" s="71" cm="1">
        <f t="array" ref="V64">SUM(U64,COUNTIF(ModuleStart,T64)-1)</f>
        <v>-1</v>
      </c>
      <c r="W64" s="72">
        <f t="shared" si="9"/>
        <v>0</v>
      </c>
      <c r="X64" s="72" t="str">
        <f t="shared" si="10"/>
        <v/>
      </c>
      <c r="Y64" s="82" t="str">
        <f>IF(AND(AE64="Continue",AG64="Continue"),VLOOKUP($B$10,Translation[],91,0),IF(AND(AE64&lt;&gt;"Continue",AG64="Continue"),AE64,IF(AND(AG64&lt;&gt;"Continue",AE64="Continue"),AG64,CONCATENATE(AE64,CHAR(10),AG64))))</f>
        <v>No error</v>
      </c>
      <c r="Z64" s="62" t="str">
        <f>IF(OR(AND($B64&lt;&gt;"",$K64=""),AND($C64&lt;&gt;"",$L64="")),VLOOKUP($B$10,Translation[],87,0),"Continue")</f>
        <v>Continue</v>
      </c>
      <c r="AA64" s="62" t="str">
        <f>IF(AND($B64 &lt;&gt; "",$K64&lt;&gt;""),IF($K64=_xlfn.XLOOKUP(L64,Interventions!$F$11:$F$179,Interventions!$C$11:$C$179,1,0,1),"Continue",VLOOKUP($B$10,Translation[],88,0)),"Continue")</f>
        <v>Continue</v>
      </c>
      <c r="AB64" s="9" t="str">
        <f>IFERROR(IF($A64&lt;&gt;"",IF($B$10="English", IF(MATCH($A64,'Dropdown Data'!$A$361:$A$363,0)&gt;0,"Continue"), IF($B$10="Français",IF(MATCH($A64,'Dropdown Data'!$B$361:$B$363,0)&gt;0,"Continue"), IF($B$10="Español",IF(MATCH($A64,'Dropdown Data'!$C$361:$C$363,0)&gt;0,"Continue"),VLOOKUP($B$10,Translation[],89,0)))),"Continue"),VLOOKUP($B$10,Translation[],89,0))</f>
        <v>Continue</v>
      </c>
      <c r="AC64" s="62" t="str">
        <f>IF(AND(NOT(ISBLANK($D64)),(NOT(ISNUMBER($D64)))),VLOOKUP($B$10,Translation[],90,0),"Continue")</f>
        <v>Continue</v>
      </c>
      <c r="AD64" s="62" t="str">
        <f xml:space="preserve"> IFERROR(IF(INT($D64) &lt;&gt; $D64, VLOOKUP($B$10,Translation[],92,0), "Continue"),"Continue")</f>
        <v>Continue</v>
      </c>
      <c r="AE64" s="62" t="str">
        <f t="shared" si="11"/>
        <v>Continue</v>
      </c>
      <c r="AF64" s="9" t="str">
        <f t="shared" si="5"/>
        <v>Continue</v>
      </c>
      <c r="AG64" s="9" t="str">
        <f t="shared" si="6"/>
        <v>Continue</v>
      </c>
    </row>
    <row r="65" spans="1:33" ht="15" x14ac:dyDescent="0.2">
      <c r="A65" s="83"/>
      <c r="B65" s="84"/>
      <c r="C65" s="84"/>
      <c r="D65" s="96"/>
      <c r="E65" s="93" t="str">
        <f>IF(ISBLANK(D65),"",IF(IF(Modules!$D$4="EUR",W65*(Modules!$B$5),$W65)=0,0,IF(Modules!$D$4="EUR",W65*(Modules!$B$5),$W65)))</f>
        <v/>
      </c>
      <c r="F65" s="41"/>
      <c r="G65" s="82" t="str">
        <f>IF(NOT(ISBLANK('PAAR (EN)'!$G65)),IF('PAAR (EN)'!$G65 &lt;&gt; "",IF(PAAR!$B$10="English",'PAAR (EN)'!$G65,IF(PAAR!$B$10="Français",_xlfn.XLOOKUP('PAAR (EN)'!$G65,'Dropdown Data'!$A$365:$A$368, 'Dropdown Data'!$B$365:$B$368,0,0,1),_xlfn.XLOOKUP('PAAR (EN)'!$G65,'Dropdown Data'!$A$365:$A$368,'Dropdown Data'!$C$365:$C$368,0,0,1))),""),"")</f>
        <v/>
      </c>
      <c r="H65" s="92" t="str">
        <f>IF('PAAR (EN)'!$H65 &lt;&gt;"", 'PAAR (EN)'!$H65, "")</f>
        <v/>
      </c>
      <c r="I65" s="89" t="str">
        <f>IF('PAAR (EN)'!$I65 &lt;&gt; "", 'PAAR (EN)'!$I65, "")</f>
        <v/>
      </c>
      <c r="J65" s="15"/>
      <c r="K65" s="42" t="str">
        <f>IFERROR(VLOOKUP(B65,Modules!C:D,2,0),"")</f>
        <v/>
      </c>
      <c r="L65" s="40" t="str" cm="1">
        <f t="array" ref="L65">IFERROR(INDEX(Interventions!$F$12:$F$178,MATCH(TRUE,INDEX(Interventions!$E$12:$E$178=$C65,0),0)),0)</f>
        <v>[Name ID]</v>
      </c>
      <c r="M65" s="15" t="str">
        <f>CLEAN(IFERROR(VLOOKUP($C65,Interventions!$E$1:$K$444,7,0),""))</f>
        <v/>
      </c>
      <c r="N65" s="15" t="str">
        <f>CLEAN(IF(C65="","",CONCATENATE(Modules!$B$8,PAAR!M65,Q65)))</f>
        <v/>
      </c>
      <c r="O65" s="70">
        <f>IFERROR(INDEX('Dropdown Data'!$D$33:$D$35,MATCH(A65,'Dropdown Data'!$B$33:$B$35,0)),IFERROR(INDEX('Dropdown Data'!$D$33:$D$35,MATCH(A65,'Dropdown Data'!$C$33:$C$35,0)),A65))</f>
        <v>0</v>
      </c>
      <c r="P65" s="70" t="str">
        <f>IFERROR(INDEX('Dropdown Data'!$D$33:$D$36,MATCH(G65,'Dropdown Data'!$B$33:$B$36,0)),IFERROR(INDEX('Dropdown Data'!$D$33:$D$36,MATCH(G65,'Dropdown Data'!$C$33:$C$36,0)),G65))</f>
        <v/>
      </c>
      <c r="Q65" s="71">
        <v>37</v>
      </c>
      <c r="R65" s="71" t="b">
        <f t="shared" si="7"/>
        <v>0</v>
      </c>
      <c r="S65" s="71">
        <f t="shared" si="8"/>
        <v>10</v>
      </c>
      <c r="T65" s="71" t="e">
        <f>IFERROR(VLOOKUP(B65,Modules!$E$11:$K$52,7,0),IFERROR(VLOOKUP(B65,Modules!$F$11:$K$52,6,0),VLOOKUP(B65,Modules!$G$11:$K$52,5,0)))</f>
        <v>#N/A</v>
      </c>
      <c r="U65" s="71">
        <f>IFERROR(MATCH(T65,Interventions!C:C,0),0)</f>
        <v>0</v>
      </c>
      <c r="V65" s="71" cm="1">
        <f t="array" ref="V65">SUM(U65,COUNTIF(ModuleStart,T65)-1)</f>
        <v>-1</v>
      </c>
      <c r="W65" s="72">
        <f t="shared" si="9"/>
        <v>0</v>
      </c>
      <c r="X65" s="72" t="str">
        <f t="shared" si="10"/>
        <v/>
      </c>
      <c r="Y65" s="82" t="str">
        <f>IF(AND(AE65="Continue",AG65="Continue"),VLOOKUP($B$10,Translation[],91,0),IF(AND(AE65&lt;&gt;"Continue",AG65="Continue"),AE65,IF(AND(AG65&lt;&gt;"Continue",AE65="Continue"),AG65,CONCATENATE(AE65,CHAR(10),AG65))))</f>
        <v>No error</v>
      </c>
      <c r="Z65" s="62" t="str">
        <f>IF(OR(AND($B65&lt;&gt;"",$K65=""),AND($C65&lt;&gt;"",$L65="")),VLOOKUP($B$10,Translation[],87,0),"Continue")</f>
        <v>Continue</v>
      </c>
      <c r="AA65" s="62" t="str">
        <f>IF(AND($B65 &lt;&gt; "",$K65&lt;&gt;""),IF($K65=_xlfn.XLOOKUP(L65,Interventions!$F$11:$F$179,Interventions!$C$11:$C$179,1,0,1),"Continue",VLOOKUP($B$10,Translation[],88,0)),"Continue")</f>
        <v>Continue</v>
      </c>
      <c r="AB65" s="9" t="str">
        <f>IFERROR(IF($A65&lt;&gt;"",IF($B$10="English", IF(MATCH($A65,'Dropdown Data'!$A$361:$A$363,0)&gt;0,"Continue"), IF($B$10="Français",IF(MATCH($A65,'Dropdown Data'!$B$361:$B$363,0)&gt;0,"Continue"), IF($B$10="Español",IF(MATCH($A65,'Dropdown Data'!$C$361:$C$363,0)&gt;0,"Continue"),VLOOKUP($B$10,Translation[],89,0)))),"Continue"),VLOOKUP($B$10,Translation[],89,0))</f>
        <v>Continue</v>
      </c>
      <c r="AC65" s="62" t="str">
        <f>IF(AND(NOT(ISBLANK($D65)),(NOT(ISNUMBER($D65)))),VLOOKUP($B$10,Translation[],90,0),"Continue")</f>
        <v>Continue</v>
      </c>
      <c r="AD65" s="62" t="str">
        <f xml:space="preserve"> IFERROR(IF(INT($D65) &lt;&gt; $D65, VLOOKUP($B$10,Translation[],92,0), "Continue"),"Continue")</f>
        <v>Continue</v>
      </c>
      <c r="AE65" s="62" t="str">
        <f t="shared" si="11"/>
        <v>Continue</v>
      </c>
      <c r="AF65" s="9" t="str">
        <f t="shared" si="5"/>
        <v>Continue</v>
      </c>
      <c r="AG65" s="9" t="str">
        <f t="shared" si="6"/>
        <v>Continue</v>
      </c>
    </row>
    <row r="66" spans="1:33" ht="15" x14ac:dyDescent="0.2">
      <c r="A66" s="83"/>
      <c r="B66" s="84"/>
      <c r="C66" s="84"/>
      <c r="D66" s="96"/>
      <c r="E66" s="93" t="str">
        <f>IF(ISBLANK(D66),"",IF(IF(Modules!$D$4="EUR",W66*(Modules!$B$5),$W66)=0,0,IF(Modules!$D$4="EUR",W66*(Modules!$B$5),$W66)))</f>
        <v/>
      </c>
      <c r="F66" s="41"/>
      <c r="G66" s="82" t="str">
        <f>IF(NOT(ISBLANK('PAAR (EN)'!$G66)),IF('PAAR (EN)'!$G66 &lt;&gt; "",IF(PAAR!$B$10="English",'PAAR (EN)'!$G66,IF(PAAR!$B$10="Français",_xlfn.XLOOKUP('PAAR (EN)'!$G66,'Dropdown Data'!$A$365:$A$368, 'Dropdown Data'!$B$365:$B$368,0,0,1),_xlfn.XLOOKUP('PAAR (EN)'!$G66,'Dropdown Data'!$A$365:$A$368,'Dropdown Data'!$C$365:$C$368,0,0,1))),""),"")</f>
        <v/>
      </c>
      <c r="H66" s="92" t="str">
        <f>IF('PAAR (EN)'!$H66 &lt;&gt;"", 'PAAR (EN)'!$H66, "")</f>
        <v/>
      </c>
      <c r="I66" s="89" t="str">
        <f>IF('PAAR (EN)'!$I66 &lt;&gt; "", 'PAAR (EN)'!$I66, "")</f>
        <v/>
      </c>
      <c r="J66" s="15"/>
      <c r="K66" s="42" t="str">
        <f>IFERROR(VLOOKUP(B66,Modules!C:D,2,0),"")</f>
        <v/>
      </c>
      <c r="L66" s="40" t="str" cm="1">
        <f t="array" ref="L66">IFERROR(INDEX(Interventions!$F$12:$F$178,MATCH(TRUE,INDEX(Interventions!$E$12:$E$178=$C66,0),0)),0)</f>
        <v>[Name ID]</v>
      </c>
      <c r="M66" s="15" t="str">
        <f>CLEAN(IFERROR(VLOOKUP($C66,Interventions!$E$1:$K$444,7,0),""))</f>
        <v/>
      </c>
      <c r="N66" s="15" t="str">
        <f>CLEAN(IF(C66="","",CONCATENATE(Modules!$B$8,PAAR!M66,Q66)))</f>
        <v/>
      </c>
      <c r="O66" s="70">
        <f>IFERROR(INDEX('Dropdown Data'!$D$33:$D$35,MATCH(A66,'Dropdown Data'!$B$33:$B$35,0)),IFERROR(INDEX('Dropdown Data'!$D$33:$D$35,MATCH(A66,'Dropdown Data'!$C$33:$C$35,0)),A66))</f>
        <v>0</v>
      </c>
      <c r="P66" s="70" t="str">
        <f>IFERROR(INDEX('Dropdown Data'!$D$33:$D$36,MATCH(G66,'Dropdown Data'!$B$33:$B$36,0)),IFERROR(INDEX('Dropdown Data'!$D$33:$D$36,MATCH(G66,'Dropdown Data'!$C$33:$C$36,0)),G66))</f>
        <v/>
      </c>
      <c r="Q66" s="71">
        <v>38</v>
      </c>
      <c r="R66" s="71" t="b">
        <f t="shared" si="7"/>
        <v>0</v>
      </c>
      <c r="S66" s="71">
        <f t="shared" si="8"/>
        <v>10</v>
      </c>
      <c r="T66" s="71" t="e">
        <f>IFERROR(VLOOKUP(B66,Modules!$E$11:$K$52,7,0),IFERROR(VLOOKUP(B66,Modules!$F$11:$K$52,6,0),VLOOKUP(B66,Modules!$G$11:$K$52,5,0)))</f>
        <v>#N/A</v>
      </c>
      <c r="U66" s="71">
        <f>IFERROR(MATCH(T66,Interventions!C:C,0),0)</f>
        <v>0</v>
      </c>
      <c r="V66" s="71" cm="1">
        <f t="array" ref="V66">SUM(U66,COUNTIF(ModuleStart,T66)-1)</f>
        <v>-1</v>
      </c>
      <c r="W66" s="72">
        <f t="shared" si="9"/>
        <v>0</v>
      </c>
      <c r="X66" s="72" t="str">
        <f t="shared" si="10"/>
        <v/>
      </c>
      <c r="Y66" s="82" t="str">
        <f>IF(AND(AE66="Continue",AG66="Continue"),VLOOKUP($B$10,Translation[],91,0),IF(AND(AE66&lt;&gt;"Continue",AG66="Continue"),AE66,IF(AND(AG66&lt;&gt;"Continue",AE66="Continue"),AG66,CONCATENATE(AE66,CHAR(10),AG66))))</f>
        <v>No error</v>
      </c>
      <c r="Z66" s="62" t="str">
        <f>IF(OR(AND($B66&lt;&gt;"",$K66=""),AND($C66&lt;&gt;"",$L66="")),VLOOKUP($B$10,Translation[],87,0),"Continue")</f>
        <v>Continue</v>
      </c>
      <c r="AA66" s="62" t="str">
        <f>IF(AND($B66 &lt;&gt; "",$K66&lt;&gt;""),IF($K66=_xlfn.XLOOKUP(L66,Interventions!$F$11:$F$179,Interventions!$C$11:$C$179,1,0,1),"Continue",VLOOKUP($B$10,Translation[],88,0)),"Continue")</f>
        <v>Continue</v>
      </c>
      <c r="AB66" s="9" t="str">
        <f>IFERROR(IF($A66&lt;&gt;"",IF($B$10="English", IF(MATCH($A66,'Dropdown Data'!$A$361:$A$363,0)&gt;0,"Continue"), IF($B$10="Français",IF(MATCH($A66,'Dropdown Data'!$B$361:$B$363,0)&gt;0,"Continue"), IF($B$10="Español",IF(MATCH($A66,'Dropdown Data'!$C$361:$C$363,0)&gt;0,"Continue"),VLOOKUP($B$10,Translation[],89,0)))),"Continue"),VLOOKUP($B$10,Translation[],89,0))</f>
        <v>Continue</v>
      </c>
      <c r="AC66" s="62" t="str">
        <f>IF(AND(NOT(ISBLANK($D66)),(NOT(ISNUMBER($D66)))),VLOOKUP($B$10,Translation[],90,0),"Continue")</f>
        <v>Continue</v>
      </c>
      <c r="AD66" s="62" t="str">
        <f xml:space="preserve"> IFERROR(IF(INT($D66) &lt;&gt; $D66, VLOOKUP($B$10,Translation[],92,0), "Continue"),"Continue")</f>
        <v>Continue</v>
      </c>
      <c r="AE66" s="62" t="str">
        <f t="shared" si="11"/>
        <v>Continue</v>
      </c>
      <c r="AF66" s="9" t="str">
        <f t="shared" si="5"/>
        <v>Continue</v>
      </c>
      <c r="AG66" s="9" t="str">
        <f t="shared" si="6"/>
        <v>Continue</v>
      </c>
    </row>
    <row r="67" spans="1:33" ht="15" x14ac:dyDescent="0.2">
      <c r="A67" s="83"/>
      <c r="B67" s="84"/>
      <c r="C67" s="84"/>
      <c r="D67" s="96"/>
      <c r="E67" s="93" t="str">
        <f>IF(ISBLANK(D67),"",IF(IF(Modules!$D$4="EUR",W67*(Modules!$B$5),$W67)=0,0,IF(Modules!$D$4="EUR",W67*(Modules!$B$5),$W67)))</f>
        <v/>
      </c>
      <c r="F67" s="41"/>
      <c r="G67" s="82" t="str">
        <f>IF(NOT(ISBLANK('PAAR (EN)'!$G67)),IF('PAAR (EN)'!$G67 &lt;&gt; "",IF(PAAR!$B$10="English",'PAAR (EN)'!$G67,IF(PAAR!$B$10="Français",_xlfn.XLOOKUP('PAAR (EN)'!$G67,'Dropdown Data'!$A$365:$A$368, 'Dropdown Data'!$B$365:$B$368,0,0,1),_xlfn.XLOOKUP('PAAR (EN)'!$G67,'Dropdown Data'!$A$365:$A$368,'Dropdown Data'!$C$365:$C$368,0,0,1))),""),"")</f>
        <v/>
      </c>
      <c r="H67" s="92" t="str">
        <f>IF('PAAR (EN)'!$H67 &lt;&gt;"", 'PAAR (EN)'!$H67, "")</f>
        <v/>
      </c>
      <c r="I67" s="89" t="str">
        <f>IF('PAAR (EN)'!$I67 &lt;&gt; "", 'PAAR (EN)'!$I67, "")</f>
        <v/>
      </c>
      <c r="J67" s="15"/>
      <c r="K67" s="42" t="str">
        <f>IFERROR(VLOOKUP(B67,Modules!C:D,2,0),"")</f>
        <v/>
      </c>
      <c r="L67" s="40" t="str" cm="1">
        <f t="array" ref="L67">IFERROR(INDEX(Interventions!$F$12:$F$178,MATCH(TRUE,INDEX(Interventions!$E$12:$E$178=$C67,0),0)),0)</f>
        <v>[Name ID]</v>
      </c>
      <c r="M67" s="15" t="str">
        <f>CLEAN(IFERROR(VLOOKUP($C67,Interventions!$E$1:$K$444,7,0),""))</f>
        <v/>
      </c>
      <c r="N67" s="15" t="str">
        <f>CLEAN(IF(C67="","",CONCATENATE(Modules!$B$8,PAAR!M67,Q67)))</f>
        <v/>
      </c>
      <c r="O67" s="70">
        <f>IFERROR(INDEX('Dropdown Data'!$D$33:$D$35,MATCH(A67,'Dropdown Data'!$B$33:$B$35,0)),IFERROR(INDEX('Dropdown Data'!$D$33:$D$35,MATCH(A67,'Dropdown Data'!$C$33:$C$35,0)),A67))</f>
        <v>0</v>
      </c>
      <c r="P67" s="70" t="str">
        <f>IFERROR(INDEX('Dropdown Data'!$D$33:$D$36,MATCH(G67,'Dropdown Data'!$B$33:$B$36,0)),IFERROR(INDEX('Dropdown Data'!$D$33:$D$36,MATCH(G67,'Dropdown Data'!$C$33:$C$36,0)),G67))</f>
        <v/>
      </c>
      <c r="Q67" s="71">
        <v>39</v>
      </c>
      <c r="R67" s="71" t="b">
        <f t="shared" si="7"/>
        <v>0</v>
      </c>
      <c r="S67" s="71">
        <f t="shared" si="8"/>
        <v>10</v>
      </c>
      <c r="T67" s="71" t="e">
        <f>IFERROR(VLOOKUP(B67,Modules!$E$11:$K$52,7,0),IFERROR(VLOOKUP(B67,Modules!$F$11:$K$52,6,0),VLOOKUP(B67,Modules!$G$11:$K$52,5,0)))</f>
        <v>#N/A</v>
      </c>
      <c r="U67" s="71">
        <f>IFERROR(MATCH(T67,Interventions!C:C,0),0)</f>
        <v>0</v>
      </c>
      <c r="V67" s="71" cm="1">
        <f t="array" ref="V67">SUM(U67,COUNTIF(ModuleStart,T67)-1)</f>
        <v>-1</v>
      </c>
      <c r="W67" s="72">
        <f t="shared" si="9"/>
        <v>0</v>
      </c>
      <c r="X67" s="72" t="str">
        <f t="shared" si="10"/>
        <v/>
      </c>
      <c r="Y67" s="82" t="str">
        <f>IF(AND(AE67="Continue",AG67="Continue"),VLOOKUP($B$10,Translation[],91,0),IF(AND(AE67&lt;&gt;"Continue",AG67="Continue"),AE67,IF(AND(AG67&lt;&gt;"Continue",AE67="Continue"),AG67,CONCATENATE(AE67,CHAR(10),AG67))))</f>
        <v>No error</v>
      </c>
      <c r="Z67" s="62" t="str">
        <f>IF(OR(AND($B67&lt;&gt;"",$K67=""),AND($C67&lt;&gt;"",$L67="")),VLOOKUP($B$10,Translation[],87,0),"Continue")</f>
        <v>Continue</v>
      </c>
      <c r="AA67" s="62" t="str">
        <f>IF(AND($B67 &lt;&gt; "",$K67&lt;&gt;""),IF($K67=_xlfn.XLOOKUP(L67,Interventions!$F$11:$F$179,Interventions!$C$11:$C$179,1,0,1),"Continue",VLOOKUP($B$10,Translation[],88,0)),"Continue")</f>
        <v>Continue</v>
      </c>
      <c r="AB67" s="9" t="str">
        <f>IFERROR(IF($A67&lt;&gt;"",IF($B$10="English", IF(MATCH($A67,'Dropdown Data'!$A$361:$A$363,0)&gt;0,"Continue"), IF($B$10="Français",IF(MATCH($A67,'Dropdown Data'!$B$361:$B$363,0)&gt;0,"Continue"), IF($B$10="Español",IF(MATCH($A67,'Dropdown Data'!$C$361:$C$363,0)&gt;0,"Continue"),VLOOKUP($B$10,Translation[],89,0)))),"Continue"),VLOOKUP($B$10,Translation[],89,0))</f>
        <v>Continue</v>
      </c>
      <c r="AC67" s="62" t="str">
        <f>IF(AND(NOT(ISBLANK($D67)),(NOT(ISNUMBER($D67)))),VLOOKUP($B$10,Translation[],90,0),"Continue")</f>
        <v>Continue</v>
      </c>
      <c r="AD67" s="62" t="str">
        <f xml:space="preserve"> IFERROR(IF(INT($D67) &lt;&gt; $D67, VLOOKUP($B$10,Translation[],92,0), "Continue"),"Continue")</f>
        <v>Continue</v>
      </c>
      <c r="AE67" s="62" t="str">
        <f t="shared" si="11"/>
        <v>Continue</v>
      </c>
      <c r="AF67" s="9" t="str">
        <f t="shared" si="5"/>
        <v>Continue</v>
      </c>
      <c r="AG67" s="9" t="str">
        <f t="shared" si="6"/>
        <v>Continue</v>
      </c>
    </row>
    <row r="68" spans="1:33" ht="15" x14ac:dyDescent="0.2">
      <c r="A68" s="83"/>
      <c r="B68" s="84"/>
      <c r="C68" s="84"/>
      <c r="D68" s="96"/>
      <c r="E68" s="93" t="str">
        <f>IF(ISBLANK(D68),"",IF(IF(Modules!$D$4="EUR",W68*(Modules!$B$5),$W68)=0,0,IF(Modules!$D$4="EUR",W68*(Modules!$B$5),$W68)))</f>
        <v/>
      </c>
      <c r="F68" s="41"/>
      <c r="G68" s="82" t="str">
        <f>IF(NOT(ISBLANK('PAAR (EN)'!$G68)),IF('PAAR (EN)'!$G68 &lt;&gt; "",IF(PAAR!$B$10="English",'PAAR (EN)'!$G68,IF(PAAR!$B$10="Français",_xlfn.XLOOKUP('PAAR (EN)'!$G68,'Dropdown Data'!$A$365:$A$368, 'Dropdown Data'!$B$365:$B$368,0,0,1),_xlfn.XLOOKUP('PAAR (EN)'!$G68,'Dropdown Data'!$A$365:$A$368,'Dropdown Data'!$C$365:$C$368,0,0,1))),""),"")</f>
        <v/>
      </c>
      <c r="H68" s="92" t="str">
        <f>IF('PAAR (EN)'!$H68 &lt;&gt;"", 'PAAR (EN)'!$H68, "")</f>
        <v/>
      </c>
      <c r="I68" s="89" t="str">
        <f>IF('PAAR (EN)'!$I68 &lt;&gt; "", 'PAAR (EN)'!$I68, "")</f>
        <v/>
      </c>
      <c r="J68" s="15"/>
      <c r="K68" s="42" t="str">
        <f>IFERROR(VLOOKUP(B68,Modules!C:D,2,0),"")</f>
        <v/>
      </c>
      <c r="L68" s="40" t="str" cm="1">
        <f t="array" ref="L68">IFERROR(INDEX(Interventions!$F$12:$F$178,MATCH(TRUE,INDEX(Interventions!$E$12:$E$178=$C68,0),0)),0)</f>
        <v>[Name ID]</v>
      </c>
      <c r="M68" s="15" t="str">
        <f>CLEAN(IFERROR(VLOOKUP($C68,Interventions!$E$1:$K$444,7,0),""))</f>
        <v/>
      </c>
      <c r="N68" s="15" t="str">
        <f>CLEAN(IF(C68="","",CONCATENATE(Modules!$B$8,PAAR!M68,Q68)))</f>
        <v/>
      </c>
      <c r="O68" s="70">
        <f>IFERROR(INDEX('Dropdown Data'!$D$33:$D$35,MATCH(A68,'Dropdown Data'!$B$33:$B$35,0)),IFERROR(INDEX('Dropdown Data'!$D$33:$D$35,MATCH(A68,'Dropdown Data'!$C$33:$C$35,0)),A68))</f>
        <v>0</v>
      </c>
      <c r="P68" s="70" t="str">
        <f>IFERROR(INDEX('Dropdown Data'!$D$33:$D$36,MATCH(G68,'Dropdown Data'!$B$33:$B$36,0)),IFERROR(INDEX('Dropdown Data'!$D$33:$D$36,MATCH(G68,'Dropdown Data'!$C$33:$C$36,0)),G68))</f>
        <v/>
      </c>
      <c r="Q68" s="71">
        <v>40</v>
      </c>
      <c r="R68" s="71" t="b">
        <f t="shared" si="7"/>
        <v>0</v>
      </c>
      <c r="S68" s="71">
        <f t="shared" si="8"/>
        <v>10</v>
      </c>
      <c r="T68" s="71" t="e">
        <f>IFERROR(VLOOKUP(B68,Modules!$E$11:$K$52,7,0),IFERROR(VLOOKUP(B68,Modules!$F$11:$K$52,6,0),VLOOKUP(B68,Modules!$G$11:$K$52,5,0)))</f>
        <v>#N/A</v>
      </c>
      <c r="U68" s="71">
        <f>IFERROR(MATCH(T68,Interventions!C:C,0),0)</f>
        <v>0</v>
      </c>
      <c r="V68" s="71" cm="1">
        <f t="array" ref="V68">SUM(U68,COUNTIF(ModuleStart,T68)-1)</f>
        <v>-1</v>
      </c>
      <c r="W68" s="72">
        <f t="shared" si="9"/>
        <v>0</v>
      </c>
      <c r="X68" s="72" t="str">
        <f t="shared" si="10"/>
        <v/>
      </c>
      <c r="Y68" s="82" t="str">
        <f>IF(AND(AE68="Continue",AG68="Continue"),VLOOKUP($B$10,Translation[],91,0),IF(AND(AE68&lt;&gt;"Continue",AG68="Continue"),AE68,IF(AND(AG68&lt;&gt;"Continue",AE68="Continue"),AG68,CONCATENATE(AE68,CHAR(10),AG68))))</f>
        <v>No error</v>
      </c>
      <c r="Z68" s="62" t="str">
        <f>IF(OR(AND($B68&lt;&gt;"",$K68=""),AND($C68&lt;&gt;"",$L68="")),VLOOKUP($B$10,Translation[],87,0),"Continue")</f>
        <v>Continue</v>
      </c>
      <c r="AA68" s="62" t="str">
        <f>IF(AND($B68 &lt;&gt; "",$K68&lt;&gt;""),IF($K68=_xlfn.XLOOKUP(L68,Interventions!$F$11:$F$179,Interventions!$C$11:$C$179,1,0,1),"Continue",VLOOKUP($B$10,Translation[],88,0)),"Continue")</f>
        <v>Continue</v>
      </c>
      <c r="AB68" s="9" t="str">
        <f>IFERROR(IF($A68&lt;&gt;"",IF($B$10="English", IF(MATCH($A68,'Dropdown Data'!$A$361:$A$363,0)&gt;0,"Continue"), IF($B$10="Français",IF(MATCH($A68,'Dropdown Data'!$B$361:$B$363,0)&gt;0,"Continue"), IF($B$10="Español",IF(MATCH($A68,'Dropdown Data'!$C$361:$C$363,0)&gt;0,"Continue"),VLOOKUP($B$10,Translation[],89,0)))),"Continue"),VLOOKUP($B$10,Translation[],89,0))</f>
        <v>Continue</v>
      </c>
      <c r="AC68" s="62" t="str">
        <f>IF(AND(NOT(ISBLANK($D68)),(NOT(ISNUMBER($D68)))),VLOOKUP($B$10,Translation[],90,0),"Continue")</f>
        <v>Continue</v>
      </c>
      <c r="AD68" s="62" t="str">
        <f xml:space="preserve"> IFERROR(IF(INT($D68) &lt;&gt; $D68, VLOOKUP($B$10,Translation[],92,0), "Continue"),"Continue")</f>
        <v>Continue</v>
      </c>
      <c r="AE68" s="62" t="str">
        <f t="shared" si="11"/>
        <v>Continue</v>
      </c>
      <c r="AF68" s="9" t="str">
        <f t="shared" si="5"/>
        <v>Continue</v>
      </c>
      <c r="AG68" s="9" t="str">
        <f t="shared" si="6"/>
        <v>Continue</v>
      </c>
    </row>
    <row r="69" spans="1:33" ht="15" x14ac:dyDescent="0.2">
      <c r="A69" s="83"/>
      <c r="B69" s="84"/>
      <c r="C69" s="84"/>
      <c r="D69" s="96"/>
      <c r="E69" s="93" t="str">
        <f>IF(ISBLANK(D69),"",IF(IF(Modules!$D$4="EUR",W69*(Modules!$B$5),$W69)=0,0,IF(Modules!$D$4="EUR",W69*(Modules!$B$5),$W69)))</f>
        <v/>
      </c>
      <c r="F69" s="41"/>
      <c r="G69" s="82" t="str">
        <f>IF(NOT(ISBLANK('PAAR (EN)'!$G69)),IF('PAAR (EN)'!$G69 &lt;&gt; "",IF(PAAR!$B$10="English",'PAAR (EN)'!$G69,IF(PAAR!$B$10="Français",_xlfn.XLOOKUP('PAAR (EN)'!$G69,'Dropdown Data'!$A$365:$A$368, 'Dropdown Data'!$B$365:$B$368,0,0,1),_xlfn.XLOOKUP('PAAR (EN)'!$G69,'Dropdown Data'!$A$365:$A$368,'Dropdown Data'!$C$365:$C$368,0,0,1))),""),"")</f>
        <v/>
      </c>
      <c r="H69" s="92" t="str">
        <f>IF('PAAR (EN)'!$H69 &lt;&gt;"", 'PAAR (EN)'!$H69, "")</f>
        <v/>
      </c>
      <c r="I69" s="89" t="str">
        <f>IF('PAAR (EN)'!$I69 &lt;&gt; "", 'PAAR (EN)'!$I69, "")</f>
        <v/>
      </c>
      <c r="J69" s="15"/>
      <c r="K69" s="42" t="str">
        <f>IFERROR(VLOOKUP(B69,Modules!C:D,2,0),"")</f>
        <v/>
      </c>
      <c r="L69" s="40" t="str" cm="1">
        <f t="array" ref="L69">IFERROR(INDEX(Interventions!$F$12:$F$178,MATCH(TRUE,INDEX(Interventions!$E$12:$E$178=$C69,0),0)),0)</f>
        <v>[Name ID]</v>
      </c>
      <c r="M69" s="15" t="str">
        <f>CLEAN(IFERROR(VLOOKUP($C69,Interventions!$E$1:$K$444,7,0),""))</f>
        <v/>
      </c>
      <c r="N69" s="15" t="str">
        <f>CLEAN(IF(C69="","",CONCATENATE(Modules!$B$8,PAAR!M69,Q69)))</f>
        <v/>
      </c>
      <c r="O69" s="70">
        <f>IFERROR(INDEX('Dropdown Data'!$D$33:$D$35,MATCH(A69,'Dropdown Data'!$B$33:$B$35,0)),IFERROR(INDEX('Dropdown Data'!$D$33:$D$35,MATCH(A69,'Dropdown Data'!$C$33:$C$35,0)),A69))</f>
        <v>0</v>
      </c>
      <c r="P69" s="70" t="str">
        <f>IFERROR(INDEX('Dropdown Data'!$D$33:$D$36,MATCH(G69,'Dropdown Data'!$B$33:$B$36,0)),IFERROR(INDEX('Dropdown Data'!$D$33:$D$36,MATCH(G69,'Dropdown Data'!$C$33:$C$36,0)),G69))</f>
        <v/>
      </c>
      <c r="Q69" s="71">
        <v>41</v>
      </c>
      <c r="R69" s="71" t="b">
        <f t="shared" si="7"/>
        <v>0</v>
      </c>
      <c r="S69" s="71">
        <f t="shared" si="8"/>
        <v>10</v>
      </c>
      <c r="T69" s="71" t="e">
        <f>IFERROR(VLOOKUP(B69,Modules!$E$11:$K$52,7,0),IFERROR(VLOOKUP(B69,Modules!$F$11:$K$52,6,0),VLOOKUP(B69,Modules!$G$11:$K$52,5,0)))</f>
        <v>#N/A</v>
      </c>
      <c r="U69" s="71">
        <f>IFERROR(MATCH(T69,Interventions!C:C,0),0)</f>
        <v>0</v>
      </c>
      <c r="V69" s="71" cm="1">
        <f t="array" ref="V69">SUM(U69,COUNTIF(ModuleStart,T69)-1)</f>
        <v>-1</v>
      </c>
      <c r="W69" s="72">
        <f t="shared" si="9"/>
        <v>0</v>
      </c>
      <c r="X69" s="72" t="str">
        <f t="shared" si="10"/>
        <v/>
      </c>
      <c r="Y69" s="82" t="str">
        <f>IF(AND(AE69="Continue",AG69="Continue"),VLOOKUP($B$10,Translation[],91,0),IF(AND(AE69&lt;&gt;"Continue",AG69="Continue"),AE69,IF(AND(AG69&lt;&gt;"Continue",AE69="Continue"),AG69,CONCATENATE(AE69,CHAR(10),AG69))))</f>
        <v>No error</v>
      </c>
      <c r="Z69" s="62" t="str">
        <f>IF(OR(AND($B69&lt;&gt;"",$K69=""),AND($C69&lt;&gt;"",$L69="")),VLOOKUP($B$10,Translation[],87,0),"Continue")</f>
        <v>Continue</v>
      </c>
      <c r="AA69" s="62" t="str">
        <f>IF(AND($B69 &lt;&gt; "",$K69&lt;&gt;""),IF($K69=_xlfn.XLOOKUP(L69,Interventions!$F$11:$F$179,Interventions!$C$11:$C$179,1,0,1),"Continue",VLOOKUP($B$10,Translation[],88,0)),"Continue")</f>
        <v>Continue</v>
      </c>
      <c r="AB69" s="9" t="str">
        <f>IFERROR(IF($A69&lt;&gt;"",IF($B$10="English", IF(MATCH($A69,'Dropdown Data'!$A$361:$A$363,0)&gt;0,"Continue"), IF($B$10="Français",IF(MATCH($A69,'Dropdown Data'!$B$361:$B$363,0)&gt;0,"Continue"), IF($B$10="Español",IF(MATCH($A69,'Dropdown Data'!$C$361:$C$363,0)&gt;0,"Continue"),VLOOKUP($B$10,Translation[],89,0)))),"Continue"),VLOOKUP($B$10,Translation[],89,0))</f>
        <v>Continue</v>
      </c>
      <c r="AC69" s="62" t="str">
        <f>IF(AND(NOT(ISBLANK($D69)),(NOT(ISNUMBER($D69)))),VLOOKUP($B$10,Translation[],90,0),"Continue")</f>
        <v>Continue</v>
      </c>
      <c r="AD69" s="62" t="str">
        <f xml:space="preserve"> IFERROR(IF(INT($D69) &lt;&gt; $D69, VLOOKUP($B$10,Translation[],92,0), "Continue"),"Continue")</f>
        <v>Continue</v>
      </c>
      <c r="AE69" s="62" t="str">
        <f t="shared" si="11"/>
        <v>Continue</v>
      </c>
      <c r="AF69" s="9" t="str">
        <f t="shared" si="5"/>
        <v>Continue</v>
      </c>
      <c r="AG69" s="9" t="str">
        <f t="shared" si="6"/>
        <v>Continue</v>
      </c>
    </row>
    <row r="70" spans="1:33" ht="15" x14ac:dyDescent="0.2">
      <c r="A70" s="83"/>
      <c r="B70" s="84"/>
      <c r="C70" s="84"/>
      <c r="D70" s="96"/>
      <c r="E70" s="93" t="str">
        <f>IF(ISBLANK(D70),"",IF(IF(Modules!$D$4="EUR",W70*(Modules!$B$5),$W70)=0,0,IF(Modules!$D$4="EUR",W70*(Modules!$B$5),$W70)))</f>
        <v/>
      </c>
      <c r="F70" s="41"/>
      <c r="G70" s="82" t="str">
        <f>IF(NOT(ISBLANK('PAAR (EN)'!$G70)),IF('PAAR (EN)'!$G70 &lt;&gt; "",IF(PAAR!$B$10="English",'PAAR (EN)'!$G70,IF(PAAR!$B$10="Français",_xlfn.XLOOKUP('PAAR (EN)'!$G70,'Dropdown Data'!$A$365:$A$368, 'Dropdown Data'!$B$365:$B$368,0,0,1),_xlfn.XLOOKUP('PAAR (EN)'!$G70,'Dropdown Data'!$A$365:$A$368,'Dropdown Data'!$C$365:$C$368,0,0,1))),""),"")</f>
        <v/>
      </c>
      <c r="H70" s="92" t="str">
        <f>IF('PAAR (EN)'!$H70 &lt;&gt;"", 'PAAR (EN)'!$H70, "")</f>
        <v/>
      </c>
      <c r="I70" s="89" t="str">
        <f>IF('PAAR (EN)'!$I70 &lt;&gt; "", 'PAAR (EN)'!$I70, "")</f>
        <v/>
      </c>
      <c r="J70" s="15"/>
      <c r="K70" s="42" t="str">
        <f>IFERROR(VLOOKUP(B70,Modules!C:D,2,0),"")</f>
        <v/>
      </c>
      <c r="L70" s="40" t="str" cm="1">
        <f t="array" ref="L70">IFERROR(INDEX(Interventions!$F$12:$F$178,MATCH(TRUE,INDEX(Interventions!$E$12:$E$178=$C70,0),0)),0)</f>
        <v>[Name ID]</v>
      </c>
      <c r="M70" s="15" t="str">
        <f>CLEAN(IFERROR(VLOOKUP($C70,Interventions!$E$1:$K$444,7,0),""))</f>
        <v/>
      </c>
      <c r="N70" s="15" t="str">
        <f>CLEAN(IF(C70="","",CONCATENATE(Modules!$B$8,PAAR!M70,Q70)))</f>
        <v/>
      </c>
      <c r="O70" s="70">
        <f>IFERROR(INDEX('Dropdown Data'!$D$33:$D$35,MATCH(A70,'Dropdown Data'!$B$33:$B$35,0)),IFERROR(INDEX('Dropdown Data'!$D$33:$D$35,MATCH(A70,'Dropdown Data'!$C$33:$C$35,0)),A70))</f>
        <v>0</v>
      </c>
      <c r="P70" s="70" t="str">
        <f>IFERROR(INDEX('Dropdown Data'!$D$33:$D$36,MATCH(G70,'Dropdown Data'!$B$33:$B$36,0)),IFERROR(INDEX('Dropdown Data'!$D$33:$D$36,MATCH(G70,'Dropdown Data'!$C$33:$C$36,0)),G70))</f>
        <v/>
      </c>
      <c r="Q70" s="71">
        <v>42</v>
      </c>
      <c r="R70" s="71" t="b">
        <f t="shared" si="7"/>
        <v>0</v>
      </c>
      <c r="S70" s="71">
        <f t="shared" si="8"/>
        <v>10</v>
      </c>
      <c r="T70" s="71" t="e">
        <f>IFERROR(VLOOKUP(B70,Modules!$E$11:$K$52,7,0),IFERROR(VLOOKUP(B70,Modules!$F$11:$K$52,6,0),VLOOKUP(B70,Modules!$G$11:$K$52,5,0)))</f>
        <v>#N/A</v>
      </c>
      <c r="U70" s="71">
        <f>IFERROR(MATCH(T70,Interventions!C:C,0),0)</f>
        <v>0</v>
      </c>
      <c r="V70" s="71" cm="1">
        <f t="array" ref="V70">SUM(U70,COUNTIF(ModuleStart,T70)-1)</f>
        <v>-1</v>
      </c>
      <c r="W70" s="72">
        <f t="shared" si="9"/>
        <v>0</v>
      </c>
      <c r="X70" s="72" t="str">
        <f t="shared" si="10"/>
        <v/>
      </c>
      <c r="Y70" s="82" t="str">
        <f>IF(AND(AE70="Continue",AG70="Continue"),VLOOKUP($B$10,Translation[],91,0),IF(AND(AE70&lt;&gt;"Continue",AG70="Continue"),AE70,IF(AND(AG70&lt;&gt;"Continue",AE70="Continue"),AG70,CONCATENATE(AE70,CHAR(10),AG70))))</f>
        <v>No error</v>
      </c>
      <c r="Z70" s="62" t="str">
        <f>IF(OR(AND($B70&lt;&gt;"",$K70=""),AND($C70&lt;&gt;"",$L70="")),VLOOKUP($B$10,Translation[],87,0),"Continue")</f>
        <v>Continue</v>
      </c>
      <c r="AA70" s="62" t="str">
        <f>IF(AND($B70 &lt;&gt; "",$K70&lt;&gt;""),IF($K70=_xlfn.XLOOKUP(L70,Interventions!$F$11:$F$179,Interventions!$C$11:$C$179,1,0,1),"Continue",VLOOKUP($B$10,Translation[],88,0)),"Continue")</f>
        <v>Continue</v>
      </c>
      <c r="AB70" s="9" t="str">
        <f>IFERROR(IF($A70&lt;&gt;"",IF($B$10="English", IF(MATCH($A70,'Dropdown Data'!$A$361:$A$363,0)&gt;0,"Continue"), IF($B$10="Français",IF(MATCH($A70,'Dropdown Data'!$B$361:$B$363,0)&gt;0,"Continue"), IF($B$10="Español",IF(MATCH($A70,'Dropdown Data'!$C$361:$C$363,0)&gt;0,"Continue"),VLOOKUP($B$10,Translation[],89,0)))),"Continue"),VLOOKUP($B$10,Translation[],89,0))</f>
        <v>Continue</v>
      </c>
      <c r="AC70" s="62" t="str">
        <f>IF(AND(NOT(ISBLANK($D70)),(NOT(ISNUMBER($D70)))),VLOOKUP($B$10,Translation[],90,0),"Continue")</f>
        <v>Continue</v>
      </c>
      <c r="AD70" s="62" t="str">
        <f xml:space="preserve"> IFERROR(IF(INT($D70) &lt;&gt; $D70, VLOOKUP($B$10,Translation[],92,0), "Continue"),"Continue")</f>
        <v>Continue</v>
      </c>
      <c r="AE70" s="62" t="str">
        <f t="shared" si="11"/>
        <v>Continue</v>
      </c>
      <c r="AF70" s="9" t="str">
        <f t="shared" si="5"/>
        <v>Continue</v>
      </c>
      <c r="AG70" s="9" t="str">
        <f t="shared" si="6"/>
        <v>Continue</v>
      </c>
    </row>
    <row r="71" spans="1:33" ht="15" x14ac:dyDescent="0.2">
      <c r="A71" s="83"/>
      <c r="B71" s="84"/>
      <c r="C71" s="84"/>
      <c r="D71" s="96"/>
      <c r="E71" s="93" t="str">
        <f>IF(ISBLANK(D71),"",IF(IF(Modules!$D$4="EUR",W71*(Modules!$B$5),$W71)=0,0,IF(Modules!$D$4="EUR",W71*(Modules!$B$5),$W71)))</f>
        <v/>
      </c>
      <c r="F71" s="41"/>
      <c r="G71" s="82" t="str">
        <f>IF(NOT(ISBLANK('PAAR (EN)'!$G71)),IF('PAAR (EN)'!$G71 &lt;&gt; "",IF(PAAR!$B$10="English",'PAAR (EN)'!$G71,IF(PAAR!$B$10="Français",_xlfn.XLOOKUP('PAAR (EN)'!$G71,'Dropdown Data'!$A$365:$A$368, 'Dropdown Data'!$B$365:$B$368,0,0,1),_xlfn.XLOOKUP('PAAR (EN)'!$G71,'Dropdown Data'!$A$365:$A$368,'Dropdown Data'!$C$365:$C$368,0,0,1))),""),"")</f>
        <v/>
      </c>
      <c r="H71" s="92" t="str">
        <f>IF('PAAR (EN)'!$H71 &lt;&gt;"", 'PAAR (EN)'!$H71, "")</f>
        <v/>
      </c>
      <c r="I71" s="89" t="str">
        <f>IF('PAAR (EN)'!$I71 &lt;&gt; "", 'PAAR (EN)'!$I71, "")</f>
        <v/>
      </c>
      <c r="J71" s="15"/>
      <c r="K71" s="42" t="str">
        <f>IFERROR(VLOOKUP(B71,Modules!C:D,2,0),"")</f>
        <v/>
      </c>
      <c r="L71" s="40" t="str" cm="1">
        <f t="array" ref="L71">IFERROR(INDEX(Interventions!$F$12:$F$178,MATCH(TRUE,INDEX(Interventions!$E$12:$E$178=$C71,0),0)),0)</f>
        <v>[Name ID]</v>
      </c>
      <c r="M71" s="15" t="str">
        <f>CLEAN(IFERROR(VLOOKUP($C71,Interventions!$E$1:$K$444,7,0),""))</f>
        <v/>
      </c>
      <c r="N71" s="15" t="str">
        <f>CLEAN(IF(C71="","",CONCATENATE(Modules!$B$8,PAAR!M71,Q71)))</f>
        <v/>
      </c>
      <c r="O71" s="70">
        <f>IFERROR(INDEX('Dropdown Data'!$D$33:$D$35,MATCH(A71,'Dropdown Data'!$B$33:$B$35,0)),IFERROR(INDEX('Dropdown Data'!$D$33:$D$35,MATCH(A71,'Dropdown Data'!$C$33:$C$35,0)),A71))</f>
        <v>0</v>
      </c>
      <c r="P71" s="70" t="str">
        <f>IFERROR(INDEX('Dropdown Data'!$D$33:$D$36,MATCH(G71,'Dropdown Data'!$B$33:$B$36,0)),IFERROR(INDEX('Dropdown Data'!$D$33:$D$36,MATCH(G71,'Dropdown Data'!$C$33:$C$36,0)),G71))</f>
        <v/>
      </c>
      <c r="Q71" s="71">
        <v>43</v>
      </c>
      <c r="R71" s="71" t="b">
        <f t="shared" si="7"/>
        <v>0</v>
      </c>
      <c r="S71" s="71">
        <f t="shared" si="8"/>
        <v>10</v>
      </c>
      <c r="T71" s="71" t="e">
        <f>IFERROR(VLOOKUP(B71,Modules!$E$11:$K$52,7,0),IFERROR(VLOOKUP(B71,Modules!$F$11:$K$52,6,0),VLOOKUP(B71,Modules!$G$11:$K$52,5,0)))</f>
        <v>#N/A</v>
      </c>
      <c r="U71" s="71">
        <f>IFERROR(MATCH(T71,Interventions!C:C,0),0)</f>
        <v>0</v>
      </c>
      <c r="V71" s="71" cm="1">
        <f t="array" ref="V71">SUM(U71,COUNTIF(ModuleStart,T71)-1)</f>
        <v>-1</v>
      </c>
      <c r="W71" s="72">
        <f t="shared" si="9"/>
        <v>0</v>
      </c>
      <c r="X71" s="72" t="str">
        <f t="shared" si="10"/>
        <v/>
      </c>
      <c r="Y71" s="82" t="str">
        <f>IF(AND(AE71="Continue",AG71="Continue"),VLOOKUP($B$10,Translation[],91,0),IF(AND(AE71&lt;&gt;"Continue",AG71="Continue"),AE71,IF(AND(AG71&lt;&gt;"Continue",AE71="Continue"),AG71,CONCATENATE(AE71,CHAR(10),AG71))))</f>
        <v>No error</v>
      </c>
      <c r="Z71" s="62" t="str">
        <f>IF(OR(AND($B71&lt;&gt;"",$K71=""),AND($C71&lt;&gt;"",$L71="")),VLOOKUP($B$10,Translation[],87,0),"Continue")</f>
        <v>Continue</v>
      </c>
      <c r="AA71" s="62" t="str">
        <f>IF(AND($B71 &lt;&gt; "",$K71&lt;&gt;""),IF($K71=_xlfn.XLOOKUP(L71,Interventions!$F$11:$F$179,Interventions!$C$11:$C$179,1,0,1),"Continue",VLOOKUP($B$10,Translation[],88,0)),"Continue")</f>
        <v>Continue</v>
      </c>
      <c r="AB71" s="9" t="str">
        <f>IFERROR(IF($A71&lt;&gt;"",IF($B$10="English", IF(MATCH($A71,'Dropdown Data'!$A$361:$A$363,0)&gt;0,"Continue"), IF($B$10="Français",IF(MATCH($A71,'Dropdown Data'!$B$361:$B$363,0)&gt;0,"Continue"), IF($B$10="Español",IF(MATCH($A71,'Dropdown Data'!$C$361:$C$363,0)&gt;0,"Continue"),VLOOKUP($B$10,Translation[],89,0)))),"Continue"),VLOOKUP($B$10,Translation[],89,0))</f>
        <v>Continue</v>
      </c>
      <c r="AC71" s="62" t="str">
        <f>IF(AND(NOT(ISBLANK($D71)),(NOT(ISNUMBER($D71)))),VLOOKUP($B$10,Translation[],90,0),"Continue")</f>
        <v>Continue</v>
      </c>
      <c r="AD71" s="62" t="str">
        <f xml:space="preserve"> IFERROR(IF(INT($D71) &lt;&gt; $D71, VLOOKUP($B$10,Translation[],92,0), "Continue"),"Continue")</f>
        <v>Continue</v>
      </c>
      <c r="AE71" s="62" t="str">
        <f t="shared" si="11"/>
        <v>Continue</v>
      </c>
      <c r="AF71" s="9" t="str">
        <f t="shared" si="5"/>
        <v>Continue</v>
      </c>
      <c r="AG71" s="9" t="str">
        <f t="shared" si="6"/>
        <v>Continue</v>
      </c>
    </row>
    <row r="72" spans="1:33" ht="15" x14ac:dyDescent="0.2">
      <c r="A72" s="83"/>
      <c r="B72" s="84"/>
      <c r="C72" s="84"/>
      <c r="D72" s="96"/>
      <c r="E72" s="93" t="str">
        <f>IF(ISBLANK(D72),"",IF(IF(Modules!$D$4="EUR",W72*(Modules!$B$5),$W72)=0,0,IF(Modules!$D$4="EUR",W72*(Modules!$B$5),$W72)))</f>
        <v/>
      </c>
      <c r="F72" s="41"/>
      <c r="G72" s="82" t="str">
        <f>IF(NOT(ISBLANK('PAAR (EN)'!$G72)),IF('PAAR (EN)'!$G72 &lt;&gt; "",IF(PAAR!$B$10="English",'PAAR (EN)'!$G72,IF(PAAR!$B$10="Français",_xlfn.XLOOKUP('PAAR (EN)'!$G72,'Dropdown Data'!$A$365:$A$368, 'Dropdown Data'!$B$365:$B$368,0,0,1),_xlfn.XLOOKUP('PAAR (EN)'!$G72,'Dropdown Data'!$A$365:$A$368,'Dropdown Data'!$C$365:$C$368,0,0,1))),""),"")</f>
        <v/>
      </c>
      <c r="H72" s="92" t="str">
        <f>IF('PAAR (EN)'!$H72 &lt;&gt;"", 'PAAR (EN)'!$H72, "")</f>
        <v/>
      </c>
      <c r="I72" s="89" t="str">
        <f>IF('PAAR (EN)'!$I72 &lt;&gt; "", 'PAAR (EN)'!$I72, "")</f>
        <v/>
      </c>
      <c r="J72" s="15"/>
      <c r="K72" s="42" t="str">
        <f>IFERROR(VLOOKUP(B72,Modules!C:D,2,0),"")</f>
        <v/>
      </c>
      <c r="L72" s="40" t="str" cm="1">
        <f t="array" ref="L72">IFERROR(INDEX(Interventions!$F$12:$F$178,MATCH(TRUE,INDEX(Interventions!$E$12:$E$178=$C72,0),0)),0)</f>
        <v>[Name ID]</v>
      </c>
      <c r="M72" s="15" t="str">
        <f>CLEAN(IFERROR(VLOOKUP($C72,Interventions!$E$1:$K$444,7,0),""))</f>
        <v/>
      </c>
      <c r="N72" s="15" t="str">
        <f>CLEAN(IF(C72="","",CONCATENATE(Modules!$B$8,PAAR!M72,Q72)))</f>
        <v/>
      </c>
      <c r="O72" s="70">
        <f>IFERROR(INDEX('Dropdown Data'!$D$33:$D$35,MATCH(A72,'Dropdown Data'!$B$33:$B$35,0)),IFERROR(INDEX('Dropdown Data'!$D$33:$D$35,MATCH(A72,'Dropdown Data'!$C$33:$C$35,0)),A72))</f>
        <v>0</v>
      </c>
      <c r="P72" s="70" t="str">
        <f>IFERROR(INDEX('Dropdown Data'!$D$33:$D$36,MATCH(G72,'Dropdown Data'!$B$33:$B$36,0)),IFERROR(INDEX('Dropdown Data'!$D$33:$D$36,MATCH(G72,'Dropdown Data'!$C$33:$C$36,0)),G72))</f>
        <v/>
      </c>
      <c r="Q72" s="71">
        <v>44</v>
      </c>
      <c r="R72" s="71" t="b">
        <f t="shared" si="7"/>
        <v>0</v>
      </c>
      <c r="S72" s="71">
        <f t="shared" si="8"/>
        <v>10</v>
      </c>
      <c r="T72" s="71" t="e">
        <f>IFERROR(VLOOKUP(B72,Modules!$E$11:$K$52,7,0),IFERROR(VLOOKUP(B72,Modules!$F$11:$K$52,6,0),VLOOKUP(B72,Modules!$G$11:$K$52,5,0)))</f>
        <v>#N/A</v>
      </c>
      <c r="U72" s="71">
        <f>IFERROR(MATCH(T72,Interventions!C:C,0),0)</f>
        <v>0</v>
      </c>
      <c r="V72" s="71" cm="1">
        <f t="array" ref="V72">SUM(U72,COUNTIF(ModuleStart,T72)-1)</f>
        <v>-1</v>
      </c>
      <c r="W72" s="72">
        <f t="shared" si="9"/>
        <v>0</v>
      </c>
      <c r="X72" s="72" t="str">
        <f t="shared" si="10"/>
        <v/>
      </c>
      <c r="Y72" s="82" t="str">
        <f>IF(AND(AE72="Continue",AG72="Continue"),VLOOKUP($B$10,Translation[],91,0),IF(AND(AE72&lt;&gt;"Continue",AG72="Continue"),AE72,IF(AND(AG72&lt;&gt;"Continue",AE72="Continue"),AG72,CONCATENATE(AE72,CHAR(10),AG72))))</f>
        <v>No error</v>
      </c>
      <c r="Z72" s="62" t="str">
        <f>IF(OR(AND($B72&lt;&gt;"",$K72=""),AND($C72&lt;&gt;"",$L72="")),VLOOKUP($B$10,Translation[],87,0),"Continue")</f>
        <v>Continue</v>
      </c>
      <c r="AA72" s="62" t="str">
        <f>IF(AND($B72 &lt;&gt; "",$K72&lt;&gt;""),IF($K72=_xlfn.XLOOKUP(L72,Interventions!$F$11:$F$179,Interventions!$C$11:$C$179,1,0,1),"Continue",VLOOKUP($B$10,Translation[],88,0)),"Continue")</f>
        <v>Continue</v>
      </c>
      <c r="AB72" s="9" t="str">
        <f>IFERROR(IF($A72&lt;&gt;"",IF($B$10="English", IF(MATCH($A72,'Dropdown Data'!$A$361:$A$363,0)&gt;0,"Continue"), IF($B$10="Français",IF(MATCH($A72,'Dropdown Data'!$B$361:$B$363,0)&gt;0,"Continue"), IF($B$10="Español",IF(MATCH($A72,'Dropdown Data'!$C$361:$C$363,0)&gt;0,"Continue"),VLOOKUP($B$10,Translation[],89,0)))),"Continue"),VLOOKUP($B$10,Translation[],89,0))</f>
        <v>Continue</v>
      </c>
      <c r="AC72" s="62" t="str">
        <f>IF(AND(NOT(ISBLANK($D72)),(NOT(ISNUMBER($D72)))),VLOOKUP($B$10,Translation[],90,0),"Continue")</f>
        <v>Continue</v>
      </c>
      <c r="AD72" s="62" t="str">
        <f xml:space="preserve"> IFERROR(IF(INT($D72) &lt;&gt; $D72, VLOOKUP($B$10,Translation[],92,0), "Continue"),"Continue")</f>
        <v>Continue</v>
      </c>
      <c r="AE72" s="62" t="str">
        <f t="shared" si="11"/>
        <v>Continue</v>
      </c>
      <c r="AF72" s="9" t="str">
        <f t="shared" si="5"/>
        <v>Continue</v>
      </c>
      <c r="AG72" s="9" t="str">
        <f t="shared" si="6"/>
        <v>Continue</v>
      </c>
    </row>
    <row r="73" spans="1:33" ht="15" x14ac:dyDescent="0.2">
      <c r="A73" s="83"/>
      <c r="B73" s="84"/>
      <c r="C73" s="84"/>
      <c r="D73" s="96"/>
      <c r="E73" s="93" t="str">
        <f>IF(ISBLANK(D73),"",IF(IF(Modules!$D$4="EUR",W73*(Modules!$B$5),$W73)=0,0,IF(Modules!$D$4="EUR",W73*(Modules!$B$5),$W73)))</f>
        <v/>
      </c>
      <c r="F73" s="41"/>
      <c r="G73" s="82" t="str">
        <f>IF(NOT(ISBLANK('PAAR (EN)'!$G73)),IF('PAAR (EN)'!$G73 &lt;&gt; "",IF(PAAR!$B$10="English",'PAAR (EN)'!$G73,IF(PAAR!$B$10="Français",_xlfn.XLOOKUP('PAAR (EN)'!$G73,'Dropdown Data'!$A$365:$A$368, 'Dropdown Data'!$B$365:$B$368,0,0,1),_xlfn.XLOOKUP('PAAR (EN)'!$G73,'Dropdown Data'!$A$365:$A$368,'Dropdown Data'!$C$365:$C$368,0,0,1))),""),"")</f>
        <v/>
      </c>
      <c r="H73" s="92" t="str">
        <f>IF('PAAR (EN)'!$H73 &lt;&gt;"", 'PAAR (EN)'!$H73, "")</f>
        <v/>
      </c>
      <c r="I73" s="89" t="str">
        <f>IF('PAAR (EN)'!$I73 &lt;&gt; "", 'PAAR (EN)'!$I73, "")</f>
        <v/>
      </c>
      <c r="J73" s="15"/>
      <c r="K73" s="42" t="str">
        <f>IFERROR(VLOOKUP(B73,Modules!C:D,2,0),"")</f>
        <v/>
      </c>
      <c r="L73" s="40" t="str" cm="1">
        <f t="array" ref="L73">IFERROR(INDEX(Interventions!$F$12:$F$178,MATCH(TRUE,INDEX(Interventions!$E$12:$E$178=$C73,0),0)),0)</f>
        <v>[Name ID]</v>
      </c>
      <c r="M73" s="15" t="str">
        <f>CLEAN(IFERROR(VLOOKUP($C73,Interventions!$E$1:$K$444,7,0),""))</f>
        <v/>
      </c>
      <c r="N73" s="15" t="str">
        <f>CLEAN(IF(C73="","",CONCATENATE(Modules!$B$8,PAAR!M73,Q73)))</f>
        <v/>
      </c>
      <c r="O73" s="70">
        <f>IFERROR(INDEX('Dropdown Data'!$D$33:$D$35,MATCH(A73,'Dropdown Data'!$B$33:$B$35,0)),IFERROR(INDEX('Dropdown Data'!$D$33:$D$35,MATCH(A73,'Dropdown Data'!$C$33:$C$35,0)),A73))</f>
        <v>0</v>
      </c>
      <c r="P73" s="70" t="str">
        <f>IFERROR(INDEX('Dropdown Data'!$D$33:$D$36,MATCH(G73,'Dropdown Data'!$B$33:$B$36,0)),IFERROR(INDEX('Dropdown Data'!$D$33:$D$36,MATCH(G73,'Dropdown Data'!$C$33:$C$36,0)),G73))</f>
        <v/>
      </c>
      <c r="Q73" s="71">
        <v>45</v>
      </c>
      <c r="R73" s="71" t="b">
        <f t="shared" si="7"/>
        <v>0</v>
      </c>
      <c r="S73" s="71">
        <f t="shared" si="8"/>
        <v>10</v>
      </c>
      <c r="T73" s="71" t="e">
        <f>IFERROR(VLOOKUP(B73,Modules!$E$11:$K$52,7,0),IFERROR(VLOOKUP(B73,Modules!$F$11:$K$52,6,0),VLOOKUP(B73,Modules!$G$11:$K$52,5,0)))</f>
        <v>#N/A</v>
      </c>
      <c r="U73" s="71">
        <f>IFERROR(MATCH(T73,Interventions!C:C,0),0)</f>
        <v>0</v>
      </c>
      <c r="V73" s="71" cm="1">
        <f t="array" ref="V73">SUM(U73,COUNTIF(ModuleStart,T73)-1)</f>
        <v>-1</v>
      </c>
      <c r="W73" s="72">
        <f t="shared" si="9"/>
        <v>0</v>
      </c>
      <c r="X73" s="72" t="str">
        <f t="shared" si="10"/>
        <v/>
      </c>
      <c r="Y73" s="82" t="str">
        <f>IF(AND(AE73="Continue",AG73="Continue"),VLOOKUP($B$10,Translation[],91,0),IF(AND(AE73&lt;&gt;"Continue",AG73="Continue"),AE73,IF(AND(AG73&lt;&gt;"Continue",AE73="Continue"),AG73,CONCATENATE(AE73,CHAR(10),AG73))))</f>
        <v>No error</v>
      </c>
      <c r="Z73" s="62" t="str">
        <f>IF(OR(AND($B73&lt;&gt;"",$K73=""),AND($C73&lt;&gt;"",$L73="")),VLOOKUP($B$10,Translation[],87,0),"Continue")</f>
        <v>Continue</v>
      </c>
      <c r="AA73" s="62" t="str">
        <f>IF(AND($B73 &lt;&gt; "",$K73&lt;&gt;""),IF($K73=_xlfn.XLOOKUP(L73,Interventions!$F$11:$F$179,Interventions!$C$11:$C$179,1,0,1),"Continue",VLOOKUP($B$10,Translation[],88,0)),"Continue")</f>
        <v>Continue</v>
      </c>
      <c r="AB73" s="9" t="str">
        <f>IFERROR(IF($A73&lt;&gt;"",IF($B$10="English", IF(MATCH($A73,'Dropdown Data'!$A$361:$A$363,0)&gt;0,"Continue"), IF($B$10="Français",IF(MATCH($A73,'Dropdown Data'!$B$361:$B$363,0)&gt;0,"Continue"), IF($B$10="Español",IF(MATCH($A73,'Dropdown Data'!$C$361:$C$363,0)&gt;0,"Continue"),VLOOKUP($B$10,Translation[],89,0)))),"Continue"),VLOOKUP($B$10,Translation[],89,0))</f>
        <v>Continue</v>
      </c>
      <c r="AC73" s="62" t="str">
        <f>IF(AND(NOT(ISBLANK($D73)),(NOT(ISNUMBER($D73)))),VLOOKUP($B$10,Translation[],90,0),"Continue")</f>
        <v>Continue</v>
      </c>
      <c r="AD73" s="62" t="str">
        <f xml:space="preserve"> IFERROR(IF(INT($D73) &lt;&gt; $D73, VLOOKUP($B$10,Translation[],92,0), "Continue"),"Continue")</f>
        <v>Continue</v>
      </c>
      <c r="AE73" s="62" t="str">
        <f t="shared" si="11"/>
        <v>Continue</v>
      </c>
      <c r="AF73" s="9" t="str">
        <f t="shared" si="5"/>
        <v>Continue</v>
      </c>
      <c r="AG73" s="9" t="str">
        <f t="shared" si="6"/>
        <v>Continue</v>
      </c>
    </row>
    <row r="74" spans="1:33" ht="15" x14ac:dyDescent="0.2">
      <c r="A74" s="83"/>
      <c r="B74" s="84"/>
      <c r="C74" s="84"/>
      <c r="D74" s="96"/>
      <c r="E74" s="93" t="str">
        <f>IF(ISBLANK(D74),"",IF(IF(Modules!$D$4="EUR",W74*(Modules!$B$5),$W74)=0,0,IF(Modules!$D$4="EUR",W74*(Modules!$B$5),$W74)))</f>
        <v/>
      </c>
      <c r="F74" s="41"/>
      <c r="G74" s="82" t="str">
        <f>IF(NOT(ISBLANK('PAAR (EN)'!$G74)),IF('PAAR (EN)'!$G74 &lt;&gt; "",IF(PAAR!$B$10="English",'PAAR (EN)'!$G74,IF(PAAR!$B$10="Français",_xlfn.XLOOKUP('PAAR (EN)'!$G74,'Dropdown Data'!$A$365:$A$368, 'Dropdown Data'!$B$365:$B$368,0,0,1),_xlfn.XLOOKUP('PAAR (EN)'!$G74,'Dropdown Data'!$A$365:$A$368,'Dropdown Data'!$C$365:$C$368,0,0,1))),""),"")</f>
        <v/>
      </c>
      <c r="H74" s="92" t="str">
        <f>IF('PAAR (EN)'!$H74 &lt;&gt;"", 'PAAR (EN)'!$H74, "")</f>
        <v/>
      </c>
      <c r="I74" s="89" t="str">
        <f>IF('PAAR (EN)'!$I74 &lt;&gt; "", 'PAAR (EN)'!$I74, "")</f>
        <v/>
      </c>
      <c r="J74" s="15"/>
      <c r="K74" s="42" t="str">
        <f>IFERROR(VLOOKUP(B74,Modules!C:D,2,0),"")</f>
        <v/>
      </c>
      <c r="L74" s="40" t="str" cm="1">
        <f t="array" ref="L74">IFERROR(INDEX(Interventions!$F$12:$F$178,MATCH(TRUE,INDEX(Interventions!$E$12:$E$178=$C74,0),0)),0)</f>
        <v>[Name ID]</v>
      </c>
      <c r="M74" s="15" t="str">
        <f>CLEAN(IFERROR(VLOOKUP($C74,Interventions!$E$1:$K$444,7,0),""))</f>
        <v/>
      </c>
      <c r="N74" s="15" t="str">
        <f>CLEAN(IF(C74="","",CONCATENATE(Modules!$B$8,PAAR!M74,Q74)))</f>
        <v/>
      </c>
      <c r="O74" s="70">
        <f>IFERROR(INDEX('Dropdown Data'!$D$33:$D$35,MATCH(A74,'Dropdown Data'!$B$33:$B$35,0)),IFERROR(INDEX('Dropdown Data'!$D$33:$D$35,MATCH(A74,'Dropdown Data'!$C$33:$C$35,0)),A74))</f>
        <v>0</v>
      </c>
      <c r="P74" s="70" t="str">
        <f>IFERROR(INDEX('Dropdown Data'!$D$33:$D$36,MATCH(G74,'Dropdown Data'!$B$33:$B$36,0)),IFERROR(INDEX('Dropdown Data'!$D$33:$D$36,MATCH(G74,'Dropdown Data'!$C$33:$C$36,0)),G74))</f>
        <v/>
      </c>
      <c r="Q74" s="71">
        <v>46</v>
      </c>
      <c r="R74" s="71" t="b">
        <f t="shared" si="7"/>
        <v>0</v>
      </c>
      <c r="S74" s="71">
        <f t="shared" si="8"/>
        <v>10</v>
      </c>
      <c r="T74" s="71" t="e">
        <f>IFERROR(VLOOKUP(B74,Modules!$E$11:$K$52,7,0),IFERROR(VLOOKUP(B74,Modules!$F$11:$K$52,6,0),VLOOKUP(B74,Modules!$G$11:$K$52,5,0)))</f>
        <v>#N/A</v>
      </c>
      <c r="U74" s="71">
        <f>IFERROR(MATCH(T74,Interventions!C:C,0),0)</f>
        <v>0</v>
      </c>
      <c r="V74" s="71" cm="1">
        <f t="array" ref="V74">SUM(U74,COUNTIF(ModuleStart,T74)-1)</f>
        <v>-1</v>
      </c>
      <c r="W74" s="72">
        <f t="shared" si="9"/>
        <v>0</v>
      </c>
      <c r="X74" s="72" t="str">
        <f t="shared" si="10"/>
        <v/>
      </c>
      <c r="Y74" s="82" t="str">
        <f>IF(AND(AE74="Continue",AG74="Continue"),VLOOKUP($B$10,Translation[],91,0),IF(AND(AE74&lt;&gt;"Continue",AG74="Continue"),AE74,IF(AND(AG74&lt;&gt;"Continue",AE74="Continue"),AG74,CONCATENATE(AE74,CHAR(10),AG74))))</f>
        <v>No error</v>
      </c>
      <c r="Z74" s="62" t="str">
        <f>IF(OR(AND($B74&lt;&gt;"",$K74=""),AND($C74&lt;&gt;"",$L74="")),VLOOKUP($B$10,Translation[],87,0),"Continue")</f>
        <v>Continue</v>
      </c>
      <c r="AA74" s="62" t="str">
        <f>IF(AND($B74 &lt;&gt; "",$K74&lt;&gt;""),IF($K74=_xlfn.XLOOKUP(L74,Interventions!$F$11:$F$179,Interventions!$C$11:$C$179,1,0,1),"Continue",VLOOKUP($B$10,Translation[],88,0)),"Continue")</f>
        <v>Continue</v>
      </c>
      <c r="AB74" s="9" t="str">
        <f>IFERROR(IF($A74&lt;&gt;"",IF($B$10="English", IF(MATCH($A74,'Dropdown Data'!$A$361:$A$363,0)&gt;0,"Continue"), IF($B$10="Français",IF(MATCH($A74,'Dropdown Data'!$B$361:$B$363,0)&gt;0,"Continue"), IF($B$10="Español",IF(MATCH($A74,'Dropdown Data'!$C$361:$C$363,0)&gt;0,"Continue"),VLOOKUP($B$10,Translation[],89,0)))),"Continue"),VLOOKUP($B$10,Translation[],89,0))</f>
        <v>Continue</v>
      </c>
      <c r="AC74" s="62" t="str">
        <f>IF(AND(NOT(ISBLANK($D74)),(NOT(ISNUMBER($D74)))),VLOOKUP($B$10,Translation[],90,0),"Continue")</f>
        <v>Continue</v>
      </c>
      <c r="AD74" s="62" t="str">
        <f xml:space="preserve"> IFERROR(IF(INT($D74) &lt;&gt; $D74, VLOOKUP($B$10,Translation[],92,0), "Continue"),"Continue")</f>
        <v>Continue</v>
      </c>
      <c r="AE74" s="62" t="str">
        <f t="shared" si="11"/>
        <v>Continue</v>
      </c>
      <c r="AF74" s="9" t="str">
        <f t="shared" si="5"/>
        <v>Continue</v>
      </c>
      <c r="AG74" s="9" t="str">
        <f t="shared" si="6"/>
        <v>Continue</v>
      </c>
    </row>
    <row r="75" spans="1:33" ht="15" x14ac:dyDescent="0.2">
      <c r="A75" s="83"/>
      <c r="B75" s="84"/>
      <c r="C75" s="84"/>
      <c r="D75" s="96"/>
      <c r="E75" s="93" t="str">
        <f>IF(ISBLANK(D75),"",IF(IF(Modules!$D$4="EUR",W75*(Modules!$B$5),$W75)=0,0,IF(Modules!$D$4="EUR",W75*(Modules!$B$5),$W75)))</f>
        <v/>
      </c>
      <c r="F75" s="41"/>
      <c r="G75" s="82" t="str">
        <f>IF(NOT(ISBLANK('PAAR (EN)'!$G75)),IF('PAAR (EN)'!$G75 &lt;&gt; "",IF(PAAR!$B$10="English",'PAAR (EN)'!$G75,IF(PAAR!$B$10="Français",_xlfn.XLOOKUP('PAAR (EN)'!$G75,'Dropdown Data'!$A$365:$A$368, 'Dropdown Data'!$B$365:$B$368,0,0,1),_xlfn.XLOOKUP('PAAR (EN)'!$G75,'Dropdown Data'!$A$365:$A$368,'Dropdown Data'!$C$365:$C$368,0,0,1))),""),"")</f>
        <v/>
      </c>
      <c r="H75" s="92" t="str">
        <f>IF('PAAR (EN)'!$H75 &lt;&gt;"", 'PAAR (EN)'!$H75, "")</f>
        <v/>
      </c>
      <c r="I75" s="89" t="str">
        <f>IF('PAAR (EN)'!$I75 &lt;&gt; "", 'PAAR (EN)'!$I75, "")</f>
        <v/>
      </c>
      <c r="J75" s="15"/>
      <c r="K75" s="42" t="str">
        <f>IFERROR(VLOOKUP(B75,Modules!C:D,2,0),"")</f>
        <v/>
      </c>
      <c r="L75" s="40" t="str" cm="1">
        <f t="array" ref="L75">IFERROR(INDEX(Interventions!$F$12:$F$178,MATCH(TRUE,INDEX(Interventions!$E$12:$E$178=$C75,0),0)),0)</f>
        <v>[Name ID]</v>
      </c>
      <c r="M75" s="15" t="str">
        <f>CLEAN(IFERROR(VLOOKUP($C75,Interventions!$E$1:$K$444,7,0),""))</f>
        <v/>
      </c>
      <c r="N75" s="15" t="str">
        <f>CLEAN(IF(C75="","",CONCATENATE(Modules!$B$8,PAAR!M75,Q75)))</f>
        <v/>
      </c>
      <c r="O75" s="70">
        <f>IFERROR(INDEX('Dropdown Data'!$D$33:$D$35,MATCH(A75,'Dropdown Data'!$B$33:$B$35,0)),IFERROR(INDEX('Dropdown Data'!$D$33:$D$35,MATCH(A75,'Dropdown Data'!$C$33:$C$35,0)),A75))</f>
        <v>0</v>
      </c>
      <c r="P75" s="70" t="str">
        <f>IFERROR(INDEX('Dropdown Data'!$D$33:$D$36,MATCH(G75,'Dropdown Data'!$B$33:$B$36,0)),IFERROR(INDEX('Dropdown Data'!$D$33:$D$36,MATCH(G75,'Dropdown Data'!$C$33:$C$36,0)),G75))</f>
        <v/>
      </c>
      <c r="Q75" s="71">
        <v>47</v>
      </c>
      <c r="R75" s="71" t="b">
        <f t="shared" si="7"/>
        <v>0</v>
      </c>
      <c r="S75" s="71">
        <f t="shared" si="8"/>
        <v>10</v>
      </c>
      <c r="T75" s="71" t="e">
        <f>IFERROR(VLOOKUP(B75,Modules!$E$11:$K$52,7,0),IFERROR(VLOOKUP(B75,Modules!$F$11:$K$52,6,0),VLOOKUP(B75,Modules!$G$11:$K$52,5,0)))</f>
        <v>#N/A</v>
      </c>
      <c r="U75" s="71">
        <f>IFERROR(MATCH(T75,Interventions!C:C,0),0)</f>
        <v>0</v>
      </c>
      <c r="V75" s="71" cm="1">
        <f t="array" ref="V75">SUM(U75,COUNTIF(ModuleStart,T75)-1)</f>
        <v>-1</v>
      </c>
      <c r="W75" s="72">
        <f t="shared" si="9"/>
        <v>0</v>
      </c>
      <c r="X75" s="72" t="str">
        <f t="shared" si="10"/>
        <v/>
      </c>
      <c r="Y75" s="82" t="str">
        <f>IF(AND(AE75="Continue",AG75="Continue"),VLOOKUP($B$10,Translation[],91,0),IF(AND(AE75&lt;&gt;"Continue",AG75="Continue"),AE75,IF(AND(AG75&lt;&gt;"Continue",AE75="Continue"),AG75,CONCATENATE(AE75,CHAR(10),AG75))))</f>
        <v>No error</v>
      </c>
      <c r="Z75" s="62" t="str">
        <f>IF(OR(AND($B75&lt;&gt;"",$K75=""),AND($C75&lt;&gt;"",$L75="")),VLOOKUP($B$10,Translation[],87,0),"Continue")</f>
        <v>Continue</v>
      </c>
      <c r="AA75" s="62" t="str">
        <f>IF(AND($B75 &lt;&gt; "",$K75&lt;&gt;""),IF($K75=_xlfn.XLOOKUP(L75,Interventions!$F$11:$F$179,Interventions!$C$11:$C$179,1,0,1),"Continue",VLOOKUP($B$10,Translation[],88,0)),"Continue")</f>
        <v>Continue</v>
      </c>
      <c r="AB75" s="9" t="str">
        <f>IFERROR(IF($A75&lt;&gt;"",IF($B$10="English", IF(MATCH($A75,'Dropdown Data'!$A$361:$A$363,0)&gt;0,"Continue"), IF($B$10="Français",IF(MATCH($A75,'Dropdown Data'!$B$361:$B$363,0)&gt;0,"Continue"), IF($B$10="Español",IF(MATCH($A75,'Dropdown Data'!$C$361:$C$363,0)&gt;0,"Continue"),VLOOKUP($B$10,Translation[],89,0)))),"Continue"),VLOOKUP($B$10,Translation[],89,0))</f>
        <v>Continue</v>
      </c>
      <c r="AC75" s="62" t="str">
        <f>IF(AND(NOT(ISBLANK($D75)),(NOT(ISNUMBER($D75)))),VLOOKUP($B$10,Translation[],90,0),"Continue")</f>
        <v>Continue</v>
      </c>
      <c r="AD75" s="62" t="str">
        <f xml:space="preserve"> IFERROR(IF(INT($D75) &lt;&gt; $D75, VLOOKUP($B$10,Translation[],92,0), "Continue"),"Continue")</f>
        <v>Continue</v>
      </c>
      <c r="AE75" s="62" t="str">
        <f t="shared" si="11"/>
        <v>Continue</v>
      </c>
      <c r="AF75" s="9" t="str">
        <f t="shared" si="5"/>
        <v>Continue</v>
      </c>
      <c r="AG75" s="9" t="str">
        <f t="shared" si="6"/>
        <v>Continue</v>
      </c>
    </row>
    <row r="76" spans="1:33" ht="15" x14ac:dyDescent="0.2">
      <c r="A76" s="83"/>
      <c r="B76" s="84"/>
      <c r="C76" s="84"/>
      <c r="D76" s="96"/>
      <c r="E76" s="93" t="str">
        <f>IF(ISBLANK(D76),"",IF(IF(Modules!$D$4="EUR",W76*(Modules!$B$5),$W76)=0,0,IF(Modules!$D$4="EUR",W76*(Modules!$B$5),$W76)))</f>
        <v/>
      </c>
      <c r="F76" s="41"/>
      <c r="G76" s="82" t="str">
        <f>IF(NOT(ISBLANK('PAAR (EN)'!$G76)),IF('PAAR (EN)'!$G76 &lt;&gt; "",IF(PAAR!$B$10="English",'PAAR (EN)'!$G76,IF(PAAR!$B$10="Français",_xlfn.XLOOKUP('PAAR (EN)'!$G76,'Dropdown Data'!$A$365:$A$368, 'Dropdown Data'!$B$365:$B$368,0,0,1),_xlfn.XLOOKUP('PAAR (EN)'!$G76,'Dropdown Data'!$A$365:$A$368,'Dropdown Data'!$C$365:$C$368,0,0,1))),""),"")</f>
        <v/>
      </c>
      <c r="H76" s="92" t="str">
        <f>IF('PAAR (EN)'!$H76 &lt;&gt;"", 'PAAR (EN)'!$H76, "")</f>
        <v/>
      </c>
      <c r="I76" s="89" t="str">
        <f>IF('PAAR (EN)'!$I76 &lt;&gt; "", 'PAAR (EN)'!$I76, "")</f>
        <v/>
      </c>
      <c r="J76" s="15"/>
      <c r="K76" s="42" t="str">
        <f>IFERROR(VLOOKUP(B76,Modules!C:D,2,0),"")</f>
        <v/>
      </c>
      <c r="L76" s="40" t="str" cm="1">
        <f t="array" ref="L76">IFERROR(INDEX(Interventions!$F$12:$F$178,MATCH(TRUE,INDEX(Interventions!$E$12:$E$178=$C76,0),0)),0)</f>
        <v>[Name ID]</v>
      </c>
      <c r="M76" s="15" t="str">
        <f>CLEAN(IFERROR(VLOOKUP($C76,Interventions!$E$1:$K$444,7,0),""))</f>
        <v/>
      </c>
      <c r="N76" s="15" t="str">
        <f>CLEAN(IF(C76="","",CONCATENATE(Modules!$B$8,PAAR!M76,Q76)))</f>
        <v/>
      </c>
      <c r="O76" s="70">
        <f>IFERROR(INDEX('Dropdown Data'!$D$33:$D$35,MATCH(A76,'Dropdown Data'!$B$33:$B$35,0)),IFERROR(INDEX('Dropdown Data'!$D$33:$D$35,MATCH(A76,'Dropdown Data'!$C$33:$C$35,0)),A76))</f>
        <v>0</v>
      </c>
      <c r="P76" s="70" t="str">
        <f>IFERROR(INDEX('Dropdown Data'!$D$33:$D$36,MATCH(G76,'Dropdown Data'!$B$33:$B$36,0)),IFERROR(INDEX('Dropdown Data'!$D$33:$D$36,MATCH(G76,'Dropdown Data'!$C$33:$C$36,0)),G76))</f>
        <v/>
      </c>
      <c r="Q76" s="71">
        <v>48</v>
      </c>
      <c r="R76" s="71" t="b">
        <f t="shared" si="7"/>
        <v>0</v>
      </c>
      <c r="S76" s="71">
        <f t="shared" si="8"/>
        <v>10</v>
      </c>
      <c r="T76" s="71" t="e">
        <f>IFERROR(VLOOKUP(B76,Modules!$E$11:$K$52,7,0),IFERROR(VLOOKUP(B76,Modules!$F$11:$K$52,6,0),VLOOKUP(B76,Modules!$G$11:$K$52,5,0)))</f>
        <v>#N/A</v>
      </c>
      <c r="U76" s="71">
        <f>IFERROR(MATCH(T76,Interventions!C:C,0),0)</f>
        <v>0</v>
      </c>
      <c r="V76" s="71" cm="1">
        <f t="array" ref="V76">SUM(U76,COUNTIF(ModuleStart,T76)-1)</f>
        <v>-1</v>
      </c>
      <c r="W76" s="72">
        <f t="shared" si="9"/>
        <v>0</v>
      </c>
      <c r="X76" s="72" t="str">
        <f t="shared" si="10"/>
        <v/>
      </c>
      <c r="Y76" s="82" t="str">
        <f>IF(AND(AE76="Continue",AG76="Continue"),VLOOKUP($B$10,Translation[],91,0),IF(AND(AE76&lt;&gt;"Continue",AG76="Continue"),AE76,IF(AND(AG76&lt;&gt;"Continue",AE76="Continue"),AG76,CONCATENATE(AE76,CHAR(10),AG76))))</f>
        <v>No error</v>
      </c>
      <c r="Z76" s="62" t="str">
        <f>IF(OR(AND($B76&lt;&gt;"",$K76=""),AND($C76&lt;&gt;"",$L76="")),VLOOKUP($B$10,Translation[],87,0),"Continue")</f>
        <v>Continue</v>
      </c>
      <c r="AA76" s="62" t="str">
        <f>IF(AND($B76 &lt;&gt; "",$K76&lt;&gt;""),IF($K76=_xlfn.XLOOKUP(L76,Interventions!$F$11:$F$179,Interventions!$C$11:$C$179,1,0,1),"Continue",VLOOKUP($B$10,Translation[],88,0)),"Continue")</f>
        <v>Continue</v>
      </c>
      <c r="AB76" s="9" t="str">
        <f>IFERROR(IF($A76&lt;&gt;"",IF($B$10="English", IF(MATCH($A76,'Dropdown Data'!$A$361:$A$363,0)&gt;0,"Continue"), IF($B$10="Français",IF(MATCH($A76,'Dropdown Data'!$B$361:$B$363,0)&gt;0,"Continue"), IF($B$10="Español",IF(MATCH($A76,'Dropdown Data'!$C$361:$C$363,0)&gt;0,"Continue"),VLOOKUP($B$10,Translation[],89,0)))),"Continue"),VLOOKUP($B$10,Translation[],89,0))</f>
        <v>Continue</v>
      </c>
      <c r="AC76" s="62" t="str">
        <f>IF(AND(NOT(ISBLANK($D76)),(NOT(ISNUMBER($D76)))),VLOOKUP($B$10,Translation[],90,0),"Continue")</f>
        <v>Continue</v>
      </c>
      <c r="AD76" s="62" t="str">
        <f xml:space="preserve"> IFERROR(IF(INT($D76) &lt;&gt; $D76, VLOOKUP($B$10,Translation[],92,0), "Continue"),"Continue")</f>
        <v>Continue</v>
      </c>
      <c r="AE76" s="62" t="str">
        <f t="shared" si="11"/>
        <v>Continue</v>
      </c>
      <c r="AF76" s="9" t="str">
        <f t="shared" si="5"/>
        <v>Continue</v>
      </c>
      <c r="AG76" s="9" t="str">
        <f t="shared" si="6"/>
        <v>Continue</v>
      </c>
    </row>
    <row r="77" spans="1:33" ht="15" x14ac:dyDescent="0.2">
      <c r="A77" s="83"/>
      <c r="B77" s="84"/>
      <c r="C77" s="84"/>
      <c r="D77" s="96"/>
      <c r="E77" s="93" t="str">
        <f>IF(ISBLANK(D77),"",IF(IF(Modules!$D$4="EUR",W77*(Modules!$B$5),$W77)=0,0,IF(Modules!$D$4="EUR",W77*(Modules!$B$5),$W77)))</f>
        <v/>
      </c>
      <c r="F77" s="41"/>
      <c r="G77" s="82" t="str">
        <f>IF(NOT(ISBLANK('PAAR (EN)'!$G77)),IF('PAAR (EN)'!$G77 &lt;&gt; "",IF(PAAR!$B$10="English",'PAAR (EN)'!$G77,IF(PAAR!$B$10="Français",_xlfn.XLOOKUP('PAAR (EN)'!$G77,'Dropdown Data'!$A$365:$A$368, 'Dropdown Data'!$B$365:$B$368,0,0,1),_xlfn.XLOOKUP('PAAR (EN)'!$G77,'Dropdown Data'!$A$365:$A$368,'Dropdown Data'!$C$365:$C$368,0,0,1))),""),"")</f>
        <v/>
      </c>
      <c r="H77" s="92" t="str">
        <f>IF('PAAR (EN)'!$H77 &lt;&gt;"", 'PAAR (EN)'!$H77, "")</f>
        <v/>
      </c>
      <c r="I77" s="89" t="str">
        <f>IF('PAAR (EN)'!$I77 &lt;&gt; "", 'PAAR (EN)'!$I77, "")</f>
        <v/>
      </c>
      <c r="J77" s="15"/>
      <c r="K77" s="42" t="str">
        <f>IFERROR(VLOOKUP(B77,Modules!C:D,2,0),"")</f>
        <v/>
      </c>
      <c r="L77" s="40" t="str" cm="1">
        <f t="array" ref="L77">IFERROR(INDEX(Interventions!$F$12:$F$178,MATCH(TRUE,INDEX(Interventions!$E$12:$E$178=$C77,0),0)),0)</f>
        <v>[Name ID]</v>
      </c>
      <c r="M77" s="15" t="str">
        <f>CLEAN(IFERROR(VLOOKUP($C77,Interventions!$E$1:$K$444,7,0),""))</f>
        <v/>
      </c>
      <c r="N77" s="15" t="str">
        <f>CLEAN(IF(C77="","",CONCATENATE(Modules!$B$8,PAAR!M77,Q77)))</f>
        <v/>
      </c>
      <c r="O77" s="70">
        <f>IFERROR(INDEX('Dropdown Data'!$D$33:$D$35,MATCH(A77,'Dropdown Data'!$B$33:$B$35,0)),IFERROR(INDEX('Dropdown Data'!$D$33:$D$35,MATCH(A77,'Dropdown Data'!$C$33:$C$35,0)),A77))</f>
        <v>0</v>
      </c>
      <c r="P77" s="70" t="str">
        <f>IFERROR(INDEX('Dropdown Data'!$D$33:$D$36,MATCH(G77,'Dropdown Data'!$B$33:$B$36,0)),IFERROR(INDEX('Dropdown Data'!$D$33:$D$36,MATCH(G77,'Dropdown Data'!$C$33:$C$36,0)),G77))</f>
        <v/>
      </c>
      <c r="Q77" s="71">
        <v>49</v>
      </c>
      <c r="R77" s="71" t="b">
        <f t="shared" si="7"/>
        <v>0</v>
      </c>
      <c r="S77" s="71">
        <f t="shared" si="8"/>
        <v>10</v>
      </c>
      <c r="T77" s="71" t="e">
        <f>IFERROR(VLOOKUP(B77,Modules!$E$11:$K$52,7,0),IFERROR(VLOOKUP(B77,Modules!$F$11:$K$52,6,0),VLOOKUP(B77,Modules!$G$11:$K$52,5,0)))</f>
        <v>#N/A</v>
      </c>
      <c r="U77" s="71">
        <f>IFERROR(MATCH(T77,Interventions!C:C,0),0)</f>
        <v>0</v>
      </c>
      <c r="V77" s="71" cm="1">
        <f t="array" ref="V77">SUM(U77,COUNTIF(ModuleStart,T77)-1)</f>
        <v>-1</v>
      </c>
      <c r="W77" s="72">
        <f t="shared" si="9"/>
        <v>0</v>
      </c>
      <c r="X77" s="72" t="str">
        <f t="shared" si="10"/>
        <v/>
      </c>
      <c r="Y77" s="82" t="str">
        <f>IF(AND(AE77="Continue",AG77="Continue"),VLOOKUP($B$10,Translation[],91,0),IF(AND(AE77&lt;&gt;"Continue",AG77="Continue"),AE77,IF(AND(AG77&lt;&gt;"Continue",AE77="Continue"),AG77,CONCATENATE(AE77,CHAR(10),AG77))))</f>
        <v>No error</v>
      </c>
      <c r="Z77" s="62" t="str">
        <f>IF(OR(AND($B77&lt;&gt;"",$K77=""),AND($C77&lt;&gt;"",$L77="")),VLOOKUP($B$10,Translation[],87,0),"Continue")</f>
        <v>Continue</v>
      </c>
      <c r="AA77" s="62" t="str">
        <f>IF(AND($B77 &lt;&gt; "",$K77&lt;&gt;""),IF($K77=_xlfn.XLOOKUP(L77,Interventions!$F$11:$F$179,Interventions!$C$11:$C$179,1,0,1),"Continue",VLOOKUP($B$10,Translation[],88,0)),"Continue")</f>
        <v>Continue</v>
      </c>
      <c r="AB77" s="9" t="str">
        <f>IFERROR(IF($A77&lt;&gt;"",IF($B$10="English", IF(MATCH($A77,'Dropdown Data'!$A$361:$A$363,0)&gt;0,"Continue"), IF($B$10="Français",IF(MATCH($A77,'Dropdown Data'!$B$361:$B$363,0)&gt;0,"Continue"), IF($B$10="Español",IF(MATCH($A77,'Dropdown Data'!$C$361:$C$363,0)&gt;0,"Continue"),VLOOKUP($B$10,Translation[],89,0)))),"Continue"),VLOOKUP($B$10,Translation[],89,0))</f>
        <v>Continue</v>
      </c>
      <c r="AC77" s="62" t="str">
        <f>IF(AND(NOT(ISBLANK($D77)),(NOT(ISNUMBER($D77)))),VLOOKUP($B$10,Translation[],90,0),"Continue")</f>
        <v>Continue</v>
      </c>
      <c r="AD77" s="62" t="str">
        <f xml:space="preserve"> IFERROR(IF(INT($D77) &lt;&gt; $D77, VLOOKUP($B$10,Translation[],92,0), "Continue"),"Continue")</f>
        <v>Continue</v>
      </c>
      <c r="AE77" s="62" t="str">
        <f t="shared" si="11"/>
        <v>Continue</v>
      </c>
      <c r="AF77" s="9" t="str">
        <f t="shared" si="5"/>
        <v>Continue</v>
      </c>
      <c r="AG77" s="9" t="str">
        <f t="shared" si="6"/>
        <v>Continue</v>
      </c>
    </row>
    <row r="78" spans="1:33" ht="15" x14ac:dyDescent="0.2">
      <c r="A78" s="83"/>
      <c r="B78" s="84"/>
      <c r="C78" s="84"/>
      <c r="D78" s="96"/>
      <c r="E78" s="93" t="str">
        <f>IF(ISBLANK(D78),"",IF(IF(Modules!$D$4="EUR",W78*(Modules!$B$5),$W78)=0,0,IF(Modules!$D$4="EUR",W78*(Modules!$B$5),$W78)))</f>
        <v/>
      </c>
      <c r="F78" s="41"/>
      <c r="G78" s="82" t="str">
        <f>IF(NOT(ISBLANK('PAAR (EN)'!$G78)),IF('PAAR (EN)'!$G78 &lt;&gt; "",IF(PAAR!$B$10="English",'PAAR (EN)'!$G78,IF(PAAR!$B$10="Français",_xlfn.XLOOKUP('PAAR (EN)'!$G78,'Dropdown Data'!$A$365:$A$368, 'Dropdown Data'!$B$365:$B$368,0,0,1),_xlfn.XLOOKUP('PAAR (EN)'!$G78,'Dropdown Data'!$A$365:$A$368,'Dropdown Data'!$C$365:$C$368,0,0,1))),""),"")</f>
        <v/>
      </c>
      <c r="H78" s="92" t="str">
        <f>IF('PAAR (EN)'!$H78 &lt;&gt;"", 'PAAR (EN)'!$H78, "")</f>
        <v/>
      </c>
      <c r="I78" s="89" t="str">
        <f>IF('PAAR (EN)'!$I78 &lt;&gt; "", 'PAAR (EN)'!$I78, "")</f>
        <v/>
      </c>
      <c r="J78" s="15"/>
      <c r="K78" s="42" t="str">
        <f>IFERROR(VLOOKUP(B78,Modules!C:D,2,0),"")</f>
        <v/>
      </c>
      <c r="L78" s="40" t="str" cm="1">
        <f t="array" ref="L78">IFERROR(INDEX(Interventions!$F$12:$F$178,MATCH(TRUE,INDEX(Interventions!$E$12:$E$178=$C78,0),0)),0)</f>
        <v>[Name ID]</v>
      </c>
      <c r="M78" s="15" t="str">
        <f>CLEAN(IFERROR(VLOOKUP($C78,Interventions!$E$1:$K$444,7,0),""))</f>
        <v/>
      </c>
      <c r="N78" s="15" t="str">
        <f>CLEAN(IF(C78="","",CONCATENATE(Modules!$B$8,PAAR!M78,Q78)))</f>
        <v/>
      </c>
      <c r="O78" s="70">
        <f>IFERROR(INDEX('Dropdown Data'!$D$33:$D$35,MATCH(A78,'Dropdown Data'!$B$33:$B$35,0)),IFERROR(INDEX('Dropdown Data'!$D$33:$D$35,MATCH(A78,'Dropdown Data'!$C$33:$C$35,0)),A78))</f>
        <v>0</v>
      </c>
      <c r="P78" s="70" t="str">
        <f>IFERROR(INDEX('Dropdown Data'!$D$33:$D$36,MATCH(G78,'Dropdown Data'!$B$33:$B$36,0)),IFERROR(INDEX('Dropdown Data'!$D$33:$D$36,MATCH(G78,'Dropdown Data'!$C$33:$C$36,0)),G78))</f>
        <v/>
      </c>
      <c r="Q78" s="71">
        <v>50</v>
      </c>
      <c r="R78" s="71" t="b">
        <f t="shared" si="7"/>
        <v>0</v>
      </c>
      <c r="S78" s="71">
        <f t="shared" si="8"/>
        <v>10</v>
      </c>
      <c r="T78" s="71" t="e">
        <f>IFERROR(VLOOKUP(B78,Modules!$E$11:$K$52,7,0),IFERROR(VLOOKUP(B78,Modules!$F$11:$K$52,6,0),VLOOKUP(B78,Modules!$G$11:$K$52,5,0)))</f>
        <v>#N/A</v>
      </c>
      <c r="U78" s="71">
        <f>IFERROR(MATCH(T78,Interventions!C:C,0),0)</f>
        <v>0</v>
      </c>
      <c r="V78" s="71" cm="1">
        <f t="array" ref="V78">SUM(U78,COUNTIF(ModuleStart,T78)-1)</f>
        <v>-1</v>
      </c>
      <c r="W78" s="72">
        <f t="shared" si="9"/>
        <v>0</v>
      </c>
      <c r="X78" s="72" t="str">
        <f t="shared" si="10"/>
        <v/>
      </c>
      <c r="Y78" s="82" t="str">
        <f>IF(AND(AE78="Continue",AG78="Continue"),VLOOKUP($B$10,Translation[],91,0),IF(AND(AE78&lt;&gt;"Continue",AG78="Continue"),AE78,IF(AND(AG78&lt;&gt;"Continue",AE78="Continue"),AG78,CONCATENATE(AE78,CHAR(10),AG78))))</f>
        <v>No error</v>
      </c>
      <c r="Z78" s="62" t="str">
        <f>IF(OR(AND($B78&lt;&gt;"",$K78=""),AND($C78&lt;&gt;"",$L78="")),VLOOKUP($B$10,Translation[],87,0),"Continue")</f>
        <v>Continue</v>
      </c>
      <c r="AA78" s="62" t="str">
        <f>IF(AND($B78 &lt;&gt; "",$K78&lt;&gt;""),IF($K78=_xlfn.XLOOKUP(L78,Interventions!$F$11:$F$179,Interventions!$C$11:$C$179,1,0,1),"Continue",VLOOKUP($B$10,Translation[],88,0)),"Continue")</f>
        <v>Continue</v>
      </c>
      <c r="AB78" s="9" t="str">
        <f>IFERROR(IF($A78&lt;&gt;"",IF($B$10="English", IF(MATCH($A78,'Dropdown Data'!$A$361:$A$363,0)&gt;0,"Continue"), IF($B$10="Français",IF(MATCH($A78,'Dropdown Data'!$B$361:$B$363,0)&gt;0,"Continue"), IF($B$10="Español",IF(MATCH($A78,'Dropdown Data'!$C$361:$C$363,0)&gt;0,"Continue"),VLOOKUP($B$10,Translation[],89,0)))),"Continue"),VLOOKUP($B$10,Translation[],89,0))</f>
        <v>Continue</v>
      </c>
      <c r="AC78" s="62" t="str">
        <f>IF(AND(NOT(ISBLANK($D78)),(NOT(ISNUMBER($D78)))),VLOOKUP($B$10,Translation[],90,0),"Continue")</f>
        <v>Continue</v>
      </c>
      <c r="AD78" s="62" t="str">
        <f xml:space="preserve"> IFERROR(IF(INT($D78) &lt;&gt; $D78, VLOOKUP($B$10,Translation[],92,0), "Continue"),"Continue")</f>
        <v>Continue</v>
      </c>
      <c r="AE78" s="62" t="str">
        <f t="shared" si="11"/>
        <v>Continue</v>
      </c>
      <c r="AF78" s="9" t="str">
        <f t="shared" si="5"/>
        <v>Continue</v>
      </c>
      <c r="AG78" s="9" t="str">
        <f t="shared" si="6"/>
        <v>Continue</v>
      </c>
    </row>
    <row r="79" spans="1:33" ht="15" x14ac:dyDescent="0.2">
      <c r="A79" s="83"/>
      <c r="B79" s="84"/>
      <c r="C79" s="84"/>
      <c r="D79" s="96"/>
      <c r="E79" s="93" t="str">
        <f>IF(ISBLANK(D79),"",IF(IF(Modules!$D$4="EUR",W79*(Modules!$B$5),$W79)=0,0,IF(Modules!$D$4="EUR",W79*(Modules!$B$5),$W79)))</f>
        <v/>
      </c>
      <c r="F79" s="41"/>
      <c r="G79" s="82" t="str">
        <f>IF(NOT(ISBLANK('PAAR (EN)'!$G79)),IF('PAAR (EN)'!$G79 &lt;&gt; "",IF(PAAR!$B$10="English",'PAAR (EN)'!$G79,IF(PAAR!$B$10="Français",_xlfn.XLOOKUP('PAAR (EN)'!$G79,'Dropdown Data'!$A$365:$A$368, 'Dropdown Data'!$B$365:$B$368,0,0,1),_xlfn.XLOOKUP('PAAR (EN)'!$G79,'Dropdown Data'!$A$365:$A$368,'Dropdown Data'!$C$365:$C$368,0,0,1))),""),"")</f>
        <v/>
      </c>
      <c r="H79" s="92" t="str">
        <f>IF('PAAR (EN)'!$H79 &lt;&gt;"", 'PAAR (EN)'!$H79, "")</f>
        <v/>
      </c>
      <c r="I79" s="89" t="str">
        <f>IF('PAAR (EN)'!$I79 &lt;&gt; "", 'PAAR (EN)'!$I79, "")</f>
        <v/>
      </c>
      <c r="J79" s="15"/>
      <c r="K79" s="42" t="str">
        <f>IFERROR(VLOOKUP(B79,Modules!C:D,2,0),"")</f>
        <v/>
      </c>
      <c r="L79" s="40" t="str" cm="1">
        <f t="array" ref="L79">IFERROR(INDEX(Interventions!$F$12:$F$178,MATCH(TRUE,INDEX(Interventions!$E$12:$E$178=$C79,0),0)),0)</f>
        <v>[Name ID]</v>
      </c>
      <c r="M79" s="15" t="str">
        <f>CLEAN(IFERROR(VLOOKUP($C79,Interventions!$E$1:$K$444,7,0),""))</f>
        <v/>
      </c>
      <c r="N79" s="15" t="str">
        <f>CLEAN(IF(C79="","",CONCATENATE(Modules!$B$8,PAAR!M79,Q79)))</f>
        <v/>
      </c>
      <c r="O79" s="70">
        <f>IFERROR(INDEX('Dropdown Data'!$D$33:$D$35,MATCH(A79,'Dropdown Data'!$B$33:$B$35,0)),IFERROR(INDEX('Dropdown Data'!$D$33:$D$35,MATCH(A79,'Dropdown Data'!$C$33:$C$35,0)),A79))</f>
        <v>0</v>
      </c>
      <c r="P79" s="70" t="str">
        <f>IFERROR(INDEX('Dropdown Data'!$D$33:$D$36,MATCH(G79,'Dropdown Data'!$B$33:$B$36,0)),IFERROR(INDEX('Dropdown Data'!$D$33:$D$36,MATCH(G79,'Dropdown Data'!$C$33:$C$36,0)),G79))</f>
        <v/>
      </c>
      <c r="Q79" s="71">
        <v>51</v>
      </c>
      <c r="R79" s="71" t="b">
        <f t="shared" si="7"/>
        <v>0</v>
      </c>
      <c r="S79" s="71">
        <f t="shared" si="8"/>
        <v>10</v>
      </c>
      <c r="T79" s="71" t="e">
        <f>IFERROR(VLOOKUP(B79,Modules!$E$11:$K$52,7,0),IFERROR(VLOOKUP(B79,Modules!$F$11:$K$52,6,0),VLOOKUP(B79,Modules!$G$11:$K$52,5,0)))</f>
        <v>#N/A</v>
      </c>
      <c r="U79" s="71">
        <f>IFERROR(MATCH(T79,Interventions!C:C,0),0)</f>
        <v>0</v>
      </c>
      <c r="V79" s="71" cm="1">
        <f t="array" ref="V79">SUM(U79,COUNTIF(ModuleStart,T79)-1)</f>
        <v>-1</v>
      </c>
      <c r="W79" s="72">
        <f t="shared" si="9"/>
        <v>0</v>
      </c>
      <c r="X79" s="72" t="str">
        <f t="shared" si="10"/>
        <v/>
      </c>
      <c r="Y79" s="82" t="str">
        <f>IF(AND(AE79="Continue",AG79="Continue"),VLOOKUP($B$10,Translation[],91,0),IF(AND(AE79&lt;&gt;"Continue",AG79="Continue"),AE79,IF(AND(AG79&lt;&gt;"Continue",AE79="Continue"),AG79,CONCATENATE(AE79,CHAR(10),AG79))))</f>
        <v>No error</v>
      </c>
      <c r="Z79" s="62" t="str">
        <f>IF(OR(AND($B79&lt;&gt;"",$K79=""),AND($C79&lt;&gt;"",$L79="")),VLOOKUP($B$10,Translation[],87,0),"Continue")</f>
        <v>Continue</v>
      </c>
      <c r="AA79" s="62" t="str">
        <f>IF(AND($B79 &lt;&gt; "",$K79&lt;&gt;""),IF($K79=_xlfn.XLOOKUP(L79,Interventions!$F$11:$F$179,Interventions!$C$11:$C$179,1,0,1),"Continue",VLOOKUP($B$10,Translation[],88,0)),"Continue")</f>
        <v>Continue</v>
      </c>
      <c r="AB79" s="9" t="str">
        <f>IFERROR(IF($A79&lt;&gt;"",IF($B$10="English", IF(MATCH($A79,'Dropdown Data'!$A$361:$A$363,0)&gt;0,"Continue"), IF($B$10="Français",IF(MATCH($A79,'Dropdown Data'!$B$361:$B$363,0)&gt;0,"Continue"), IF($B$10="Español",IF(MATCH($A79,'Dropdown Data'!$C$361:$C$363,0)&gt;0,"Continue"),VLOOKUP($B$10,Translation[],89,0)))),"Continue"),VLOOKUP($B$10,Translation[],89,0))</f>
        <v>Continue</v>
      </c>
      <c r="AC79" s="62" t="str">
        <f>IF(AND(NOT(ISBLANK($D79)),(NOT(ISNUMBER($D79)))),VLOOKUP($B$10,Translation[],90,0),"Continue")</f>
        <v>Continue</v>
      </c>
      <c r="AD79" s="62" t="str">
        <f xml:space="preserve"> IFERROR(IF(INT($D79) &lt;&gt; $D79, VLOOKUP($B$10,Translation[],92,0), "Continue"),"Continue")</f>
        <v>Continue</v>
      </c>
      <c r="AE79" s="62" t="str">
        <f t="shared" si="11"/>
        <v>Continue</v>
      </c>
      <c r="AF79" s="9" t="str">
        <f t="shared" si="5"/>
        <v>Continue</v>
      </c>
      <c r="AG79" s="9" t="str">
        <f t="shared" si="6"/>
        <v>Continue</v>
      </c>
    </row>
    <row r="80" spans="1:33" ht="15" x14ac:dyDescent="0.2">
      <c r="A80" s="83"/>
      <c r="B80" s="84"/>
      <c r="C80" s="84"/>
      <c r="D80" s="96"/>
      <c r="E80" s="93" t="str">
        <f>IF(ISBLANK(D80),"",IF(IF(Modules!$D$4="EUR",W80*(Modules!$B$5),$W80)=0,0,IF(Modules!$D$4="EUR",W80*(Modules!$B$5),$W80)))</f>
        <v/>
      </c>
      <c r="F80" s="41"/>
      <c r="G80" s="82" t="str">
        <f>IF(NOT(ISBLANK('PAAR (EN)'!$G80)),IF('PAAR (EN)'!$G80 &lt;&gt; "",IF(PAAR!$B$10="English",'PAAR (EN)'!$G80,IF(PAAR!$B$10="Français",_xlfn.XLOOKUP('PAAR (EN)'!$G80,'Dropdown Data'!$A$365:$A$368, 'Dropdown Data'!$B$365:$B$368,0,0,1),_xlfn.XLOOKUP('PAAR (EN)'!$G80,'Dropdown Data'!$A$365:$A$368,'Dropdown Data'!$C$365:$C$368,0,0,1))),""),"")</f>
        <v/>
      </c>
      <c r="H80" s="92" t="str">
        <f>IF('PAAR (EN)'!$H80 &lt;&gt;"", 'PAAR (EN)'!$H80, "")</f>
        <v/>
      </c>
      <c r="I80" s="89" t="str">
        <f>IF('PAAR (EN)'!$I80 &lt;&gt; "", 'PAAR (EN)'!$I80, "")</f>
        <v/>
      </c>
      <c r="J80" s="15"/>
      <c r="K80" s="42" t="str">
        <f>IFERROR(VLOOKUP(B80,Modules!C:D,2,0),"")</f>
        <v/>
      </c>
      <c r="L80" s="40" t="str" cm="1">
        <f t="array" ref="L80">IFERROR(INDEX(Interventions!$F$12:$F$178,MATCH(TRUE,INDEX(Interventions!$E$12:$E$178=$C80,0),0)),0)</f>
        <v>[Name ID]</v>
      </c>
      <c r="M80" s="15" t="str">
        <f>CLEAN(IFERROR(VLOOKUP($C80,Interventions!$E$1:$K$444,7,0),""))</f>
        <v/>
      </c>
      <c r="N80" s="15" t="str">
        <f>CLEAN(IF(C80="","",CONCATENATE(Modules!$B$8,PAAR!M80,Q80)))</f>
        <v/>
      </c>
      <c r="O80" s="70">
        <f>IFERROR(INDEX('Dropdown Data'!$D$33:$D$35,MATCH(A80,'Dropdown Data'!$B$33:$B$35,0)),IFERROR(INDEX('Dropdown Data'!$D$33:$D$35,MATCH(A80,'Dropdown Data'!$C$33:$C$35,0)),A80))</f>
        <v>0</v>
      </c>
      <c r="P80" s="70" t="str">
        <f>IFERROR(INDEX('Dropdown Data'!$D$33:$D$36,MATCH(G80,'Dropdown Data'!$B$33:$B$36,0)),IFERROR(INDEX('Dropdown Data'!$D$33:$D$36,MATCH(G80,'Dropdown Data'!$C$33:$C$36,0)),G80))</f>
        <v/>
      </c>
      <c r="Q80" s="71">
        <v>52</v>
      </c>
      <c r="R80" s="71" t="b">
        <f t="shared" si="7"/>
        <v>0</v>
      </c>
      <c r="S80" s="71">
        <f t="shared" si="8"/>
        <v>10</v>
      </c>
      <c r="T80" s="71" t="e">
        <f>IFERROR(VLOOKUP(B80,Modules!$E$11:$K$52,7,0),IFERROR(VLOOKUP(B80,Modules!$F$11:$K$52,6,0),VLOOKUP(B80,Modules!$G$11:$K$52,5,0)))</f>
        <v>#N/A</v>
      </c>
      <c r="U80" s="71">
        <f>IFERROR(MATCH(T80,Interventions!C:C,0),0)</f>
        <v>0</v>
      </c>
      <c r="V80" s="71" cm="1">
        <f t="array" ref="V80">SUM(U80,COUNTIF(ModuleStart,T80)-1)</f>
        <v>-1</v>
      </c>
      <c r="W80" s="72">
        <f t="shared" si="9"/>
        <v>0</v>
      </c>
      <c r="X80" s="72" t="str">
        <f t="shared" si="10"/>
        <v/>
      </c>
      <c r="Y80" s="82" t="str">
        <f>IF(AND(AE80="Continue",AG80="Continue"),VLOOKUP($B$10,Translation[],91,0),IF(AND(AE80&lt;&gt;"Continue",AG80="Continue"),AE80,IF(AND(AG80&lt;&gt;"Continue",AE80="Continue"),AG80,CONCATENATE(AE80,CHAR(10),AG80))))</f>
        <v>No error</v>
      </c>
      <c r="Z80" s="62" t="str">
        <f>IF(OR(AND($B80&lt;&gt;"",$K80=""),AND($C80&lt;&gt;"",$L80="")),VLOOKUP($B$10,Translation[],87,0),"Continue")</f>
        <v>Continue</v>
      </c>
      <c r="AA80" s="62" t="str">
        <f>IF(AND($B80 &lt;&gt; "",$K80&lt;&gt;""),IF($K80=_xlfn.XLOOKUP(L80,Interventions!$F$11:$F$179,Interventions!$C$11:$C$179,1,0,1),"Continue",VLOOKUP($B$10,Translation[],88,0)),"Continue")</f>
        <v>Continue</v>
      </c>
      <c r="AB80" s="9" t="str">
        <f>IFERROR(IF($A80&lt;&gt;"",IF($B$10="English", IF(MATCH($A80,'Dropdown Data'!$A$361:$A$363,0)&gt;0,"Continue"), IF($B$10="Français",IF(MATCH($A80,'Dropdown Data'!$B$361:$B$363,0)&gt;0,"Continue"), IF($B$10="Español",IF(MATCH($A80,'Dropdown Data'!$C$361:$C$363,0)&gt;0,"Continue"),VLOOKUP($B$10,Translation[],89,0)))),"Continue"),VLOOKUP($B$10,Translation[],89,0))</f>
        <v>Continue</v>
      </c>
      <c r="AC80" s="62" t="str">
        <f>IF(AND(NOT(ISBLANK($D80)),(NOT(ISNUMBER($D80)))),VLOOKUP($B$10,Translation[],90,0),"Continue")</f>
        <v>Continue</v>
      </c>
      <c r="AD80" s="62" t="str">
        <f xml:space="preserve"> IFERROR(IF(INT($D80) &lt;&gt; $D80, VLOOKUP($B$10,Translation[],92,0), "Continue"),"Continue")</f>
        <v>Continue</v>
      </c>
      <c r="AE80" s="62" t="str">
        <f t="shared" si="11"/>
        <v>Continue</v>
      </c>
      <c r="AF80" s="9" t="str">
        <f t="shared" si="5"/>
        <v>Continue</v>
      </c>
      <c r="AG80" s="9" t="str">
        <f t="shared" si="6"/>
        <v>Continue</v>
      </c>
    </row>
    <row r="81" spans="1:33" ht="15" x14ac:dyDescent="0.2">
      <c r="A81" s="83"/>
      <c r="B81" s="84"/>
      <c r="C81" s="84"/>
      <c r="D81" s="96"/>
      <c r="E81" s="93" t="str">
        <f>IF(ISBLANK(D81),"",IF(IF(Modules!$D$4="EUR",W81*(Modules!$B$5),$W81)=0,0,IF(Modules!$D$4="EUR",W81*(Modules!$B$5),$W81)))</f>
        <v/>
      </c>
      <c r="F81" s="41"/>
      <c r="G81" s="82" t="str">
        <f>IF(NOT(ISBLANK('PAAR (EN)'!$G81)),IF('PAAR (EN)'!$G81 &lt;&gt; "",IF(PAAR!$B$10="English",'PAAR (EN)'!$G81,IF(PAAR!$B$10="Français",_xlfn.XLOOKUP('PAAR (EN)'!$G81,'Dropdown Data'!$A$365:$A$368, 'Dropdown Data'!$B$365:$B$368,0,0,1),_xlfn.XLOOKUP('PAAR (EN)'!$G81,'Dropdown Data'!$A$365:$A$368,'Dropdown Data'!$C$365:$C$368,0,0,1))),""),"")</f>
        <v/>
      </c>
      <c r="H81" s="92" t="str">
        <f>IF('PAAR (EN)'!$H81 &lt;&gt;"", 'PAAR (EN)'!$H81, "")</f>
        <v/>
      </c>
      <c r="I81" s="89" t="str">
        <f>IF('PAAR (EN)'!$I81 &lt;&gt; "", 'PAAR (EN)'!$I81, "")</f>
        <v/>
      </c>
      <c r="J81" s="15"/>
      <c r="K81" s="42" t="str">
        <f>IFERROR(VLOOKUP(B81,Modules!C:D,2,0),"")</f>
        <v/>
      </c>
      <c r="L81" s="40" t="str" cm="1">
        <f t="array" ref="L81">IFERROR(INDEX(Interventions!$F$12:$F$178,MATCH(TRUE,INDEX(Interventions!$E$12:$E$178=$C81,0),0)),0)</f>
        <v>[Name ID]</v>
      </c>
      <c r="M81" s="15" t="str">
        <f>CLEAN(IFERROR(VLOOKUP($C81,Interventions!$E$1:$K$444,7,0),""))</f>
        <v/>
      </c>
      <c r="N81" s="15" t="str">
        <f>CLEAN(IF(C81="","",CONCATENATE(Modules!$B$8,PAAR!M81,Q81)))</f>
        <v/>
      </c>
      <c r="O81" s="70">
        <f>IFERROR(INDEX('Dropdown Data'!$D$33:$D$35,MATCH(A81,'Dropdown Data'!$B$33:$B$35,0)),IFERROR(INDEX('Dropdown Data'!$D$33:$D$35,MATCH(A81,'Dropdown Data'!$C$33:$C$35,0)),A81))</f>
        <v>0</v>
      </c>
      <c r="P81" s="70" t="str">
        <f>IFERROR(INDEX('Dropdown Data'!$D$33:$D$36,MATCH(G81,'Dropdown Data'!$B$33:$B$36,0)),IFERROR(INDEX('Dropdown Data'!$D$33:$D$36,MATCH(G81,'Dropdown Data'!$C$33:$C$36,0)),G81))</f>
        <v/>
      </c>
      <c r="Q81" s="71">
        <v>53</v>
      </c>
      <c r="R81" s="71" t="b">
        <f t="shared" si="7"/>
        <v>0</v>
      </c>
      <c r="S81" s="71">
        <f t="shared" si="8"/>
        <v>10</v>
      </c>
      <c r="T81" s="71" t="e">
        <f>IFERROR(VLOOKUP(B81,Modules!$E$11:$K$52,7,0),IFERROR(VLOOKUP(B81,Modules!$F$11:$K$52,6,0),VLOOKUP(B81,Modules!$G$11:$K$52,5,0)))</f>
        <v>#N/A</v>
      </c>
      <c r="U81" s="71">
        <f>IFERROR(MATCH(T81,Interventions!C:C,0),0)</f>
        <v>0</v>
      </c>
      <c r="V81" s="71" cm="1">
        <f t="array" ref="V81">SUM(U81,COUNTIF(ModuleStart,T81)-1)</f>
        <v>-1</v>
      </c>
      <c r="W81" s="72">
        <f t="shared" si="9"/>
        <v>0</v>
      </c>
      <c r="X81" s="72" t="str">
        <f t="shared" si="10"/>
        <v/>
      </c>
      <c r="Y81" s="82" t="str">
        <f>IF(AND(AE81="Continue",AG81="Continue"),VLOOKUP($B$10,Translation[],91,0),IF(AND(AE81&lt;&gt;"Continue",AG81="Continue"),AE81,IF(AND(AG81&lt;&gt;"Continue",AE81="Continue"),AG81,CONCATENATE(AE81,CHAR(10),AG81))))</f>
        <v>No error</v>
      </c>
      <c r="Z81" s="62" t="str">
        <f>IF(OR(AND($B81&lt;&gt;"",$K81=""),AND($C81&lt;&gt;"",$L81="")),VLOOKUP($B$10,Translation[],87,0),"Continue")</f>
        <v>Continue</v>
      </c>
      <c r="AA81" s="62" t="str">
        <f>IF(AND($B81 &lt;&gt; "",$K81&lt;&gt;""),IF($K81=_xlfn.XLOOKUP(L81,Interventions!$F$11:$F$179,Interventions!$C$11:$C$179,1,0,1),"Continue",VLOOKUP($B$10,Translation[],88,0)),"Continue")</f>
        <v>Continue</v>
      </c>
      <c r="AB81" s="9" t="str">
        <f>IFERROR(IF($A81&lt;&gt;"",IF($B$10="English", IF(MATCH($A81,'Dropdown Data'!$A$361:$A$363,0)&gt;0,"Continue"), IF($B$10="Français",IF(MATCH($A81,'Dropdown Data'!$B$361:$B$363,0)&gt;0,"Continue"), IF($B$10="Español",IF(MATCH($A81,'Dropdown Data'!$C$361:$C$363,0)&gt;0,"Continue"),VLOOKUP($B$10,Translation[],89,0)))),"Continue"),VLOOKUP($B$10,Translation[],89,0))</f>
        <v>Continue</v>
      </c>
      <c r="AC81" s="62" t="str">
        <f>IF(AND(NOT(ISBLANK($D81)),(NOT(ISNUMBER($D81)))),VLOOKUP($B$10,Translation[],90,0),"Continue")</f>
        <v>Continue</v>
      </c>
      <c r="AD81" s="62" t="str">
        <f xml:space="preserve"> IFERROR(IF(INT($D81) &lt;&gt; $D81, VLOOKUP($B$10,Translation[],92,0), "Continue"),"Continue")</f>
        <v>Continue</v>
      </c>
      <c r="AE81" s="62" t="str">
        <f t="shared" si="11"/>
        <v>Continue</v>
      </c>
      <c r="AF81" s="9" t="str">
        <f t="shared" si="5"/>
        <v>Continue</v>
      </c>
      <c r="AG81" s="9" t="str">
        <f t="shared" si="6"/>
        <v>Continue</v>
      </c>
    </row>
    <row r="82" spans="1:33" ht="15" x14ac:dyDescent="0.2">
      <c r="A82" s="83"/>
      <c r="B82" s="84"/>
      <c r="C82" s="84"/>
      <c r="D82" s="96"/>
      <c r="E82" s="93" t="str">
        <f>IF(ISBLANK(D82),"",IF(IF(Modules!$D$4="EUR",W82*(Modules!$B$5),$W82)=0,0,IF(Modules!$D$4="EUR",W82*(Modules!$B$5),$W82)))</f>
        <v/>
      </c>
      <c r="F82" s="41"/>
      <c r="G82" s="82" t="str">
        <f>IF(NOT(ISBLANK('PAAR (EN)'!$G82)),IF('PAAR (EN)'!$G82 &lt;&gt; "",IF(PAAR!$B$10="English",'PAAR (EN)'!$G82,IF(PAAR!$B$10="Français",_xlfn.XLOOKUP('PAAR (EN)'!$G82,'Dropdown Data'!$A$365:$A$368, 'Dropdown Data'!$B$365:$B$368,0,0,1),_xlfn.XLOOKUP('PAAR (EN)'!$G82,'Dropdown Data'!$A$365:$A$368,'Dropdown Data'!$C$365:$C$368,0,0,1))),""),"")</f>
        <v/>
      </c>
      <c r="H82" s="92" t="str">
        <f>IF('PAAR (EN)'!$H82 &lt;&gt;"", 'PAAR (EN)'!$H82, "")</f>
        <v/>
      </c>
      <c r="I82" s="89" t="str">
        <f>IF('PAAR (EN)'!$I82 &lt;&gt; "", 'PAAR (EN)'!$I82, "")</f>
        <v/>
      </c>
      <c r="J82" s="15"/>
      <c r="K82" s="42" t="str">
        <f>IFERROR(VLOOKUP(B82,Modules!C:D,2,0),"")</f>
        <v/>
      </c>
      <c r="L82" s="40" t="str" cm="1">
        <f t="array" ref="L82">IFERROR(INDEX(Interventions!$F$12:$F$178,MATCH(TRUE,INDEX(Interventions!$E$12:$E$178=$C82,0),0)),0)</f>
        <v>[Name ID]</v>
      </c>
      <c r="M82" s="15" t="str">
        <f>CLEAN(IFERROR(VLOOKUP($C82,Interventions!$E$1:$K$444,7,0),""))</f>
        <v/>
      </c>
      <c r="N82" s="15" t="str">
        <f>CLEAN(IF(C82="","",CONCATENATE(Modules!$B$8,PAAR!M82,Q82)))</f>
        <v/>
      </c>
      <c r="O82" s="70">
        <f>IFERROR(INDEX('Dropdown Data'!$D$33:$D$35,MATCH(A82,'Dropdown Data'!$B$33:$B$35,0)),IFERROR(INDEX('Dropdown Data'!$D$33:$D$35,MATCH(A82,'Dropdown Data'!$C$33:$C$35,0)),A82))</f>
        <v>0</v>
      </c>
      <c r="P82" s="70" t="str">
        <f>IFERROR(INDEX('Dropdown Data'!$D$33:$D$36,MATCH(G82,'Dropdown Data'!$B$33:$B$36,0)),IFERROR(INDEX('Dropdown Data'!$D$33:$D$36,MATCH(G82,'Dropdown Data'!$C$33:$C$36,0)),G82))</f>
        <v/>
      </c>
      <c r="Q82" s="71">
        <v>54</v>
      </c>
      <c r="R82" s="71" t="b">
        <f t="shared" si="7"/>
        <v>0</v>
      </c>
      <c r="S82" s="71">
        <f t="shared" si="8"/>
        <v>10</v>
      </c>
      <c r="T82" s="71" t="e">
        <f>IFERROR(VLOOKUP(B82,Modules!$E$11:$K$52,7,0),IFERROR(VLOOKUP(B82,Modules!$F$11:$K$52,6,0),VLOOKUP(B82,Modules!$G$11:$K$52,5,0)))</f>
        <v>#N/A</v>
      </c>
      <c r="U82" s="71">
        <f>IFERROR(MATCH(T82,Interventions!C:C,0),0)</f>
        <v>0</v>
      </c>
      <c r="V82" s="71" cm="1">
        <f t="array" ref="V82">SUM(U82,COUNTIF(ModuleStart,T82)-1)</f>
        <v>-1</v>
      </c>
      <c r="W82" s="72">
        <f t="shared" si="9"/>
        <v>0</v>
      </c>
      <c r="X82" s="72" t="str">
        <f t="shared" si="10"/>
        <v/>
      </c>
      <c r="Y82" s="82" t="str">
        <f>IF(AND(AE82="Continue",AG82="Continue"),VLOOKUP($B$10,Translation[],91,0),IF(AND(AE82&lt;&gt;"Continue",AG82="Continue"),AE82,IF(AND(AG82&lt;&gt;"Continue",AE82="Continue"),AG82,CONCATENATE(AE82,CHAR(10),AG82))))</f>
        <v>No error</v>
      </c>
      <c r="Z82" s="62" t="str">
        <f>IF(OR(AND($B82&lt;&gt;"",$K82=""),AND($C82&lt;&gt;"",$L82="")),VLOOKUP($B$10,Translation[],87,0),"Continue")</f>
        <v>Continue</v>
      </c>
      <c r="AA82" s="62" t="str">
        <f>IF(AND($B82 &lt;&gt; "",$K82&lt;&gt;""),IF($K82=_xlfn.XLOOKUP(L82,Interventions!$F$11:$F$179,Interventions!$C$11:$C$179,1,0,1),"Continue",VLOOKUP($B$10,Translation[],88,0)),"Continue")</f>
        <v>Continue</v>
      </c>
      <c r="AB82" s="9" t="str">
        <f>IFERROR(IF($A82&lt;&gt;"",IF($B$10="English", IF(MATCH($A82,'Dropdown Data'!$A$361:$A$363,0)&gt;0,"Continue"), IF($B$10="Français",IF(MATCH($A82,'Dropdown Data'!$B$361:$B$363,0)&gt;0,"Continue"), IF($B$10="Español",IF(MATCH($A82,'Dropdown Data'!$C$361:$C$363,0)&gt;0,"Continue"),VLOOKUP($B$10,Translation[],89,0)))),"Continue"),VLOOKUP($B$10,Translation[],89,0))</f>
        <v>Continue</v>
      </c>
      <c r="AC82" s="62" t="str">
        <f>IF(AND(NOT(ISBLANK($D82)),(NOT(ISNUMBER($D82)))),VLOOKUP($B$10,Translation[],90,0),"Continue")</f>
        <v>Continue</v>
      </c>
      <c r="AD82" s="62" t="str">
        <f xml:space="preserve"> IFERROR(IF(INT($D82) &lt;&gt; $D82, VLOOKUP($B$10,Translation[],92,0), "Continue"),"Continue")</f>
        <v>Continue</v>
      </c>
      <c r="AE82" s="62" t="str">
        <f t="shared" si="11"/>
        <v>Continue</v>
      </c>
      <c r="AF82" s="9" t="str">
        <f t="shared" si="5"/>
        <v>Continue</v>
      </c>
      <c r="AG82" s="9" t="str">
        <f t="shared" si="6"/>
        <v>Continue</v>
      </c>
    </row>
    <row r="83" spans="1:33" ht="15" x14ac:dyDescent="0.2">
      <c r="A83" s="83"/>
      <c r="B83" s="84"/>
      <c r="C83" s="84"/>
      <c r="D83" s="96"/>
      <c r="E83" s="93" t="str">
        <f>IF(ISBLANK(D83),"",IF(IF(Modules!$D$4="EUR",W83*(Modules!$B$5),$W83)=0,0,IF(Modules!$D$4="EUR",W83*(Modules!$B$5),$W83)))</f>
        <v/>
      </c>
      <c r="F83" s="41"/>
      <c r="G83" s="82" t="str">
        <f>IF(NOT(ISBLANK('PAAR (EN)'!$G83)),IF('PAAR (EN)'!$G83 &lt;&gt; "",IF(PAAR!$B$10="English",'PAAR (EN)'!$G83,IF(PAAR!$B$10="Français",_xlfn.XLOOKUP('PAAR (EN)'!$G83,'Dropdown Data'!$A$365:$A$368, 'Dropdown Data'!$B$365:$B$368,0,0,1),_xlfn.XLOOKUP('PAAR (EN)'!$G83,'Dropdown Data'!$A$365:$A$368,'Dropdown Data'!$C$365:$C$368,0,0,1))),""),"")</f>
        <v/>
      </c>
      <c r="H83" s="92" t="str">
        <f>IF('PAAR (EN)'!$H83 &lt;&gt;"", 'PAAR (EN)'!$H83, "")</f>
        <v/>
      </c>
      <c r="I83" s="89" t="str">
        <f>IF('PAAR (EN)'!$I83 &lt;&gt; "", 'PAAR (EN)'!$I83, "")</f>
        <v/>
      </c>
      <c r="J83" s="15"/>
      <c r="K83" s="42" t="str">
        <f>IFERROR(VLOOKUP(B83,Modules!C:D,2,0),"")</f>
        <v/>
      </c>
      <c r="L83" s="40" t="str" cm="1">
        <f t="array" ref="L83">IFERROR(INDEX(Interventions!$F$12:$F$178,MATCH(TRUE,INDEX(Interventions!$E$12:$E$178=$C83,0),0)),0)</f>
        <v>[Name ID]</v>
      </c>
      <c r="M83" s="15" t="str">
        <f>CLEAN(IFERROR(VLOOKUP($C83,Interventions!$E$1:$K$444,7,0),""))</f>
        <v/>
      </c>
      <c r="N83" s="15" t="str">
        <f>CLEAN(IF(C83="","",CONCATENATE(Modules!$B$8,PAAR!M83,Q83)))</f>
        <v/>
      </c>
      <c r="O83" s="70">
        <f>IFERROR(INDEX('Dropdown Data'!$D$33:$D$35,MATCH(A83,'Dropdown Data'!$B$33:$B$35,0)),IFERROR(INDEX('Dropdown Data'!$D$33:$D$35,MATCH(A83,'Dropdown Data'!$C$33:$C$35,0)),A83))</f>
        <v>0</v>
      </c>
      <c r="P83" s="70" t="str">
        <f>IFERROR(INDEX('Dropdown Data'!$D$33:$D$36,MATCH(G83,'Dropdown Data'!$B$33:$B$36,0)),IFERROR(INDEX('Dropdown Data'!$D$33:$D$36,MATCH(G83,'Dropdown Data'!$C$33:$C$36,0)),G83))</f>
        <v/>
      </c>
      <c r="Q83" s="71">
        <v>55</v>
      </c>
      <c r="R83" s="71" t="b">
        <f t="shared" si="7"/>
        <v>0</v>
      </c>
      <c r="S83" s="71">
        <f t="shared" si="8"/>
        <v>10</v>
      </c>
      <c r="T83" s="71" t="e">
        <f>IFERROR(VLOOKUP(B83,Modules!$E$11:$K$52,7,0),IFERROR(VLOOKUP(B83,Modules!$F$11:$K$52,6,0),VLOOKUP(B83,Modules!$G$11:$K$52,5,0)))</f>
        <v>#N/A</v>
      </c>
      <c r="U83" s="71">
        <f>IFERROR(MATCH(T83,Interventions!C:C,0),0)</f>
        <v>0</v>
      </c>
      <c r="V83" s="71" cm="1">
        <f t="array" ref="V83">SUM(U83,COUNTIF(ModuleStart,T83)-1)</f>
        <v>-1</v>
      </c>
      <c r="W83" s="72">
        <f t="shared" si="9"/>
        <v>0</v>
      </c>
      <c r="X83" s="72" t="str">
        <f t="shared" si="10"/>
        <v/>
      </c>
      <c r="Y83" s="82" t="str">
        <f>IF(AND(AE83="Continue",AG83="Continue"),VLOOKUP($B$10,Translation[],91,0),IF(AND(AE83&lt;&gt;"Continue",AG83="Continue"),AE83,IF(AND(AG83&lt;&gt;"Continue",AE83="Continue"),AG83,CONCATENATE(AE83,CHAR(10),AG83))))</f>
        <v>No error</v>
      </c>
      <c r="Z83" s="62" t="str">
        <f>IF(OR(AND($B83&lt;&gt;"",$K83=""),AND($C83&lt;&gt;"",$L83="")),VLOOKUP($B$10,Translation[],87,0),"Continue")</f>
        <v>Continue</v>
      </c>
      <c r="AA83" s="62" t="str">
        <f>IF(AND($B83 &lt;&gt; "",$K83&lt;&gt;""),IF($K83=_xlfn.XLOOKUP(L83,Interventions!$F$11:$F$179,Interventions!$C$11:$C$179,1,0,1),"Continue",VLOOKUP($B$10,Translation[],88,0)),"Continue")</f>
        <v>Continue</v>
      </c>
      <c r="AB83" s="9" t="str">
        <f>IFERROR(IF($A83&lt;&gt;"",IF($B$10="English", IF(MATCH($A83,'Dropdown Data'!$A$361:$A$363,0)&gt;0,"Continue"), IF($B$10="Français",IF(MATCH($A83,'Dropdown Data'!$B$361:$B$363,0)&gt;0,"Continue"), IF($B$10="Español",IF(MATCH($A83,'Dropdown Data'!$C$361:$C$363,0)&gt;0,"Continue"),VLOOKUP($B$10,Translation[],89,0)))),"Continue"),VLOOKUP($B$10,Translation[],89,0))</f>
        <v>Continue</v>
      </c>
      <c r="AC83" s="62" t="str">
        <f>IF(AND(NOT(ISBLANK($D83)),(NOT(ISNUMBER($D83)))),VLOOKUP($B$10,Translation[],90,0),"Continue")</f>
        <v>Continue</v>
      </c>
      <c r="AD83" s="62" t="str">
        <f xml:space="preserve"> IFERROR(IF(INT($D83) &lt;&gt; $D83, VLOOKUP($B$10,Translation[],92,0), "Continue"),"Continue")</f>
        <v>Continue</v>
      </c>
      <c r="AE83" s="62" t="str">
        <f t="shared" si="11"/>
        <v>Continue</v>
      </c>
      <c r="AF83" s="9" t="str">
        <f t="shared" si="5"/>
        <v>Continue</v>
      </c>
      <c r="AG83" s="9" t="str">
        <f t="shared" si="6"/>
        <v>Continue</v>
      </c>
    </row>
    <row r="84" spans="1:33" ht="15" x14ac:dyDescent="0.2">
      <c r="A84" s="83"/>
      <c r="B84" s="84"/>
      <c r="C84" s="84"/>
      <c r="D84" s="96"/>
      <c r="E84" s="93" t="str">
        <f>IF(ISBLANK(D84),"",IF(IF(Modules!$D$4="EUR",W84*(Modules!$B$5),$W84)=0,0,IF(Modules!$D$4="EUR",W84*(Modules!$B$5),$W84)))</f>
        <v/>
      </c>
      <c r="F84" s="41"/>
      <c r="G84" s="82" t="str">
        <f>IF(NOT(ISBLANK('PAAR (EN)'!$G84)),IF('PAAR (EN)'!$G84 &lt;&gt; "",IF(PAAR!$B$10="English",'PAAR (EN)'!$G84,IF(PAAR!$B$10="Français",_xlfn.XLOOKUP('PAAR (EN)'!$G84,'Dropdown Data'!$A$365:$A$368, 'Dropdown Data'!$B$365:$B$368,0,0,1),_xlfn.XLOOKUP('PAAR (EN)'!$G84,'Dropdown Data'!$A$365:$A$368,'Dropdown Data'!$C$365:$C$368,0,0,1))),""),"")</f>
        <v/>
      </c>
      <c r="H84" s="92" t="str">
        <f>IF('PAAR (EN)'!$H84 &lt;&gt;"", 'PAAR (EN)'!$H84, "")</f>
        <v/>
      </c>
      <c r="I84" s="89" t="str">
        <f>IF('PAAR (EN)'!$I84 &lt;&gt; "", 'PAAR (EN)'!$I84, "")</f>
        <v/>
      </c>
      <c r="J84" s="15"/>
      <c r="K84" s="42" t="str">
        <f>IFERROR(VLOOKUP(B84,Modules!C:D,2,0),"")</f>
        <v/>
      </c>
      <c r="L84" s="40" t="str" cm="1">
        <f t="array" ref="L84">IFERROR(INDEX(Interventions!$F$12:$F$178,MATCH(TRUE,INDEX(Interventions!$E$12:$E$178=$C84,0),0)),0)</f>
        <v>[Name ID]</v>
      </c>
      <c r="M84" s="15" t="str">
        <f>CLEAN(IFERROR(VLOOKUP($C84,Interventions!$E$1:$K$444,7,0),""))</f>
        <v/>
      </c>
      <c r="N84" s="15" t="str">
        <f>CLEAN(IF(C84="","",CONCATENATE(Modules!$B$8,PAAR!M84,Q84)))</f>
        <v/>
      </c>
      <c r="O84" s="70">
        <f>IFERROR(INDEX('Dropdown Data'!$D$33:$D$35,MATCH(A84,'Dropdown Data'!$B$33:$B$35,0)),IFERROR(INDEX('Dropdown Data'!$D$33:$D$35,MATCH(A84,'Dropdown Data'!$C$33:$C$35,0)),A84))</f>
        <v>0</v>
      </c>
      <c r="P84" s="70" t="str">
        <f>IFERROR(INDEX('Dropdown Data'!$D$33:$D$36,MATCH(G84,'Dropdown Data'!$B$33:$B$36,0)),IFERROR(INDEX('Dropdown Data'!$D$33:$D$36,MATCH(G84,'Dropdown Data'!$C$33:$C$36,0)),G84))</f>
        <v/>
      </c>
      <c r="Q84" s="71">
        <v>56</v>
      </c>
      <c r="R84" s="71" t="b">
        <f t="shared" si="7"/>
        <v>0</v>
      </c>
      <c r="S84" s="71">
        <f t="shared" si="8"/>
        <v>10</v>
      </c>
      <c r="T84" s="71" t="e">
        <f>IFERROR(VLOOKUP(B84,Modules!$E$11:$K$52,7,0),IFERROR(VLOOKUP(B84,Modules!$F$11:$K$52,6,0),VLOOKUP(B84,Modules!$G$11:$K$52,5,0)))</f>
        <v>#N/A</v>
      </c>
      <c r="U84" s="71">
        <f>IFERROR(MATCH(T84,Interventions!C:C,0),0)</f>
        <v>0</v>
      </c>
      <c r="V84" s="71" cm="1">
        <f t="array" ref="V84">SUM(U84,COUNTIF(ModuleStart,T84)-1)</f>
        <v>-1</v>
      </c>
      <c r="W84" s="72">
        <f t="shared" si="9"/>
        <v>0</v>
      </c>
      <c r="X84" s="72" t="str">
        <f t="shared" si="10"/>
        <v/>
      </c>
      <c r="Y84" s="82" t="str">
        <f>IF(AND(AE84="Continue",AG84="Continue"),VLOOKUP($B$10,Translation[],91,0),IF(AND(AE84&lt;&gt;"Continue",AG84="Continue"),AE84,IF(AND(AG84&lt;&gt;"Continue",AE84="Continue"),AG84,CONCATENATE(AE84,CHAR(10),AG84))))</f>
        <v>No error</v>
      </c>
      <c r="Z84" s="62" t="str">
        <f>IF(OR(AND($B84&lt;&gt;"",$K84=""),AND($C84&lt;&gt;"",$L84="")),VLOOKUP($B$10,Translation[],87,0),"Continue")</f>
        <v>Continue</v>
      </c>
      <c r="AA84" s="62" t="str">
        <f>IF(AND($B84 &lt;&gt; "",$K84&lt;&gt;""),IF($K84=_xlfn.XLOOKUP(L84,Interventions!$F$11:$F$179,Interventions!$C$11:$C$179,1,0,1),"Continue",VLOOKUP($B$10,Translation[],88,0)),"Continue")</f>
        <v>Continue</v>
      </c>
      <c r="AB84" s="9" t="str">
        <f>IFERROR(IF($A84&lt;&gt;"",IF($B$10="English", IF(MATCH($A84,'Dropdown Data'!$A$361:$A$363,0)&gt;0,"Continue"), IF($B$10="Français",IF(MATCH($A84,'Dropdown Data'!$B$361:$B$363,0)&gt;0,"Continue"), IF($B$10="Español",IF(MATCH($A84,'Dropdown Data'!$C$361:$C$363,0)&gt;0,"Continue"),VLOOKUP($B$10,Translation[],89,0)))),"Continue"),VLOOKUP($B$10,Translation[],89,0))</f>
        <v>Continue</v>
      </c>
      <c r="AC84" s="62" t="str">
        <f>IF(AND(NOT(ISBLANK($D84)),(NOT(ISNUMBER($D84)))),VLOOKUP($B$10,Translation[],90,0),"Continue")</f>
        <v>Continue</v>
      </c>
      <c r="AD84" s="62" t="str">
        <f xml:space="preserve"> IFERROR(IF(INT($D84) &lt;&gt; $D84, VLOOKUP($B$10,Translation[],92,0), "Continue"),"Continue")</f>
        <v>Continue</v>
      </c>
      <c r="AE84" s="62" t="str">
        <f t="shared" si="11"/>
        <v>Continue</v>
      </c>
      <c r="AF84" s="9" t="str">
        <f t="shared" si="5"/>
        <v>Continue</v>
      </c>
      <c r="AG84" s="9" t="str">
        <f t="shared" si="6"/>
        <v>Continue</v>
      </c>
    </row>
    <row r="85" spans="1:33" ht="15" x14ac:dyDescent="0.2">
      <c r="A85" s="83"/>
      <c r="B85" s="84"/>
      <c r="C85" s="84"/>
      <c r="D85" s="96"/>
      <c r="E85" s="93" t="str">
        <f>IF(ISBLANK(D85),"",IF(IF(Modules!$D$4="EUR",W85*(Modules!$B$5),$W85)=0,0,IF(Modules!$D$4="EUR",W85*(Modules!$B$5),$W85)))</f>
        <v/>
      </c>
      <c r="F85" s="41"/>
      <c r="G85" s="82" t="str">
        <f>IF(NOT(ISBLANK('PAAR (EN)'!$G85)),IF('PAAR (EN)'!$G85 &lt;&gt; "",IF(PAAR!$B$10="English",'PAAR (EN)'!$G85,IF(PAAR!$B$10="Français",_xlfn.XLOOKUP('PAAR (EN)'!$G85,'Dropdown Data'!$A$365:$A$368, 'Dropdown Data'!$B$365:$B$368,0,0,1),_xlfn.XLOOKUP('PAAR (EN)'!$G85,'Dropdown Data'!$A$365:$A$368,'Dropdown Data'!$C$365:$C$368,0,0,1))),""),"")</f>
        <v/>
      </c>
      <c r="H85" s="92" t="str">
        <f>IF('PAAR (EN)'!$H85 &lt;&gt;"", 'PAAR (EN)'!$H85, "")</f>
        <v/>
      </c>
      <c r="I85" s="89" t="str">
        <f>IF('PAAR (EN)'!$I85 &lt;&gt; "", 'PAAR (EN)'!$I85, "")</f>
        <v/>
      </c>
      <c r="J85" s="15"/>
      <c r="K85" s="42" t="str">
        <f>IFERROR(VLOOKUP(B85,Modules!C:D,2,0),"")</f>
        <v/>
      </c>
      <c r="L85" s="40" t="str" cm="1">
        <f t="array" ref="L85">IFERROR(INDEX(Interventions!$F$12:$F$178,MATCH(TRUE,INDEX(Interventions!$E$12:$E$178=$C85,0),0)),0)</f>
        <v>[Name ID]</v>
      </c>
      <c r="M85" s="15" t="str">
        <f>CLEAN(IFERROR(VLOOKUP($C85,Interventions!$E$1:$K$444,7,0),""))</f>
        <v/>
      </c>
      <c r="N85" s="15" t="str">
        <f>CLEAN(IF(C85="","",CONCATENATE(Modules!$B$8,PAAR!M85,Q85)))</f>
        <v/>
      </c>
      <c r="O85" s="70">
        <f>IFERROR(INDEX('Dropdown Data'!$D$33:$D$35,MATCH(A85,'Dropdown Data'!$B$33:$B$35,0)),IFERROR(INDEX('Dropdown Data'!$D$33:$D$35,MATCH(A85,'Dropdown Data'!$C$33:$C$35,0)),A85))</f>
        <v>0</v>
      </c>
      <c r="P85" s="70" t="str">
        <f>IFERROR(INDEX('Dropdown Data'!$D$33:$D$36,MATCH(G85,'Dropdown Data'!$B$33:$B$36,0)),IFERROR(INDEX('Dropdown Data'!$D$33:$D$36,MATCH(G85,'Dropdown Data'!$C$33:$C$36,0)),G85))</f>
        <v/>
      </c>
      <c r="Q85" s="71">
        <v>57</v>
      </c>
      <c r="R85" s="71" t="b">
        <f t="shared" si="7"/>
        <v>0</v>
      </c>
      <c r="S85" s="71">
        <f t="shared" si="8"/>
        <v>10</v>
      </c>
      <c r="T85" s="71" t="e">
        <f>IFERROR(VLOOKUP(B85,Modules!$E$11:$K$52,7,0),IFERROR(VLOOKUP(B85,Modules!$F$11:$K$52,6,0),VLOOKUP(B85,Modules!$G$11:$K$52,5,0)))</f>
        <v>#N/A</v>
      </c>
      <c r="U85" s="71">
        <f>IFERROR(MATCH(T85,Interventions!C:C,0),0)</f>
        <v>0</v>
      </c>
      <c r="V85" s="71" cm="1">
        <f t="array" ref="V85">SUM(U85,COUNTIF(ModuleStart,T85)-1)</f>
        <v>-1</v>
      </c>
      <c r="W85" s="72">
        <f t="shared" si="9"/>
        <v>0</v>
      </c>
      <c r="X85" s="72" t="str">
        <f t="shared" si="10"/>
        <v/>
      </c>
      <c r="Y85" s="82" t="str">
        <f>IF(AND(AE85="Continue",AG85="Continue"),VLOOKUP($B$10,Translation[],91,0),IF(AND(AE85&lt;&gt;"Continue",AG85="Continue"),AE85,IF(AND(AG85&lt;&gt;"Continue",AE85="Continue"),AG85,CONCATENATE(AE85,CHAR(10),AG85))))</f>
        <v>No error</v>
      </c>
      <c r="Z85" s="62" t="str">
        <f>IF(OR(AND($B85&lt;&gt;"",$K85=""),AND($C85&lt;&gt;"",$L85="")),VLOOKUP($B$10,Translation[],87,0),"Continue")</f>
        <v>Continue</v>
      </c>
      <c r="AA85" s="62" t="str">
        <f>IF(AND($B85 &lt;&gt; "",$K85&lt;&gt;""),IF($K85=_xlfn.XLOOKUP(L85,Interventions!$F$11:$F$179,Interventions!$C$11:$C$179,1,0,1),"Continue",VLOOKUP($B$10,Translation[],88,0)),"Continue")</f>
        <v>Continue</v>
      </c>
      <c r="AB85" s="9" t="str">
        <f>IFERROR(IF($A85&lt;&gt;"",IF($B$10="English", IF(MATCH($A85,'Dropdown Data'!$A$361:$A$363,0)&gt;0,"Continue"), IF($B$10="Français",IF(MATCH($A85,'Dropdown Data'!$B$361:$B$363,0)&gt;0,"Continue"), IF($B$10="Español",IF(MATCH($A85,'Dropdown Data'!$C$361:$C$363,0)&gt;0,"Continue"),VLOOKUP($B$10,Translation[],89,0)))),"Continue"),VLOOKUP($B$10,Translation[],89,0))</f>
        <v>Continue</v>
      </c>
      <c r="AC85" s="62" t="str">
        <f>IF(AND(NOT(ISBLANK($D85)),(NOT(ISNUMBER($D85)))),VLOOKUP($B$10,Translation[],90,0),"Continue")</f>
        <v>Continue</v>
      </c>
      <c r="AD85" s="62" t="str">
        <f xml:space="preserve"> IFERROR(IF(INT($D85) &lt;&gt; $D85, VLOOKUP($B$10,Translation[],92,0), "Continue"),"Continue")</f>
        <v>Continue</v>
      </c>
      <c r="AE85" s="62" t="str">
        <f t="shared" si="11"/>
        <v>Continue</v>
      </c>
      <c r="AF85" s="9" t="str">
        <f t="shared" si="5"/>
        <v>Continue</v>
      </c>
      <c r="AG85" s="9" t="str">
        <f t="shared" si="6"/>
        <v>Continue</v>
      </c>
    </row>
    <row r="86" spans="1:33" ht="15" x14ac:dyDescent="0.2">
      <c r="A86" s="83"/>
      <c r="B86" s="84"/>
      <c r="C86" s="84"/>
      <c r="D86" s="96"/>
      <c r="E86" s="93" t="str">
        <f>IF(ISBLANK(D86),"",IF(IF(Modules!$D$4="EUR",W86*(Modules!$B$5),$W86)=0,0,IF(Modules!$D$4="EUR",W86*(Modules!$B$5),$W86)))</f>
        <v/>
      </c>
      <c r="F86" s="41"/>
      <c r="G86" s="82" t="str">
        <f>IF(NOT(ISBLANK('PAAR (EN)'!$G86)),IF('PAAR (EN)'!$G86 &lt;&gt; "",IF(PAAR!$B$10="English",'PAAR (EN)'!$G86,IF(PAAR!$B$10="Français",_xlfn.XLOOKUP('PAAR (EN)'!$G86,'Dropdown Data'!$A$365:$A$368, 'Dropdown Data'!$B$365:$B$368,0,0,1),_xlfn.XLOOKUP('PAAR (EN)'!$G86,'Dropdown Data'!$A$365:$A$368,'Dropdown Data'!$C$365:$C$368,0,0,1))),""),"")</f>
        <v/>
      </c>
      <c r="H86" s="92" t="str">
        <f>IF('PAAR (EN)'!$H86 &lt;&gt;"", 'PAAR (EN)'!$H86, "")</f>
        <v/>
      </c>
      <c r="I86" s="89" t="str">
        <f>IF('PAAR (EN)'!$I86 &lt;&gt; "", 'PAAR (EN)'!$I86, "")</f>
        <v/>
      </c>
      <c r="J86" s="15"/>
      <c r="K86" s="42" t="str">
        <f>IFERROR(VLOOKUP(B86,Modules!C:D,2,0),"")</f>
        <v/>
      </c>
      <c r="L86" s="40" t="str" cm="1">
        <f t="array" ref="L86">IFERROR(INDEX(Interventions!$F$12:$F$178,MATCH(TRUE,INDEX(Interventions!$E$12:$E$178=$C86,0),0)),0)</f>
        <v>[Name ID]</v>
      </c>
      <c r="M86" s="15" t="str">
        <f>CLEAN(IFERROR(VLOOKUP($C86,Interventions!$E$1:$K$444,7,0),""))</f>
        <v/>
      </c>
      <c r="N86" s="15" t="str">
        <f>CLEAN(IF(C86="","",CONCATENATE(Modules!$B$8,PAAR!M86,Q86)))</f>
        <v/>
      </c>
      <c r="O86" s="70">
        <f>IFERROR(INDEX('Dropdown Data'!$D$33:$D$35,MATCH(A86,'Dropdown Data'!$B$33:$B$35,0)),IFERROR(INDEX('Dropdown Data'!$D$33:$D$35,MATCH(A86,'Dropdown Data'!$C$33:$C$35,0)),A86))</f>
        <v>0</v>
      </c>
      <c r="P86" s="70" t="str">
        <f>IFERROR(INDEX('Dropdown Data'!$D$33:$D$36,MATCH(G86,'Dropdown Data'!$B$33:$B$36,0)),IFERROR(INDEX('Dropdown Data'!$D$33:$D$36,MATCH(G86,'Dropdown Data'!$C$33:$C$36,0)),G86))</f>
        <v/>
      </c>
      <c r="Q86" s="71">
        <v>58</v>
      </c>
      <c r="R86" s="71" t="b">
        <f t="shared" si="7"/>
        <v>0</v>
      </c>
      <c r="S86" s="71">
        <f t="shared" si="8"/>
        <v>10</v>
      </c>
      <c r="T86" s="71" t="e">
        <f>IFERROR(VLOOKUP(B86,Modules!$E$11:$K$52,7,0),IFERROR(VLOOKUP(B86,Modules!$F$11:$K$52,6,0),VLOOKUP(B86,Modules!$G$11:$K$52,5,0)))</f>
        <v>#N/A</v>
      </c>
      <c r="U86" s="71">
        <f>IFERROR(MATCH(T86,Interventions!C:C,0),0)</f>
        <v>0</v>
      </c>
      <c r="V86" s="71" cm="1">
        <f t="array" ref="V86">SUM(U86,COUNTIF(ModuleStart,T86)-1)</f>
        <v>-1</v>
      </c>
      <c r="W86" s="72">
        <f t="shared" si="9"/>
        <v>0</v>
      </c>
      <c r="X86" s="72" t="str">
        <f t="shared" si="10"/>
        <v/>
      </c>
      <c r="Y86" s="82" t="str">
        <f>IF(AND(AE86="Continue",AG86="Continue"),VLOOKUP($B$10,Translation[],91,0),IF(AND(AE86&lt;&gt;"Continue",AG86="Continue"),AE86,IF(AND(AG86&lt;&gt;"Continue",AE86="Continue"),AG86,CONCATENATE(AE86,CHAR(10),AG86))))</f>
        <v>No error</v>
      </c>
      <c r="Z86" s="62" t="str">
        <f>IF(OR(AND($B86&lt;&gt;"",$K86=""),AND($C86&lt;&gt;"",$L86="")),VLOOKUP($B$10,Translation[],87,0),"Continue")</f>
        <v>Continue</v>
      </c>
      <c r="AA86" s="62" t="str">
        <f>IF(AND($B86 &lt;&gt; "",$K86&lt;&gt;""),IF($K86=_xlfn.XLOOKUP(L86,Interventions!$F$11:$F$179,Interventions!$C$11:$C$179,1,0,1),"Continue",VLOOKUP($B$10,Translation[],88,0)),"Continue")</f>
        <v>Continue</v>
      </c>
      <c r="AB86" s="9" t="str">
        <f>IFERROR(IF($A86&lt;&gt;"",IF($B$10="English", IF(MATCH($A86,'Dropdown Data'!$A$361:$A$363,0)&gt;0,"Continue"), IF($B$10="Français",IF(MATCH($A86,'Dropdown Data'!$B$361:$B$363,0)&gt;0,"Continue"), IF($B$10="Español",IF(MATCH($A86,'Dropdown Data'!$C$361:$C$363,0)&gt;0,"Continue"),VLOOKUP($B$10,Translation[],89,0)))),"Continue"),VLOOKUP($B$10,Translation[],89,0))</f>
        <v>Continue</v>
      </c>
      <c r="AC86" s="62" t="str">
        <f>IF(AND(NOT(ISBLANK($D86)),(NOT(ISNUMBER($D86)))),VLOOKUP($B$10,Translation[],90,0),"Continue")</f>
        <v>Continue</v>
      </c>
      <c r="AD86" s="62" t="str">
        <f xml:space="preserve"> IFERROR(IF(INT($D86) &lt;&gt; $D86, VLOOKUP($B$10,Translation[],92,0), "Continue"),"Continue")</f>
        <v>Continue</v>
      </c>
      <c r="AE86" s="62" t="str">
        <f t="shared" si="11"/>
        <v>Continue</v>
      </c>
      <c r="AF86" s="9" t="str">
        <f t="shared" si="5"/>
        <v>Continue</v>
      </c>
      <c r="AG86" s="9" t="str">
        <f t="shared" si="6"/>
        <v>Continue</v>
      </c>
    </row>
    <row r="87" spans="1:33" ht="15" x14ac:dyDescent="0.2">
      <c r="A87" s="83"/>
      <c r="B87" s="84"/>
      <c r="C87" s="84"/>
      <c r="D87" s="96"/>
      <c r="E87" s="93" t="str">
        <f>IF(ISBLANK(D87),"",IF(IF(Modules!$D$4="EUR",W87*(Modules!$B$5),$W87)=0,0,IF(Modules!$D$4="EUR",W87*(Modules!$B$5),$W87)))</f>
        <v/>
      </c>
      <c r="F87" s="41"/>
      <c r="G87" s="82" t="str">
        <f>IF(NOT(ISBLANK('PAAR (EN)'!$G87)),IF('PAAR (EN)'!$G87 &lt;&gt; "",IF(PAAR!$B$10="English",'PAAR (EN)'!$G87,IF(PAAR!$B$10="Français",_xlfn.XLOOKUP('PAAR (EN)'!$G87,'Dropdown Data'!$A$365:$A$368, 'Dropdown Data'!$B$365:$B$368,0,0,1),_xlfn.XLOOKUP('PAAR (EN)'!$G87,'Dropdown Data'!$A$365:$A$368,'Dropdown Data'!$C$365:$C$368,0,0,1))),""),"")</f>
        <v/>
      </c>
      <c r="H87" s="92" t="str">
        <f>IF('PAAR (EN)'!$H87 &lt;&gt;"", 'PAAR (EN)'!$H87, "")</f>
        <v/>
      </c>
      <c r="I87" s="89" t="str">
        <f>IF('PAAR (EN)'!$I87 &lt;&gt; "", 'PAAR (EN)'!$I87, "")</f>
        <v/>
      </c>
      <c r="J87" s="15"/>
      <c r="K87" s="42" t="str">
        <f>IFERROR(VLOOKUP(B87,Modules!C:D,2,0),"")</f>
        <v/>
      </c>
      <c r="L87" s="40" t="str" cm="1">
        <f t="array" ref="L87">IFERROR(INDEX(Interventions!$F$12:$F$178,MATCH(TRUE,INDEX(Interventions!$E$12:$E$178=$C87,0),0)),0)</f>
        <v>[Name ID]</v>
      </c>
      <c r="M87" s="15" t="str">
        <f>CLEAN(IFERROR(VLOOKUP($C87,Interventions!$E$1:$K$444,7,0),""))</f>
        <v/>
      </c>
      <c r="N87" s="15" t="str">
        <f>CLEAN(IF(C87="","",CONCATENATE(Modules!$B$8,PAAR!M87,Q87)))</f>
        <v/>
      </c>
      <c r="O87" s="70">
        <f>IFERROR(INDEX('Dropdown Data'!$D$33:$D$35,MATCH(A87,'Dropdown Data'!$B$33:$B$35,0)),IFERROR(INDEX('Dropdown Data'!$D$33:$D$35,MATCH(A87,'Dropdown Data'!$C$33:$C$35,0)),A87))</f>
        <v>0</v>
      </c>
      <c r="P87" s="70" t="str">
        <f>IFERROR(INDEX('Dropdown Data'!$D$33:$D$36,MATCH(G87,'Dropdown Data'!$B$33:$B$36,0)),IFERROR(INDEX('Dropdown Data'!$D$33:$D$36,MATCH(G87,'Dropdown Data'!$C$33:$C$36,0)),G87))</f>
        <v/>
      </c>
      <c r="Q87" s="71">
        <v>59</v>
      </c>
      <c r="R87" s="71" t="b">
        <f t="shared" si="7"/>
        <v>0</v>
      </c>
      <c r="S87" s="71">
        <f t="shared" si="8"/>
        <v>10</v>
      </c>
      <c r="T87" s="71" t="e">
        <f>IFERROR(VLOOKUP(B87,Modules!$E$11:$K$52,7,0),IFERROR(VLOOKUP(B87,Modules!$F$11:$K$52,6,0),VLOOKUP(B87,Modules!$G$11:$K$52,5,0)))</f>
        <v>#N/A</v>
      </c>
      <c r="U87" s="71">
        <f>IFERROR(MATCH(T87,Interventions!C:C,0),0)</f>
        <v>0</v>
      </c>
      <c r="V87" s="71" cm="1">
        <f t="array" ref="V87">SUM(U87,COUNTIF(ModuleStart,T87)-1)</f>
        <v>-1</v>
      </c>
      <c r="W87" s="72">
        <f t="shared" si="9"/>
        <v>0</v>
      </c>
      <c r="X87" s="72" t="str">
        <f t="shared" si="10"/>
        <v/>
      </c>
      <c r="Y87" s="82" t="str">
        <f>IF(AND(AE87="Continue",AG87="Continue"),VLOOKUP($B$10,Translation[],91,0),IF(AND(AE87&lt;&gt;"Continue",AG87="Continue"),AE87,IF(AND(AG87&lt;&gt;"Continue",AE87="Continue"),AG87,CONCATENATE(AE87,CHAR(10),AG87))))</f>
        <v>No error</v>
      </c>
      <c r="Z87" s="62" t="str">
        <f>IF(OR(AND($B87&lt;&gt;"",$K87=""),AND($C87&lt;&gt;"",$L87="")),VLOOKUP($B$10,Translation[],87,0),"Continue")</f>
        <v>Continue</v>
      </c>
      <c r="AA87" s="62" t="str">
        <f>IF(AND($B87 &lt;&gt; "",$K87&lt;&gt;""),IF($K87=_xlfn.XLOOKUP(L87,Interventions!$F$11:$F$179,Interventions!$C$11:$C$179,1,0,1),"Continue",VLOOKUP($B$10,Translation[],88,0)),"Continue")</f>
        <v>Continue</v>
      </c>
      <c r="AB87" s="9" t="str">
        <f>IFERROR(IF($A87&lt;&gt;"",IF($B$10="English", IF(MATCH($A87,'Dropdown Data'!$A$361:$A$363,0)&gt;0,"Continue"), IF($B$10="Français",IF(MATCH($A87,'Dropdown Data'!$B$361:$B$363,0)&gt;0,"Continue"), IF($B$10="Español",IF(MATCH($A87,'Dropdown Data'!$C$361:$C$363,0)&gt;0,"Continue"),VLOOKUP($B$10,Translation[],89,0)))),"Continue"),VLOOKUP($B$10,Translation[],89,0))</f>
        <v>Continue</v>
      </c>
      <c r="AC87" s="62" t="str">
        <f>IF(AND(NOT(ISBLANK($D87)),(NOT(ISNUMBER($D87)))),VLOOKUP($B$10,Translation[],90,0),"Continue")</f>
        <v>Continue</v>
      </c>
      <c r="AD87" s="62" t="str">
        <f xml:space="preserve"> IFERROR(IF(INT($D87) &lt;&gt; $D87, VLOOKUP($B$10,Translation[],92,0), "Continue"),"Continue")</f>
        <v>Continue</v>
      </c>
      <c r="AE87" s="62" t="str">
        <f t="shared" si="11"/>
        <v>Continue</v>
      </c>
      <c r="AF87" s="9" t="str">
        <f t="shared" si="5"/>
        <v>Continue</v>
      </c>
      <c r="AG87" s="9" t="str">
        <f t="shared" si="6"/>
        <v>Continue</v>
      </c>
    </row>
    <row r="88" spans="1:33" ht="15" x14ac:dyDescent="0.2">
      <c r="A88" s="83"/>
      <c r="B88" s="84"/>
      <c r="C88" s="84"/>
      <c r="D88" s="96"/>
      <c r="E88" s="93" t="str">
        <f>IF(ISBLANK(D88),"",IF(IF(Modules!$D$4="EUR",W88*(Modules!$B$5),$W88)=0,0,IF(Modules!$D$4="EUR",W88*(Modules!$B$5),$W88)))</f>
        <v/>
      </c>
      <c r="F88" s="41"/>
      <c r="G88" s="82" t="str">
        <f>IF(NOT(ISBLANK('PAAR (EN)'!$G88)),IF('PAAR (EN)'!$G88 &lt;&gt; "",IF(PAAR!$B$10="English",'PAAR (EN)'!$G88,IF(PAAR!$B$10="Français",_xlfn.XLOOKUP('PAAR (EN)'!$G88,'Dropdown Data'!$A$365:$A$368, 'Dropdown Data'!$B$365:$B$368,0,0,1),_xlfn.XLOOKUP('PAAR (EN)'!$G88,'Dropdown Data'!$A$365:$A$368,'Dropdown Data'!$C$365:$C$368,0,0,1))),""),"")</f>
        <v/>
      </c>
      <c r="H88" s="92" t="str">
        <f>IF('PAAR (EN)'!$H88 &lt;&gt;"", 'PAAR (EN)'!$H88, "")</f>
        <v/>
      </c>
      <c r="I88" s="89" t="str">
        <f>IF('PAAR (EN)'!$I88 &lt;&gt; "", 'PAAR (EN)'!$I88, "")</f>
        <v/>
      </c>
      <c r="J88" s="15"/>
      <c r="K88" s="42" t="str">
        <f>IFERROR(VLOOKUP(B88,Modules!C:D,2,0),"")</f>
        <v/>
      </c>
      <c r="L88" s="40" t="str" cm="1">
        <f t="array" ref="L88">IFERROR(INDEX(Interventions!$F$12:$F$178,MATCH(TRUE,INDEX(Interventions!$E$12:$E$178=$C88,0),0)),0)</f>
        <v>[Name ID]</v>
      </c>
      <c r="M88" s="15" t="str">
        <f>CLEAN(IFERROR(VLOOKUP($C88,Interventions!$E$1:$K$444,7,0),""))</f>
        <v/>
      </c>
      <c r="N88" s="15" t="str">
        <f>CLEAN(IF(C88="","",CONCATENATE(Modules!$B$8,PAAR!M88,Q88)))</f>
        <v/>
      </c>
      <c r="O88" s="70">
        <f>IFERROR(INDEX('Dropdown Data'!$D$33:$D$35,MATCH(A88,'Dropdown Data'!$B$33:$B$35,0)),IFERROR(INDEX('Dropdown Data'!$D$33:$D$35,MATCH(A88,'Dropdown Data'!$C$33:$C$35,0)),A88))</f>
        <v>0</v>
      </c>
      <c r="P88" s="70" t="str">
        <f>IFERROR(INDEX('Dropdown Data'!$D$33:$D$36,MATCH(G88,'Dropdown Data'!$B$33:$B$36,0)),IFERROR(INDEX('Dropdown Data'!$D$33:$D$36,MATCH(G88,'Dropdown Data'!$C$33:$C$36,0)),G88))</f>
        <v/>
      </c>
      <c r="Q88" s="71">
        <v>60</v>
      </c>
      <c r="R88" s="71" t="b">
        <f t="shared" si="7"/>
        <v>0</v>
      </c>
      <c r="S88" s="71">
        <f t="shared" si="8"/>
        <v>10</v>
      </c>
      <c r="T88" s="71" t="e">
        <f>IFERROR(VLOOKUP(B88,Modules!$E$11:$K$52,7,0),IFERROR(VLOOKUP(B88,Modules!$F$11:$K$52,6,0),VLOOKUP(B88,Modules!$G$11:$K$52,5,0)))</f>
        <v>#N/A</v>
      </c>
      <c r="U88" s="71">
        <f>IFERROR(MATCH(T88,Interventions!C:C,0),0)</f>
        <v>0</v>
      </c>
      <c r="V88" s="71" cm="1">
        <f t="array" ref="V88">SUM(U88,COUNTIF(ModuleStart,T88)-1)</f>
        <v>-1</v>
      </c>
      <c r="W88" s="72">
        <f t="shared" si="9"/>
        <v>0</v>
      </c>
      <c r="X88" s="72" t="str">
        <f t="shared" si="10"/>
        <v/>
      </c>
      <c r="Y88" s="82" t="str">
        <f>IF(AND(AE88="Continue",AG88="Continue"),VLOOKUP($B$10,Translation[],91,0),IF(AND(AE88&lt;&gt;"Continue",AG88="Continue"),AE88,IF(AND(AG88&lt;&gt;"Continue",AE88="Continue"),AG88,CONCATENATE(AE88,CHAR(10),AG88))))</f>
        <v>No error</v>
      </c>
      <c r="Z88" s="62" t="str">
        <f>IF(OR(AND($B88&lt;&gt;"",$K88=""),AND($C88&lt;&gt;"",$L88="")),VLOOKUP($B$10,Translation[],87,0),"Continue")</f>
        <v>Continue</v>
      </c>
      <c r="AA88" s="62" t="str">
        <f>IF(AND($B88 &lt;&gt; "",$K88&lt;&gt;""),IF($K88=_xlfn.XLOOKUP(L88,Interventions!$F$11:$F$179,Interventions!$C$11:$C$179,1,0,1),"Continue",VLOOKUP($B$10,Translation[],88,0)),"Continue")</f>
        <v>Continue</v>
      </c>
      <c r="AB88" s="9" t="str">
        <f>IFERROR(IF($A88&lt;&gt;"",IF($B$10="English", IF(MATCH($A88,'Dropdown Data'!$A$361:$A$363,0)&gt;0,"Continue"), IF($B$10="Français",IF(MATCH($A88,'Dropdown Data'!$B$361:$B$363,0)&gt;0,"Continue"), IF($B$10="Español",IF(MATCH($A88,'Dropdown Data'!$C$361:$C$363,0)&gt;0,"Continue"),VLOOKUP($B$10,Translation[],89,0)))),"Continue"),VLOOKUP($B$10,Translation[],89,0))</f>
        <v>Continue</v>
      </c>
      <c r="AC88" s="62" t="str">
        <f>IF(AND(NOT(ISBLANK($D88)),(NOT(ISNUMBER($D88)))),VLOOKUP($B$10,Translation[],90,0),"Continue")</f>
        <v>Continue</v>
      </c>
      <c r="AD88" s="62" t="str">
        <f xml:space="preserve"> IFERROR(IF(INT($D88) &lt;&gt; $D88, VLOOKUP($B$10,Translation[],92,0), "Continue"),"Continue")</f>
        <v>Continue</v>
      </c>
      <c r="AE88" s="62" t="str">
        <f t="shared" si="11"/>
        <v>Continue</v>
      </c>
      <c r="AF88" s="9" t="str">
        <f t="shared" si="5"/>
        <v>Continue</v>
      </c>
      <c r="AG88" s="9" t="str">
        <f t="shared" si="6"/>
        <v>Continue</v>
      </c>
    </row>
    <row r="89" spans="1:33" ht="15" x14ac:dyDescent="0.2">
      <c r="A89" s="83"/>
      <c r="B89" s="84"/>
      <c r="C89" s="84"/>
      <c r="D89" s="96"/>
      <c r="E89" s="93" t="str">
        <f>IF(ISBLANK(D89),"",IF(IF(Modules!$D$4="EUR",W89*(Modules!$B$5),$W89)=0,0,IF(Modules!$D$4="EUR",W89*(Modules!$B$5),$W89)))</f>
        <v/>
      </c>
      <c r="F89" s="41"/>
      <c r="G89" s="82" t="str">
        <f>IF(NOT(ISBLANK('PAAR (EN)'!$G89)),IF('PAAR (EN)'!$G89 &lt;&gt; "",IF(PAAR!$B$10="English",'PAAR (EN)'!$G89,IF(PAAR!$B$10="Français",_xlfn.XLOOKUP('PAAR (EN)'!$G89,'Dropdown Data'!$A$365:$A$368, 'Dropdown Data'!$B$365:$B$368,0,0,1),_xlfn.XLOOKUP('PAAR (EN)'!$G89,'Dropdown Data'!$A$365:$A$368,'Dropdown Data'!$C$365:$C$368,0,0,1))),""),"")</f>
        <v/>
      </c>
      <c r="H89" s="92" t="str">
        <f>IF('PAAR (EN)'!$H89 &lt;&gt;"", 'PAAR (EN)'!$H89, "")</f>
        <v/>
      </c>
      <c r="I89" s="89" t="str">
        <f>IF('PAAR (EN)'!$I89 &lt;&gt; "", 'PAAR (EN)'!$I89, "")</f>
        <v/>
      </c>
      <c r="J89" s="15"/>
      <c r="K89" s="42" t="str">
        <f>IFERROR(VLOOKUP(B89,Modules!C:D,2,0),"")</f>
        <v/>
      </c>
      <c r="L89" s="40" t="str" cm="1">
        <f t="array" ref="L89">IFERROR(INDEX(Interventions!$F$12:$F$178,MATCH(TRUE,INDEX(Interventions!$E$12:$E$178=$C89,0),0)),0)</f>
        <v>[Name ID]</v>
      </c>
      <c r="M89" s="15" t="str">
        <f>CLEAN(IFERROR(VLOOKUP($C89,Interventions!$E$1:$K$444,7,0),""))</f>
        <v/>
      </c>
      <c r="N89" s="15" t="str">
        <f>CLEAN(IF(C89="","",CONCATENATE(Modules!$B$8,PAAR!M89,Q89)))</f>
        <v/>
      </c>
      <c r="O89" s="70">
        <f>IFERROR(INDEX('Dropdown Data'!$D$33:$D$35,MATCH(A89,'Dropdown Data'!$B$33:$B$35,0)),IFERROR(INDEX('Dropdown Data'!$D$33:$D$35,MATCH(A89,'Dropdown Data'!$C$33:$C$35,0)),A89))</f>
        <v>0</v>
      </c>
      <c r="P89" s="70" t="str">
        <f>IFERROR(INDEX('Dropdown Data'!$D$33:$D$36,MATCH(G89,'Dropdown Data'!$B$33:$B$36,0)),IFERROR(INDEX('Dropdown Data'!$D$33:$D$36,MATCH(G89,'Dropdown Data'!$C$33:$C$36,0)),G89))</f>
        <v/>
      </c>
      <c r="Q89" s="71">
        <v>61</v>
      </c>
      <c r="R89" s="71" t="b">
        <f t="shared" si="7"/>
        <v>0</v>
      </c>
      <c r="S89" s="71">
        <f t="shared" si="8"/>
        <v>10</v>
      </c>
      <c r="T89" s="71" t="e">
        <f>IFERROR(VLOOKUP(B89,Modules!$E$11:$K$52,7,0),IFERROR(VLOOKUP(B89,Modules!$F$11:$K$52,6,0),VLOOKUP(B89,Modules!$G$11:$K$52,5,0)))</f>
        <v>#N/A</v>
      </c>
      <c r="U89" s="71">
        <f>IFERROR(MATCH(T89,Interventions!C:C,0),0)</f>
        <v>0</v>
      </c>
      <c r="V89" s="71" cm="1">
        <f t="array" ref="V89">SUM(U89,COUNTIF(ModuleStart,T89)-1)</f>
        <v>-1</v>
      </c>
      <c r="W89" s="72">
        <f t="shared" si="9"/>
        <v>0</v>
      </c>
      <c r="X89" s="72" t="str">
        <f t="shared" si="10"/>
        <v/>
      </c>
      <c r="Y89" s="82" t="str">
        <f>IF(AND(AE89="Continue",AG89="Continue"),VLOOKUP($B$10,Translation[],91,0),IF(AND(AE89&lt;&gt;"Continue",AG89="Continue"),AE89,IF(AND(AG89&lt;&gt;"Continue",AE89="Continue"),AG89,CONCATENATE(AE89,CHAR(10),AG89))))</f>
        <v>No error</v>
      </c>
      <c r="Z89" s="62" t="str">
        <f>IF(OR(AND($B89&lt;&gt;"",$K89=""),AND($C89&lt;&gt;"",$L89="")),VLOOKUP($B$10,Translation[],87,0),"Continue")</f>
        <v>Continue</v>
      </c>
      <c r="AA89" s="62" t="str">
        <f>IF(AND($B89 &lt;&gt; "",$K89&lt;&gt;""),IF($K89=_xlfn.XLOOKUP(L89,Interventions!$F$11:$F$179,Interventions!$C$11:$C$179,1,0,1),"Continue",VLOOKUP($B$10,Translation[],88,0)),"Continue")</f>
        <v>Continue</v>
      </c>
      <c r="AB89" s="9" t="str">
        <f>IFERROR(IF($A89&lt;&gt;"",IF($B$10="English", IF(MATCH($A89,'Dropdown Data'!$A$361:$A$363,0)&gt;0,"Continue"), IF($B$10="Français",IF(MATCH($A89,'Dropdown Data'!$B$361:$B$363,0)&gt;0,"Continue"), IF($B$10="Español",IF(MATCH($A89,'Dropdown Data'!$C$361:$C$363,0)&gt;0,"Continue"),VLOOKUP($B$10,Translation[],89,0)))),"Continue"),VLOOKUP($B$10,Translation[],89,0))</f>
        <v>Continue</v>
      </c>
      <c r="AC89" s="62" t="str">
        <f>IF(AND(NOT(ISBLANK($D89)),(NOT(ISNUMBER($D89)))),VLOOKUP($B$10,Translation[],90,0),"Continue")</f>
        <v>Continue</v>
      </c>
      <c r="AD89" s="62" t="str">
        <f xml:space="preserve"> IFERROR(IF(INT($D89) &lt;&gt; $D89, VLOOKUP($B$10,Translation[],92,0), "Continue"),"Continue")</f>
        <v>Continue</v>
      </c>
      <c r="AE89" s="62" t="str">
        <f t="shared" si="11"/>
        <v>Continue</v>
      </c>
      <c r="AF89" s="9" t="str">
        <f t="shared" si="5"/>
        <v>Continue</v>
      </c>
      <c r="AG89" s="9" t="str">
        <f t="shared" si="6"/>
        <v>Continue</v>
      </c>
    </row>
    <row r="90" spans="1:33" ht="15" x14ac:dyDescent="0.2">
      <c r="A90" s="83"/>
      <c r="B90" s="84"/>
      <c r="C90" s="84"/>
      <c r="D90" s="96"/>
      <c r="E90" s="93" t="str">
        <f>IF(ISBLANK(D90),"",IF(IF(Modules!$D$4="EUR",W90*(Modules!$B$5),$W90)=0,0,IF(Modules!$D$4="EUR",W90*(Modules!$B$5),$W90)))</f>
        <v/>
      </c>
      <c r="F90" s="41"/>
      <c r="G90" s="82" t="str">
        <f>IF(NOT(ISBLANK('PAAR (EN)'!$G90)),IF('PAAR (EN)'!$G90 &lt;&gt; "",IF(PAAR!$B$10="English",'PAAR (EN)'!$G90,IF(PAAR!$B$10="Français",_xlfn.XLOOKUP('PAAR (EN)'!$G90,'Dropdown Data'!$A$365:$A$368, 'Dropdown Data'!$B$365:$B$368,0,0,1),_xlfn.XLOOKUP('PAAR (EN)'!$G90,'Dropdown Data'!$A$365:$A$368,'Dropdown Data'!$C$365:$C$368,0,0,1))),""),"")</f>
        <v/>
      </c>
      <c r="H90" s="92" t="str">
        <f>IF('PAAR (EN)'!$H90 &lt;&gt;"", 'PAAR (EN)'!$H90, "")</f>
        <v/>
      </c>
      <c r="I90" s="89" t="str">
        <f>IF('PAAR (EN)'!$I90 &lt;&gt; "", 'PAAR (EN)'!$I90, "")</f>
        <v/>
      </c>
      <c r="J90" s="15"/>
      <c r="K90" s="42" t="str">
        <f>IFERROR(VLOOKUP(B90,Modules!C:D,2,0),"")</f>
        <v/>
      </c>
      <c r="L90" s="40" t="str" cm="1">
        <f t="array" ref="L90">IFERROR(INDEX(Interventions!$F$12:$F$178,MATCH(TRUE,INDEX(Interventions!$E$12:$E$178=$C90,0),0)),0)</f>
        <v>[Name ID]</v>
      </c>
      <c r="M90" s="15" t="str">
        <f>CLEAN(IFERROR(VLOOKUP($C90,Interventions!$E$1:$K$444,7,0),""))</f>
        <v/>
      </c>
      <c r="N90" s="15" t="str">
        <f>CLEAN(IF(C90="","",CONCATENATE(Modules!$B$8,PAAR!M90,Q90)))</f>
        <v/>
      </c>
      <c r="O90" s="70">
        <f>IFERROR(INDEX('Dropdown Data'!$D$33:$D$35,MATCH(A90,'Dropdown Data'!$B$33:$B$35,0)),IFERROR(INDEX('Dropdown Data'!$D$33:$D$35,MATCH(A90,'Dropdown Data'!$C$33:$C$35,0)),A90))</f>
        <v>0</v>
      </c>
      <c r="P90" s="70" t="str">
        <f>IFERROR(INDEX('Dropdown Data'!$D$33:$D$36,MATCH(G90,'Dropdown Data'!$B$33:$B$36,0)),IFERROR(INDEX('Dropdown Data'!$D$33:$D$36,MATCH(G90,'Dropdown Data'!$C$33:$C$36,0)),G90))</f>
        <v/>
      </c>
      <c r="Q90" s="71">
        <v>62</v>
      </c>
      <c r="R90" s="71" t="b">
        <f t="shared" si="7"/>
        <v>0</v>
      </c>
      <c r="S90" s="71">
        <f t="shared" si="8"/>
        <v>10</v>
      </c>
      <c r="T90" s="71" t="e">
        <f>IFERROR(VLOOKUP(B90,Modules!$E$11:$K$52,7,0),IFERROR(VLOOKUP(B90,Modules!$F$11:$K$52,6,0),VLOOKUP(B90,Modules!$G$11:$K$52,5,0)))</f>
        <v>#N/A</v>
      </c>
      <c r="U90" s="71">
        <f>IFERROR(MATCH(T90,Interventions!C:C,0),0)</f>
        <v>0</v>
      </c>
      <c r="V90" s="71" cm="1">
        <f t="array" ref="V90">SUM(U90,COUNTIF(ModuleStart,T90)-1)</f>
        <v>-1</v>
      </c>
      <c r="W90" s="72">
        <f t="shared" si="9"/>
        <v>0</v>
      </c>
      <c r="X90" s="72" t="str">
        <f t="shared" si="10"/>
        <v/>
      </c>
      <c r="Y90" s="82" t="str">
        <f>IF(AND(AE90="Continue",AG90="Continue"),VLOOKUP($B$10,Translation[],91,0),IF(AND(AE90&lt;&gt;"Continue",AG90="Continue"),AE90,IF(AND(AG90&lt;&gt;"Continue",AE90="Continue"),AG90,CONCATENATE(AE90,CHAR(10),AG90))))</f>
        <v>No error</v>
      </c>
      <c r="Z90" s="62" t="str">
        <f>IF(OR(AND($B90&lt;&gt;"",$K90=""),AND($C90&lt;&gt;"",$L90="")),VLOOKUP($B$10,Translation[],87,0),"Continue")</f>
        <v>Continue</v>
      </c>
      <c r="AA90" s="62" t="str">
        <f>IF(AND($B90 &lt;&gt; "",$K90&lt;&gt;""),IF($K90=_xlfn.XLOOKUP(L90,Interventions!$F$11:$F$179,Interventions!$C$11:$C$179,1,0,1),"Continue",VLOOKUP($B$10,Translation[],88,0)),"Continue")</f>
        <v>Continue</v>
      </c>
      <c r="AB90" s="9" t="str">
        <f>IFERROR(IF($A90&lt;&gt;"",IF($B$10="English", IF(MATCH($A90,'Dropdown Data'!$A$361:$A$363,0)&gt;0,"Continue"), IF($B$10="Français",IF(MATCH($A90,'Dropdown Data'!$B$361:$B$363,0)&gt;0,"Continue"), IF($B$10="Español",IF(MATCH($A90,'Dropdown Data'!$C$361:$C$363,0)&gt;0,"Continue"),VLOOKUP($B$10,Translation[],89,0)))),"Continue"),VLOOKUP($B$10,Translation[],89,0))</f>
        <v>Continue</v>
      </c>
      <c r="AC90" s="62" t="str">
        <f>IF(AND(NOT(ISBLANK($D90)),(NOT(ISNUMBER($D90)))),VLOOKUP($B$10,Translation[],90,0),"Continue")</f>
        <v>Continue</v>
      </c>
      <c r="AD90" s="62" t="str">
        <f xml:space="preserve"> IFERROR(IF(INT($D90) &lt;&gt; $D90, VLOOKUP($B$10,Translation[],92,0), "Continue"),"Continue")</f>
        <v>Continue</v>
      </c>
      <c r="AE90" s="62" t="str">
        <f t="shared" si="11"/>
        <v>Continue</v>
      </c>
      <c r="AF90" s="9" t="str">
        <f t="shared" si="5"/>
        <v>Continue</v>
      </c>
      <c r="AG90" s="9" t="str">
        <f t="shared" si="6"/>
        <v>Continue</v>
      </c>
    </row>
    <row r="91" spans="1:33" ht="15" x14ac:dyDescent="0.2">
      <c r="A91" s="83"/>
      <c r="B91" s="84"/>
      <c r="C91" s="84"/>
      <c r="D91" s="96"/>
      <c r="E91" s="93" t="str">
        <f>IF(ISBLANK(D91),"",IF(IF(Modules!$D$4="EUR",W91*(Modules!$B$5),$W91)=0,0,IF(Modules!$D$4="EUR",W91*(Modules!$B$5),$W91)))</f>
        <v/>
      </c>
      <c r="F91" s="41"/>
      <c r="G91" s="82" t="str">
        <f>IF(NOT(ISBLANK('PAAR (EN)'!$G91)),IF('PAAR (EN)'!$G91 &lt;&gt; "",IF(PAAR!$B$10="English",'PAAR (EN)'!$G91,IF(PAAR!$B$10="Français",_xlfn.XLOOKUP('PAAR (EN)'!$G91,'Dropdown Data'!$A$365:$A$368, 'Dropdown Data'!$B$365:$B$368,0,0,1),_xlfn.XLOOKUP('PAAR (EN)'!$G91,'Dropdown Data'!$A$365:$A$368,'Dropdown Data'!$C$365:$C$368,0,0,1))),""),"")</f>
        <v/>
      </c>
      <c r="H91" s="92" t="str">
        <f>IF('PAAR (EN)'!$H91 &lt;&gt;"", 'PAAR (EN)'!$H91, "")</f>
        <v/>
      </c>
      <c r="I91" s="89" t="str">
        <f>IF('PAAR (EN)'!$I91 &lt;&gt; "", 'PAAR (EN)'!$I91, "")</f>
        <v/>
      </c>
      <c r="J91" s="15"/>
      <c r="K91" s="42" t="str">
        <f>IFERROR(VLOOKUP(B91,Modules!C:D,2,0),"")</f>
        <v/>
      </c>
      <c r="L91" s="40" t="str" cm="1">
        <f t="array" ref="L91">IFERROR(INDEX(Interventions!$F$12:$F$178,MATCH(TRUE,INDEX(Interventions!$E$12:$E$178=$C91,0),0)),0)</f>
        <v>[Name ID]</v>
      </c>
      <c r="M91" s="15" t="str">
        <f>CLEAN(IFERROR(VLOOKUP($C91,Interventions!$E$1:$K$444,7,0),""))</f>
        <v/>
      </c>
      <c r="N91" s="15" t="str">
        <f>CLEAN(IF(C91="","",CONCATENATE(Modules!$B$8,PAAR!M91,Q91)))</f>
        <v/>
      </c>
      <c r="O91" s="70">
        <f>IFERROR(INDEX('Dropdown Data'!$D$33:$D$35,MATCH(A91,'Dropdown Data'!$B$33:$B$35,0)),IFERROR(INDEX('Dropdown Data'!$D$33:$D$35,MATCH(A91,'Dropdown Data'!$C$33:$C$35,0)),A91))</f>
        <v>0</v>
      </c>
      <c r="P91" s="70" t="str">
        <f>IFERROR(INDEX('Dropdown Data'!$D$33:$D$36,MATCH(G91,'Dropdown Data'!$B$33:$B$36,0)),IFERROR(INDEX('Dropdown Data'!$D$33:$D$36,MATCH(G91,'Dropdown Data'!$C$33:$C$36,0)),G91))</f>
        <v/>
      </c>
      <c r="Q91" s="71">
        <v>63</v>
      </c>
      <c r="R91" s="71" t="b">
        <f t="shared" si="7"/>
        <v>0</v>
      </c>
      <c r="S91" s="71">
        <f t="shared" si="8"/>
        <v>10</v>
      </c>
      <c r="T91" s="71" t="e">
        <f>IFERROR(VLOOKUP(B91,Modules!$E$11:$K$52,7,0),IFERROR(VLOOKUP(B91,Modules!$F$11:$K$52,6,0),VLOOKUP(B91,Modules!$G$11:$K$52,5,0)))</f>
        <v>#N/A</v>
      </c>
      <c r="U91" s="71">
        <f>IFERROR(MATCH(T91,Interventions!C:C,0),0)</f>
        <v>0</v>
      </c>
      <c r="V91" s="71" cm="1">
        <f t="array" ref="V91">SUM(U91,COUNTIF(ModuleStart,T91)-1)</f>
        <v>-1</v>
      </c>
      <c r="W91" s="72">
        <f t="shared" si="9"/>
        <v>0</v>
      </c>
      <c r="X91" s="72" t="str">
        <f t="shared" si="10"/>
        <v/>
      </c>
      <c r="Y91" s="82" t="str">
        <f>IF(AND(AE91="Continue",AG91="Continue"),VLOOKUP($B$10,Translation[],91,0),IF(AND(AE91&lt;&gt;"Continue",AG91="Continue"),AE91,IF(AND(AG91&lt;&gt;"Continue",AE91="Continue"),AG91,CONCATENATE(AE91,CHAR(10),AG91))))</f>
        <v>No error</v>
      </c>
      <c r="Z91" s="62" t="str">
        <f>IF(OR(AND($B91&lt;&gt;"",$K91=""),AND($C91&lt;&gt;"",$L91="")),VLOOKUP($B$10,Translation[],87,0),"Continue")</f>
        <v>Continue</v>
      </c>
      <c r="AA91" s="62" t="str">
        <f>IF(AND($B91 &lt;&gt; "",$K91&lt;&gt;""),IF($K91=_xlfn.XLOOKUP(L91,Interventions!$F$11:$F$179,Interventions!$C$11:$C$179,1,0,1),"Continue",VLOOKUP($B$10,Translation[],88,0)),"Continue")</f>
        <v>Continue</v>
      </c>
      <c r="AB91" s="9" t="str">
        <f>IFERROR(IF($A91&lt;&gt;"",IF($B$10="English", IF(MATCH($A91,'Dropdown Data'!$A$361:$A$363,0)&gt;0,"Continue"), IF($B$10="Français",IF(MATCH($A91,'Dropdown Data'!$B$361:$B$363,0)&gt;0,"Continue"), IF($B$10="Español",IF(MATCH($A91,'Dropdown Data'!$C$361:$C$363,0)&gt;0,"Continue"),VLOOKUP($B$10,Translation[],89,0)))),"Continue"),VLOOKUP($B$10,Translation[],89,0))</f>
        <v>Continue</v>
      </c>
      <c r="AC91" s="62" t="str">
        <f>IF(AND(NOT(ISBLANK($D91)),(NOT(ISNUMBER($D91)))),VLOOKUP($B$10,Translation[],90,0),"Continue")</f>
        <v>Continue</v>
      </c>
      <c r="AD91" s="62" t="str">
        <f xml:space="preserve"> IFERROR(IF(INT($D91) &lt;&gt; $D91, VLOOKUP($B$10,Translation[],92,0), "Continue"),"Continue")</f>
        <v>Continue</v>
      </c>
      <c r="AE91" s="62" t="str">
        <f t="shared" si="11"/>
        <v>Continue</v>
      </c>
      <c r="AF91" s="9" t="str">
        <f t="shared" si="5"/>
        <v>Continue</v>
      </c>
      <c r="AG91" s="9" t="str">
        <f t="shared" si="6"/>
        <v>Continue</v>
      </c>
    </row>
    <row r="92" spans="1:33" ht="15" x14ac:dyDescent="0.2">
      <c r="A92" s="83"/>
      <c r="B92" s="84"/>
      <c r="C92" s="84"/>
      <c r="D92" s="96"/>
      <c r="E92" s="93" t="str">
        <f>IF(ISBLANK(D92),"",IF(IF(Modules!$D$4="EUR",W92*(Modules!$B$5),$W92)=0,0,IF(Modules!$D$4="EUR",W92*(Modules!$B$5),$W92)))</f>
        <v/>
      </c>
      <c r="F92" s="41"/>
      <c r="G92" s="82" t="str">
        <f>IF(NOT(ISBLANK('PAAR (EN)'!$G92)),IF('PAAR (EN)'!$G92 &lt;&gt; "",IF(PAAR!$B$10="English",'PAAR (EN)'!$G92,IF(PAAR!$B$10="Français",_xlfn.XLOOKUP('PAAR (EN)'!$G92,'Dropdown Data'!$A$365:$A$368, 'Dropdown Data'!$B$365:$B$368,0,0,1),_xlfn.XLOOKUP('PAAR (EN)'!$G92,'Dropdown Data'!$A$365:$A$368,'Dropdown Data'!$C$365:$C$368,0,0,1))),""),"")</f>
        <v/>
      </c>
      <c r="H92" s="92" t="str">
        <f>IF('PAAR (EN)'!$H92 &lt;&gt;"", 'PAAR (EN)'!$H92, "")</f>
        <v/>
      </c>
      <c r="I92" s="89" t="str">
        <f>IF('PAAR (EN)'!$I92 &lt;&gt; "", 'PAAR (EN)'!$I92, "")</f>
        <v/>
      </c>
      <c r="J92" s="15"/>
      <c r="K92" s="42" t="str">
        <f>IFERROR(VLOOKUP(B92,Modules!C:D,2,0),"")</f>
        <v/>
      </c>
      <c r="L92" s="40" t="str" cm="1">
        <f t="array" ref="L92">IFERROR(INDEX(Interventions!$F$12:$F$178,MATCH(TRUE,INDEX(Interventions!$E$12:$E$178=$C92,0),0)),0)</f>
        <v>[Name ID]</v>
      </c>
      <c r="M92" s="15" t="str">
        <f>CLEAN(IFERROR(VLOOKUP($C92,Interventions!$E$1:$K$444,7,0),""))</f>
        <v/>
      </c>
      <c r="N92" s="15" t="str">
        <f>CLEAN(IF(C92="","",CONCATENATE(Modules!$B$8,PAAR!M92,Q92)))</f>
        <v/>
      </c>
      <c r="O92" s="70">
        <f>IFERROR(INDEX('Dropdown Data'!$D$33:$D$35,MATCH(A92,'Dropdown Data'!$B$33:$B$35,0)),IFERROR(INDEX('Dropdown Data'!$D$33:$D$35,MATCH(A92,'Dropdown Data'!$C$33:$C$35,0)),A92))</f>
        <v>0</v>
      </c>
      <c r="P92" s="70" t="str">
        <f>IFERROR(INDEX('Dropdown Data'!$D$33:$D$36,MATCH(G92,'Dropdown Data'!$B$33:$B$36,0)),IFERROR(INDEX('Dropdown Data'!$D$33:$D$36,MATCH(G92,'Dropdown Data'!$C$33:$C$36,0)),G92))</f>
        <v/>
      </c>
      <c r="Q92" s="71">
        <v>64</v>
      </c>
      <c r="R92" s="71" t="b">
        <f t="shared" si="7"/>
        <v>0</v>
      </c>
      <c r="S92" s="71">
        <f t="shared" si="8"/>
        <v>10</v>
      </c>
      <c r="T92" s="71" t="e">
        <f>IFERROR(VLOOKUP(B92,Modules!$E$11:$K$52,7,0),IFERROR(VLOOKUP(B92,Modules!$F$11:$K$52,6,0),VLOOKUP(B92,Modules!$G$11:$K$52,5,0)))</f>
        <v>#N/A</v>
      </c>
      <c r="U92" s="71">
        <f>IFERROR(MATCH(T92,Interventions!C:C,0),0)</f>
        <v>0</v>
      </c>
      <c r="V92" s="71" cm="1">
        <f t="array" ref="V92">SUM(U92,COUNTIF(ModuleStart,T92)-1)</f>
        <v>-1</v>
      </c>
      <c r="W92" s="72">
        <f t="shared" si="9"/>
        <v>0</v>
      </c>
      <c r="X92" s="72" t="str">
        <f t="shared" si="10"/>
        <v/>
      </c>
      <c r="Y92" s="82" t="str">
        <f>IF(AND(AE92="Continue",AG92="Continue"),VLOOKUP($B$10,Translation[],91,0),IF(AND(AE92&lt;&gt;"Continue",AG92="Continue"),AE92,IF(AND(AG92&lt;&gt;"Continue",AE92="Continue"),AG92,CONCATENATE(AE92,CHAR(10),AG92))))</f>
        <v>No error</v>
      </c>
      <c r="Z92" s="62" t="str">
        <f>IF(OR(AND($B92&lt;&gt;"",$K92=""),AND($C92&lt;&gt;"",$L92="")),VLOOKUP($B$10,Translation[],87,0),"Continue")</f>
        <v>Continue</v>
      </c>
      <c r="AA92" s="62" t="str">
        <f>IF(AND($B92 &lt;&gt; "",$K92&lt;&gt;""),IF($K92=_xlfn.XLOOKUP(L92,Interventions!$F$11:$F$179,Interventions!$C$11:$C$179,1,0,1),"Continue",VLOOKUP($B$10,Translation[],88,0)),"Continue")</f>
        <v>Continue</v>
      </c>
      <c r="AB92" s="9" t="str">
        <f>IFERROR(IF($A92&lt;&gt;"",IF($B$10="English", IF(MATCH($A92,'Dropdown Data'!$A$361:$A$363,0)&gt;0,"Continue"), IF($B$10="Français",IF(MATCH($A92,'Dropdown Data'!$B$361:$B$363,0)&gt;0,"Continue"), IF($B$10="Español",IF(MATCH($A92,'Dropdown Data'!$C$361:$C$363,0)&gt;0,"Continue"),VLOOKUP($B$10,Translation[],89,0)))),"Continue"),VLOOKUP($B$10,Translation[],89,0))</f>
        <v>Continue</v>
      </c>
      <c r="AC92" s="62" t="str">
        <f>IF(AND(NOT(ISBLANK($D92)),(NOT(ISNUMBER($D92)))),VLOOKUP($B$10,Translation[],90,0),"Continue")</f>
        <v>Continue</v>
      </c>
      <c r="AD92" s="62" t="str">
        <f xml:space="preserve"> IFERROR(IF(INT($D92) &lt;&gt; $D92, VLOOKUP($B$10,Translation[],92,0), "Continue"),"Continue")</f>
        <v>Continue</v>
      </c>
      <c r="AE92" s="62" t="str">
        <f t="shared" si="11"/>
        <v>Continue</v>
      </c>
      <c r="AF92" s="9" t="str">
        <f t="shared" si="5"/>
        <v>Continue</v>
      </c>
      <c r="AG92" s="9" t="str">
        <f t="shared" si="6"/>
        <v>Continue</v>
      </c>
    </row>
    <row r="93" spans="1:33" ht="15" x14ac:dyDescent="0.2">
      <c r="A93" s="83"/>
      <c r="B93" s="84"/>
      <c r="C93" s="84"/>
      <c r="D93" s="96"/>
      <c r="E93" s="93" t="str">
        <f>IF(ISBLANK(D93),"",IF(IF(Modules!$D$4="EUR",W93*(Modules!$B$5),$W93)=0,0,IF(Modules!$D$4="EUR",W93*(Modules!$B$5),$W93)))</f>
        <v/>
      </c>
      <c r="F93" s="41"/>
      <c r="G93" s="82" t="str">
        <f>IF(NOT(ISBLANK('PAAR (EN)'!$G93)),IF('PAAR (EN)'!$G93 &lt;&gt; "",IF(PAAR!$B$10="English",'PAAR (EN)'!$G93,IF(PAAR!$B$10="Français",_xlfn.XLOOKUP('PAAR (EN)'!$G93,'Dropdown Data'!$A$365:$A$368, 'Dropdown Data'!$B$365:$B$368,0,0,1),_xlfn.XLOOKUP('PAAR (EN)'!$G93,'Dropdown Data'!$A$365:$A$368,'Dropdown Data'!$C$365:$C$368,0,0,1))),""),"")</f>
        <v/>
      </c>
      <c r="H93" s="92" t="str">
        <f>IF('PAAR (EN)'!$H93 &lt;&gt;"", 'PAAR (EN)'!$H93, "")</f>
        <v/>
      </c>
      <c r="I93" s="89" t="str">
        <f>IF('PAAR (EN)'!$I93 &lt;&gt; "", 'PAAR (EN)'!$I93, "")</f>
        <v/>
      </c>
      <c r="J93" s="15"/>
      <c r="K93" s="42" t="str">
        <f>IFERROR(VLOOKUP(B93,Modules!C:D,2,0),"")</f>
        <v/>
      </c>
      <c r="L93" s="40" t="str" cm="1">
        <f t="array" ref="L93">IFERROR(INDEX(Interventions!$F$12:$F$178,MATCH(TRUE,INDEX(Interventions!$E$12:$E$178=$C93,0),0)),0)</f>
        <v>[Name ID]</v>
      </c>
      <c r="M93" s="15" t="str">
        <f>CLEAN(IFERROR(VLOOKUP($C93,Interventions!$E$1:$K$444,7,0),""))</f>
        <v/>
      </c>
      <c r="N93" s="15" t="str">
        <f>CLEAN(IF(C93="","",CONCATENATE(Modules!$B$8,PAAR!M93,Q93)))</f>
        <v/>
      </c>
      <c r="O93" s="70">
        <f>IFERROR(INDEX('Dropdown Data'!$D$33:$D$35,MATCH(A93,'Dropdown Data'!$B$33:$B$35,0)),IFERROR(INDEX('Dropdown Data'!$D$33:$D$35,MATCH(A93,'Dropdown Data'!$C$33:$C$35,0)),A93))</f>
        <v>0</v>
      </c>
      <c r="P93" s="70" t="str">
        <f>IFERROR(INDEX('Dropdown Data'!$D$33:$D$36,MATCH(G93,'Dropdown Data'!$B$33:$B$36,0)),IFERROR(INDEX('Dropdown Data'!$D$33:$D$36,MATCH(G93,'Dropdown Data'!$C$33:$C$36,0)),G93))</f>
        <v/>
      </c>
      <c r="Q93" s="71">
        <v>65</v>
      </c>
      <c r="R93" s="71" t="b">
        <f t="shared" ref="R93:R116" si="12">IF(AND($B$17&gt;0,NOT(ISBLANK(E93)),(OR(ISBLANK(G93),ISBLANK(I93)))),TRUE,FALSE)</f>
        <v>0</v>
      </c>
      <c r="S93" s="71">
        <f t="shared" ref="S93:S116" si="13">COUNTBLANK(A93:J93)</f>
        <v>10</v>
      </c>
      <c r="T93" s="71" t="e">
        <f>IFERROR(VLOOKUP(B93,Modules!$E$11:$K$52,7,0),IFERROR(VLOOKUP(B93,Modules!$F$11:$K$52,6,0),VLOOKUP(B93,Modules!$G$11:$K$52,5,0)))</f>
        <v>#N/A</v>
      </c>
      <c r="U93" s="71">
        <f>IFERROR(MATCH(T93,Interventions!C:C,0),0)</f>
        <v>0</v>
      </c>
      <c r="V93" s="71" cm="1">
        <f t="array" ref="V93">SUM(U93,COUNTIF(ModuleStart,T93)-1)</f>
        <v>-1</v>
      </c>
      <c r="W93" s="72">
        <f t="shared" ref="W93:W116" si="14">ROUND(D93,0)</f>
        <v>0</v>
      </c>
      <c r="X93" s="72" t="str">
        <f t="shared" ref="X93:X116" si="15">IFERROR(ROUND(E93,0),"")</f>
        <v/>
      </c>
      <c r="Y93" s="82" t="str">
        <f>IF(AND(AE93="Continue",AG93="Continue"),VLOOKUP($B$10,Translation[],91,0),IF(AND(AE93&lt;&gt;"Continue",AG93="Continue"),AE93,IF(AND(AG93&lt;&gt;"Continue",AE93="Continue"),AG93,CONCATENATE(AE93,CHAR(10),AG93))))</f>
        <v>No error</v>
      </c>
      <c r="Z93" s="62" t="str">
        <f>IF(OR(AND($B93&lt;&gt;"",$K93=""),AND($C93&lt;&gt;"",$L93="")),VLOOKUP($B$10,Translation[],87,0),"Continue")</f>
        <v>Continue</v>
      </c>
      <c r="AA93" s="62" t="str">
        <f>IF(AND($B93 &lt;&gt; "",$K93&lt;&gt;""),IF($K93=_xlfn.XLOOKUP(L93,Interventions!$F$11:$F$179,Interventions!$C$11:$C$179,1,0,1),"Continue",VLOOKUP($B$10,Translation[],88,0)),"Continue")</f>
        <v>Continue</v>
      </c>
      <c r="AB93" s="9" t="str">
        <f>IFERROR(IF($A93&lt;&gt;"",IF($B$10="English", IF(MATCH($A93,'Dropdown Data'!$A$361:$A$363,0)&gt;0,"Continue"), IF($B$10="Français",IF(MATCH($A93,'Dropdown Data'!$B$361:$B$363,0)&gt;0,"Continue"), IF($B$10="Español",IF(MATCH($A93,'Dropdown Data'!$C$361:$C$363,0)&gt;0,"Continue"),VLOOKUP($B$10,Translation[],89,0)))),"Continue"),VLOOKUP($B$10,Translation[],89,0))</f>
        <v>Continue</v>
      </c>
      <c r="AC93" s="62" t="str">
        <f>IF(AND(NOT(ISBLANK($D93)),(NOT(ISNUMBER($D93)))),VLOOKUP($B$10,Translation[],90,0),"Continue")</f>
        <v>Continue</v>
      </c>
      <c r="AD93" s="62" t="str">
        <f xml:space="preserve"> IFERROR(IF(INT($D93) &lt;&gt; $D93, VLOOKUP($B$10,Translation[],92,0), "Continue"),"Continue")</f>
        <v>Continue</v>
      </c>
      <c r="AE93" s="62" t="str">
        <f t="shared" ref="AE93:AE116" si="16">IF(AND(Z93="Continue",AA93="Continue"),"Continue",IF(AND(Z93&lt;&gt;"Continue",AA93="Continue"),Z93,IF(AND(AA93&lt;&gt;"Continue",Z93="Continue"),AA93,CONCATENATE(Z93,CHAR(10),AA93))))</f>
        <v>Continue</v>
      </c>
      <c r="AF93" s="9" t="str">
        <f t="shared" si="5"/>
        <v>Continue</v>
      </c>
      <c r="AG93" s="9" t="str">
        <f t="shared" si="6"/>
        <v>Continue</v>
      </c>
    </row>
    <row r="94" spans="1:33" ht="15" x14ac:dyDescent="0.2">
      <c r="A94" s="83"/>
      <c r="B94" s="84"/>
      <c r="C94" s="84"/>
      <c r="D94" s="96"/>
      <c r="E94" s="93" t="str">
        <f>IF(ISBLANK(D94),"",IF(IF(Modules!$D$4="EUR",W94*(Modules!$B$5),$W94)=0,0,IF(Modules!$D$4="EUR",W94*(Modules!$B$5),$W94)))</f>
        <v/>
      </c>
      <c r="F94" s="41"/>
      <c r="G94" s="82" t="str">
        <f>IF(NOT(ISBLANK('PAAR (EN)'!$G94)),IF('PAAR (EN)'!$G94 &lt;&gt; "",IF(PAAR!$B$10="English",'PAAR (EN)'!$G94,IF(PAAR!$B$10="Français",_xlfn.XLOOKUP('PAAR (EN)'!$G94,'Dropdown Data'!$A$365:$A$368, 'Dropdown Data'!$B$365:$B$368,0,0,1),_xlfn.XLOOKUP('PAAR (EN)'!$G94,'Dropdown Data'!$A$365:$A$368,'Dropdown Data'!$C$365:$C$368,0,0,1))),""),"")</f>
        <v/>
      </c>
      <c r="H94" s="92" t="str">
        <f>IF('PAAR (EN)'!$H94 &lt;&gt;"", 'PAAR (EN)'!$H94, "")</f>
        <v/>
      </c>
      <c r="I94" s="89" t="str">
        <f>IF('PAAR (EN)'!$I94 &lt;&gt; "", 'PAAR (EN)'!$I94, "")</f>
        <v/>
      </c>
      <c r="J94" s="15"/>
      <c r="K94" s="42" t="str">
        <f>IFERROR(VLOOKUP(B94,Modules!C:D,2,0),"")</f>
        <v/>
      </c>
      <c r="L94" s="40" t="str" cm="1">
        <f t="array" ref="L94">IFERROR(INDEX(Interventions!$F$12:$F$178,MATCH(TRUE,INDEX(Interventions!$E$12:$E$178=$C94,0),0)),0)</f>
        <v>[Name ID]</v>
      </c>
      <c r="M94" s="15" t="str">
        <f>CLEAN(IFERROR(VLOOKUP($C94,Interventions!$E$1:$K$444,7,0),""))</f>
        <v/>
      </c>
      <c r="N94" s="15" t="str">
        <f>CLEAN(IF(C94="","",CONCATENATE(Modules!$B$8,PAAR!M94,Q94)))</f>
        <v/>
      </c>
      <c r="O94" s="70">
        <f>IFERROR(INDEX('Dropdown Data'!$D$33:$D$35,MATCH(A94,'Dropdown Data'!$B$33:$B$35,0)),IFERROR(INDEX('Dropdown Data'!$D$33:$D$35,MATCH(A94,'Dropdown Data'!$C$33:$C$35,0)),A94))</f>
        <v>0</v>
      </c>
      <c r="P94" s="70" t="str">
        <f>IFERROR(INDEX('Dropdown Data'!$D$33:$D$36,MATCH(G94,'Dropdown Data'!$B$33:$B$36,0)),IFERROR(INDEX('Dropdown Data'!$D$33:$D$36,MATCH(G94,'Dropdown Data'!$C$33:$C$36,0)),G94))</f>
        <v/>
      </c>
      <c r="Q94" s="71">
        <v>66</v>
      </c>
      <c r="R94" s="71" t="b">
        <f t="shared" si="12"/>
        <v>0</v>
      </c>
      <c r="S94" s="71">
        <f t="shared" si="13"/>
        <v>10</v>
      </c>
      <c r="T94" s="71" t="e">
        <f>IFERROR(VLOOKUP(B94,Modules!$E$11:$K$52,7,0),IFERROR(VLOOKUP(B94,Modules!$F$11:$K$52,6,0),VLOOKUP(B94,Modules!$G$11:$K$52,5,0)))</f>
        <v>#N/A</v>
      </c>
      <c r="U94" s="71">
        <f>IFERROR(MATCH(T94,Interventions!C:C,0),0)</f>
        <v>0</v>
      </c>
      <c r="V94" s="71" cm="1">
        <f t="array" ref="V94">SUM(U94,COUNTIF(ModuleStart,T94)-1)</f>
        <v>-1</v>
      </c>
      <c r="W94" s="72">
        <f t="shared" si="14"/>
        <v>0</v>
      </c>
      <c r="X94" s="72" t="str">
        <f t="shared" si="15"/>
        <v/>
      </c>
      <c r="Y94" s="82" t="str">
        <f>IF(AND(AE94="Continue",AG94="Continue"),VLOOKUP($B$10,Translation[],91,0),IF(AND(AE94&lt;&gt;"Continue",AG94="Continue"),AE94,IF(AND(AG94&lt;&gt;"Continue",AE94="Continue"),AG94,CONCATENATE(AE94,CHAR(10),AG94))))</f>
        <v>No error</v>
      </c>
      <c r="Z94" s="62" t="str">
        <f>IF(OR(AND($B94&lt;&gt;"",$K94=""),AND($C94&lt;&gt;"",$L94="")),VLOOKUP($B$10,Translation[],87,0),"Continue")</f>
        <v>Continue</v>
      </c>
      <c r="AA94" s="62" t="str">
        <f>IF(AND($B94 &lt;&gt; "",$K94&lt;&gt;""),IF($K94=_xlfn.XLOOKUP(L94,Interventions!$F$11:$F$179,Interventions!$C$11:$C$179,1,0,1),"Continue",VLOOKUP($B$10,Translation[],88,0)),"Continue")</f>
        <v>Continue</v>
      </c>
      <c r="AB94" s="9" t="str">
        <f>IFERROR(IF($A94&lt;&gt;"",IF($B$10="English", IF(MATCH($A94,'Dropdown Data'!$A$361:$A$363,0)&gt;0,"Continue"), IF($B$10="Français",IF(MATCH($A94,'Dropdown Data'!$B$361:$B$363,0)&gt;0,"Continue"), IF($B$10="Español",IF(MATCH($A94,'Dropdown Data'!$C$361:$C$363,0)&gt;0,"Continue"),VLOOKUP($B$10,Translation[],89,0)))),"Continue"),VLOOKUP($B$10,Translation[],89,0))</f>
        <v>Continue</v>
      </c>
      <c r="AC94" s="62" t="str">
        <f>IF(AND(NOT(ISBLANK($D94)),(NOT(ISNUMBER($D94)))),VLOOKUP($B$10,Translation[],90,0),"Continue")</f>
        <v>Continue</v>
      </c>
      <c r="AD94" s="62" t="str">
        <f xml:space="preserve"> IFERROR(IF(INT($D94) &lt;&gt; $D94, VLOOKUP($B$10,Translation[],92,0), "Continue"),"Continue")</f>
        <v>Continue</v>
      </c>
      <c r="AE94" s="62" t="str">
        <f t="shared" si="16"/>
        <v>Continue</v>
      </c>
      <c r="AF94" s="9" t="str">
        <f t="shared" ref="AF94:AF116" si="17">IF(AND(AB94="Continue",AC94="Continue"),"Continue",IF(AND(AB94&lt;&gt;"Continue",AC94="Continue"),AB94,IF(AND(AC94&lt;&gt;"Continue",AB94="Continue"),AC94,CONCATENATE(AB94,CHAR(10),AC94))))</f>
        <v>Continue</v>
      </c>
      <c r="AG94" s="9" t="str">
        <f t="shared" ref="AG94:AG116" si="18">IF(AND(AF94="Continue",AD94="Continue"),"Continue",IF(AND(AF94&lt;&gt;"Continue",AD94="Continue"),AF94,IF(AND(AD94&lt;&gt;"Continue",AF94="Continue"),AD94,CONCATENATE(AF94,CHAR(10),AD94))))</f>
        <v>Continue</v>
      </c>
    </row>
    <row r="95" spans="1:33" ht="15" x14ac:dyDescent="0.2">
      <c r="A95" s="83"/>
      <c r="B95" s="84"/>
      <c r="C95" s="84"/>
      <c r="D95" s="96"/>
      <c r="E95" s="93" t="str">
        <f>IF(ISBLANK(D95),"",IF(IF(Modules!$D$4="EUR",W95*(Modules!$B$5),$W95)=0,0,IF(Modules!$D$4="EUR",W95*(Modules!$B$5),$W95)))</f>
        <v/>
      </c>
      <c r="F95" s="41"/>
      <c r="G95" s="82" t="str">
        <f>IF(NOT(ISBLANK('PAAR (EN)'!$G95)),IF('PAAR (EN)'!$G95 &lt;&gt; "",IF(PAAR!$B$10="English",'PAAR (EN)'!$G95,IF(PAAR!$B$10="Français",_xlfn.XLOOKUP('PAAR (EN)'!$G95,'Dropdown Data'!$A$365:$A$368, 'Dropdown Data'!$B$365:$B$368,0,0,1),_xlfn.XLOOKUP('PAAR (EN)'!$G95,'Dropdown Data'!$A$365:$A$368,'Dropdown Data'!$C$365:$C$368,0,0,1))),""),"")</f>
        <v/>
      </c>
      <c r="H95" s="92" t="str">
        <f>IF('PAAR (EN)'!$H95 &lt;&gt;"", 'PAAR (EN)'!$H95, "")</f>
        <v/>
      </c>
      <c r="I95" s="89" t="str">
        <f>IF('PAAR (EN)'!$I95 &lt;&gt; "", 'PAAR (EN)'!$I95, "")</f>
        <v/>
      </c>
      <c r="J95" s="15"/>
      <c r="K95" s="42" t="str">
        <f>IFERROR(VLOOKUP(B95,Modules!C:D,2,0),"")</f>
        <v/>
      </c>
      <c r="L95" s="40" t="str" cm="1">
        <f t="array" ref="L95">IFERROR(INDEX(Interventions!$F$12:$F$178,MATCH(TRUE,INDEX(Interventions!$E$12:$E$178=$C95,0),0)),0)</f>
        <v>[Name ID]</v>
      </c>
      <c r="M95" s="15" t="str">
        <f>CLEAN(IFERROR(VLOOKUP($C95,Interventions!$E$1:$K$444,7,0),""))</f>
        <v/>
      </c>
      <c r="N95" s="15" t="str">
        <f>CLEAN(IF(C95="","",CONCATENATE(Modules!$B$8,PAAR!M95,Q95)))</f>
        <v/>
      </c>
      <c r="O95" s="70">
        <f>IFERROR(INDEX('Dropdown Data'!$D$33:$D$35,MATCH(A95,'Dropdown Data'!$B$33:$B$35,0)),IFERROR(INDEX('Dropdown Data'!$D$33:$D$35,MATCH(A95,'Dropdown Data'!$C$33:$C$35,0)),A95))</f>
        <v>0</v>
      </c>
      <c r="P95" s="70" t="str">
        <f>IFERROR(INDEX('Dropdown Data'!$D$33:$D$36,MATCH(G95,'Dropdown Data'!$B$33:$B$36,0)),IFERROR(INDEX('Dropdown Data'!$D$33:$D$36,MATCH(G95,'Dropdown Data'!$C$33:$C$36,0)),G95))</f>
        <v/>
      </c>
      <c r="Q95" s="71">
        <v>67</v>
      </c>
      <c r="R95" s="71" t="b">
        <f t="shared" si="12"/>
        <v>0</v>
      </c>
      <c r="S95" s="71">
        <f t="shared" si="13"/>
        <v>10</v>
      </c>
      <c r="T95" s="71" t="e">
        <f>IFERROR(VLOOKUP(B95,Modules!$E$11:$K$52,7,0),IFERROR(VLOOKUP(B95,Modules!$F$11:$K$52,6,0),VLOOKUP(B95,Modules!$G$11:$K$52,5,0)))</f>
        <v>#N/A</v>
      </c>
      <c r="U95" s="71">
        <f>IFERROR(MATCH(T95,Interventions!C:C,0),0)</f>
        <v>0</v>
      </c>
      <c r="V95" s="71" cm="1">
        <f t="array" ref="V95">SUM(U95,COUNTIF(ModuleStart,T95)-1)</f>
        <v>-1</v>
      </c>
      <c r="W95" s="72">
        <f t="shared" si="14"/>
        <v>0</v>
      </c>
      <c r="X95" s="72" t="str">
        <f t="shared" si="15"/>
        <v/>
      </c>
      <c r="Y95" s="82" t="str">
        <f>IF(AND(AE95="Continue",AG95="Continue"),VLOOKUP($B$10,Translation[],91,0),IF(AND(AE95&lt;&gt;"Continue",AG95="Continue"),AE95,IF(AND(AG95&lt;&gt;"Continue",AE95="Continue"),AG95,CONCATENATE(AE95,CHAR(10),AG95))))</f>
        <v>No error</v>
      </c>
      <c r="Z95" s="62" t="str">
        <f>IF(OR(AND($B95&lt;&gt;"",$K95=""),AND($C95&lt;&gt;"",$L95="")),VLOOKUP($B$10,Translation[],87,0),"Continue")</f>
        <v>Continue</v>
      </c>
      <c r="AA95" s="62" t="str">
        <f>IF(AND($B95 &lt;&gt; "",$K95&lt;&gt;""),IF($K95=_xlfn.XLOOKUP(L95,Interventions!$F$11:$F$179,Interventions!$C$11:$C$179,1,0,1),"Continue",VLOOKUP($B$10,Translation[],88,0)),"Continue")</f>
        <v>Continue</v>
      </c>
      <c r="AB95" s="9" t="str">
        <f>IFERROR(IF($A95&lt;&gt;"",IF($B$10="English", IF(MATCH($A95,'Dropdown Data'!$A$361:$A$363,0)&gt;0,"Continue"), IF($B$10="Français",IF(MATCH($A95,'Dropdown Data'!$B$361:$B$363,0)&gt;0,"Continue"), IF($B$10="Español",IF(MATCH($A95,'Dropdown Data'!$C$361:$C$363,0)&gt;0,"Continue"),VLOOKUP($B$10,Translation[],89,0)))),"Continue"),VLOOKUP($B$10,Translation[],89,0))</f>
        <v>Continue</v>
      </c>
      <c r="AC95" s="62" t="str">
        <f>IF(AND(NOT(ISBLANK($D95)),(NOT(ISNUMBER($D95)))),VLOOKUP($B$10,Translation[],90,0),"Continue")</f>
        <v>Continue</v>
      </c>
      <c r="AD95" s="62" t="str">
        <f xml:space="preserve"> IFERROR(IF(INT($D95) &lt;&gt; $D95, VLOOKUP($B$10,Translation[],92,0), "Continue"),"Continue")</f>
        <v>Continue</v>
      </c>
      <c r="AE95" s="62" t="str">
        <f t="shared" si="16"/>
        <v>Continue</v>
      </c>
      <c r="AF95" s="9" t="str">
        <f t="shared" si="17"/>
        <v>Continue</v>
      </c>
      <c r="AG95" s="9" t="str">
        <f t="shared" si="18"/>
        <v>Continue</v>
      </c>
    </row>
    <row r="96" spans="1:33" ht="15" x14ac:dyDescent="0.2">
      <c r="A96" s="83"/>
      <c r="B96" s="84"/>
      <c r="C96" s="84"/>
      <c r="D96" s="96"/>
      <c r="E96" s="93" t="str">
        <f>IF(ISBLANK(D96),"",IF(IF(Modules!$D$4="EUR",W96*(Modules!$B$5),$W96)=0,0,IF(Modules!$D$4="EUR",W96*(Modules!$B$5),$W96)))</f>
        <v/>
      </c>
      <c r="F96" s="41"/>
      <c r="G96" s="82" t="str">
        <f>IF(NOT(ISBLANK('PAAR (EN)'!$G96)),IF('PAAR (EN)'!$G96 &lt;&gt; "",IF(PAAR!$B$10="English",'PAAR (EN)'!$G96,IF(PAAR!$B$10="Français",_xlfn.XLOOKUP('PAAR (EN)'!$G96,'Dropdown Data'!$A$365:$A$368, 'Dropdown Data'!$B$365:$B$368,0,0,1),_xlfn.XLOOKUP('PAAR (EN)'!$G96,'Dropdown Data'!$A$365:$A$368,'Dropdown Data'!$C$365:$C$368,0,0,1))),""),"")</f>
        <v/>
      </c>
      <c r="H96" s="92" t="str">
        <f>IF('PAAR (EN)'!$H96 &lt;&gt;"", 'PAAR (EN)'!$H96, "")</f>
        <v/>
      </c>
      <c r="I96" s="89" t="str">
        <f>IF('PAAR (EN)'!$I96 &lt;&gt; "", 'PAAR (EN)'!$I96, "")</f>
        <v/>
      </c>
      <c r="J96" s="15"/>
      <c r="K96" s="42" t="str">
        <f>IFERROR(VLOOKUP(B96,Modules!C:D,2,0),"")</f>
        <v/>
      </c>
      <c r="L96" s="40" t="str" cm="1">
        <f t="array" ref="L96">IFERROR(INDEX(Interventions!$F$12:$F$178,MATCH(TRUE,INDEX(Interventions!$E$12:$E$178=$C96,0),0)),0)</f>
        <v>[Name ID]</v>
      </c>
      <c r="M96" s="15" t="str">
        <f>CLEAN(IFERROR(VLOOKUP($C96,Interventions!$E$1:$K$444,7,0),""))</f>
        <v/>
      </c>
      <c r="N96" s="15" t="str">
        <f>CLEAN(IF(C96="","",CONCATENATE(Modules!$B$8,PAAR!M96,Q96)))</f>
        <v/>
      </c>
      <c r="O96" s="70">
        <f>IFERROR(INDEX('Dropdown Data'!$D$33:$D$35,MATCH(A96,'Dropdown Data'!$B$33:$B$35,0)),IFERROR(INDEX('Dropdown Data'!$D$33:$D$35,MATCH(A96,'Dropdown Data'!$C$33:$C$35,0)),A96))</f>
        <v>0</v>
      </c>
      <c r="P96" s="70" t="str">
        <f>IFERROR(INDEX('Dropdown Data'!$D$33:$D$36,MATCH(G96,'Dropdown Data'!$B$33:$B$36,0)),IFERROR(INDEX('Dropdown Data'!$D$33:$D$36,MATCH(G96,'Dropdown Data'!$C$33:$C$36,0)),G96))</f>
        <v/>
      </c>
      <c r="Q96" s="71">
        <v>68</v>
      </c>
      <c r="R96" s="71" t="b">
        <f t="shared" si="12"/>
        <v>0</v>
      </c>
      <c r="S96" s="71">
        <f t="shared" si="13"/>
        <v>10</v>
      </c>
      <c r="T96" s="71" t="e">
        <f>IFERROR(VLOOKUP(B96,Modules!$E$11:$K$52,7,0),IFERROR(VLOOKUP(B96,Modules!$F$11:$K$52,6,0),VLOOKUP(B96,Modules!$G$11:$K$52,5,0)))</f>
        <v>#N/A</v>
      </c>
      <c r="U96" s="71">
        <f>IFERROR(MATCH(T96,Interventions!C:C,0),0)</f>
        <v>0</v>
      </c>
      <c r="V96" s="71" cm="1">
        <f t="array" ref="V96">SUM(U96,COUNTIF(ModuleStart,T96)-1)</f>
        <v>-1</v>
      </c>
      <c r="W96" s="72">
        <f t="shared" si="14"/>
        <v>0</v>
      </c>
      <c r="X96" s="72" t="str">
        <f t="shared" si="15"/>
        <v/>
      </c>
      <c r="Y96" s="82" t="str">
        <f>IF(AND(AE96="Continue",AG96="Continue"),VLOOKUP($B$10,Translation[],91,0),IF(AND(AE96&lt;&gt;"Continue",AG96="Continue"),AE96,IF(AND(AG96&lt;&gt;"Continue",AE96="Continue"),AG96,CONCATENATE(AE96,CHAR(10),AG96))))</f>
        <v>No error</v>
      </c>
      <c r="Z96" s="62" t="str">
        <f>IF(OR(AND($B96&lt;&gt;"",$K96=""),AND($C96&lt;&gt;"",$L96="")),VLOOKUP($B$10,Translation[],87,0),"Continue")</f>
        <v>Continue</v>
      </c>
      <c r="AA96" s="62" t="str">
        <f>IF(AND($B96 &lt;&gt; "",$K96&lt;&gt;""),IF($K96=_xlfn.XLOOKUP(L96,Interventions!$F$11:$F$179,Interventions!$C$11:$C$179,1,0,1),"Continue",VLOOKUP($B$10,Translation[],88,0)),"Continue")</f>
        <v>Continue</v>
      </c>
      <c r="AB96" s="9" t="str">
        <f>IFERROR(IF($A96&lt;&gt;"",IF($B$10="English", IF(MATCH($A96,'Dropdown Data'!$A$361:$A$363,0)&gt;0,"Continue"), IF($B$10="Français",IF(MATCH($A96,'Dropdown Data'!$B$361:$B$363,0)&gt;0,"Continue"), IF($B$10="Español",IF(MATCH($A96,'Dropdown Data'!$C$361:$C$363,0)&gt;0,"Continue"),VLOOKUP($B$10,Translation[],89,0)))),"Continue"),VLOOKUP($B$10,Translation[],89,0))</f>
        <v>Continue</v>
      </c>
      <c r="AC96" s="62" t="str">
        <f>IF(AND(NOT(ISBLANK($D96)),(NOT(ISNUMBER($D96)))),VLOOKUP($B$10,Translation[],90,0),"Continue")</f>
        <v>Continue</v>
      </c>
      <c r="AD96" s="62" t="str">
        <f xml:space="preserve"> IFERROR(IF(INT($D96) &lt;&gt; $D96, VLOOKUP($B$10,Translation[],92,0), "Continue"),"Continue")</f>
        <v>Continue</v>
      </c>
      <c r="AE96" s="62" t="str">
        <f t="shared" si="16"/>
        <v>Continue</v>
      </c>
      <c r="AF96" s="9" t="str">
        <f t="shared" si="17"/>
        <v>Continue</v>
      </c>
      <c r="AG96" s="9" t="str">
        <f t="shared" si="18"/>
        <v>Continue</v>
      </c>
    </row>
    <row r="97" spans="1:33" ht="15" x14ac:dyDescent="0.2">
      <c r="A97" s="83"/>
      <c r="B97" s="84"/>
      <c r="C97" s="84"/>
      <c r="D97" s="96"/>
      <c r="E97" s="93" t="str">
        <f>IF(ISBLANK(D97),"",IF(IF(Modules!$D$4="EUR",W97*(Modules!$B$5),$W97)=0,0,IF(Modules!$D$4="EUR",W97*(Modules!$B$5),$W97)))</f>
        <v/>
      </c>
      <c r="F97" s="41"/>
      <c r="G97" s="82" t="str">
        <f>IF(NOT(ISBLANK('PAAR (EN)'!$G97)),IF('PAAR (EN)'!$G97 &lt;&gt; "",IF(PAAR!$B$10="English",'PAAR (EN)'!$G97,IF(PAAR!$B$10="Français",_xlfn.XLOOKUP('PAAR (EN)'!$G97,'Dropdown Data'!$A$365:$A$368, 'Dropdown Data'!$B$365:$B$368,0,0,1),_xlfn.XLOOKUP('PAAR (EN)'!$G97,'Dropdown Data'!$A$365:$A$368,'Dropdown Data'!$C$365:$C$368,0,0,1))),""),"")</f>
        <v/>
      </c>
      <c r="H97" s="92" t="str">
        <f>IF('PAAR (EN)'!$H97 &lt;&gt;"", 'PAAR (EN)'!$H97, "")</f>
        <v/>
      </c>
      <c r="I97" s="89" t="str">
        <f>IF('PAAR (EN)'!$I97 &lt;&gt; "", 'PAAR (EN)'!$I97, "")</f>
        <v/>
      </c>
      <c r="J97" s="15"/>
      <c r="K97" s="42" t="str">
        <f>IFERROR(VLOOKUP(B97,Modules!C:D,2,0),"")</f>
        <v/>
      </c>
      <c r="L97" s="40" t="str" cm="1">
        <f t="array" ref="L97">IFERROR(INDEX(Interventions!$F$12:$F$178,MATCH(TRUE,INDEX(Interventions!$E$12:$E$178=$C97,0),0)),0)</f>
        <v>[Name ID]</v>
      </c>
      <c r="M97" s="15" t="str">
        <f>CLEAN(IFERROR(VLOOKUP($C97,Interventions!$E$1:$K$444,7,0),""))</f>
        <v/>
      </c>
      <c r="N97" s="15" t="str">
        <f>CLEAN(IF(C97="","",CONCATENATE(Modules!$B$8,PAAR!M97,Q97)))</f>
        <v/>
      </c>
      <c r="O97" s="70">
        <f>IFERROR(INDEX('Dropdown Data'!$D$33:$D$35,MATCH(A97,'Dropdown Data'!$B$33:$B$35,0)),IFERROR(INDEX('Dropdown Data'!$D$33:$D$35,MATCH(A97,'Dropdown Data'!$C$33:$C$35,0)),A97))</f>
        <v>0</v>
      </c>
      <c r="P97" s="70" t="str">
        <f>IFERROR(INDEX('Dropdown Data'!$D$33:$D$36,MATCH(G97,'Dropdown Data'!$B$33:$B$36,0)),IFERROR(INDEX('Dropdown Data'!$D$33:$D$36,MATCH(G97,'Dropdown Data'!$C$33:$C$36,0)),G97))</f>
        <v/>
      </c>
      <c r="Q97" s="71">
        <v>69</v>
      </c>
      <c r="R97" s="71" t="b">
        <f t="shared" si="12"/>
        <v>0</v>
      </c>
      <c r="S97" s="71">
        <f t="shared" si="13"/>
        <v>10</v>
      </c>
      <c r="T97" s="71" t="e">
        <f>IFERROR(VLOOKUP(B97,Modules!$E$11:$K$52,7,0),IFERROR(VLOOKUP(B97,Modules!$F$11:$K$52,6,0),VLOOKUP(B97,Modules!$G$11:$K$52,5,0)))</f>
        <v>#N/A</v>
      </c>
      <c r="U97" s="71">
        <f>IFERROR(MATCH(T97,Interventions!C:C,0),0)</f>
        <v>0</v>
      </c>
      <c r="V97" s="71" cm="1">
        <f t="array" ref="V97">SUM(U97,COUNTIF(ModuleStart,T97)-1)</f>
        <v>-1</v>
      </c>
      <c r="W97" s="72">
        <f t="shared" si="14"/>
        <v>0</v>
      </c>
      <c r="X97" s="72" t="str">
        <f t="shared" si="15"/>
        <v/>
      </c>
      <c r="Y97" s="82" t="str">
        <f>IF(AND(AE97="Continue",AG97="Continue"),VLOOKUP($B$10,Translation[],91,0),IF(AND(AE97&lt;&gt;"Continue",AG97="Continue"),AE97,IF(AND(AG97&lt;&gt;"Continue",AE97="Continue"),AG97,CONCATENATE(AE97,CHAR(10),AG97))))</f>
        <v>No error</v>
      </c>
      <c r="Z97" s="62" t="str">
        <f>IF(OR(AND($B97&lt;&gt;"",$K97=""),AND($C97&lt;&gt;"",$L97="")),VLOOKUP($B$10,Translation[],87,0),"Continue")</f>
        <v>Continue</v>
      </c>
      <c r="AA97" s="62" t="str">
        <f>IF(AND($B97 &lt;&gt; "",$K97&lt;&gt;""),IF($K97=_xlfn.XLOOKUP(L97,Interventions!$F$11:$F$179,Interventions!$C$11:$C$179,1,0,1),"Continue",VLOOKUP($B$10,Translation[],88,0)),"Continue")</f>
        <v>Continue</v>
      </c>
      <c r="AB97" s="9" t="str">
        <f>IFERROR(IF($A97&lt;&gt;"",IF($B$10="English", IF(MATCH($A97,'Dropdown Data'!$A$361:$A$363,0)&gt;0,"Continue"), IF($B$10="Français",IF(MATCH($A97,'Dropdown Data'!$B$361:$B$363,0)&gt;0,"Continue"), IF($B$10="Español",IF(MATCH($A97,'Dropdown Data'!$C$361:$C$363,0)&gt;0,"Continue"),VLOOKUP($B$10,Translation[],89,0)))),"Continue"),VLOOKUP($B$10,Translation[],89,0))</f>
        <v>Continue</v>
      </c>
      <c r="AC97" s="62" t="str">
        <f>IF(AND(NOT(ISBLANK($D97)),(NOT(ISNUMBER($D97)))),VLOOKUP($B$10,Translation[],90,0),"Continue")</f>
        <v>Continue</v>
      </c>
      <c r="AD97" s="62" t="str">
        <f xml:space="preserve"> IFERROR(IF(INT($D97) &lt;&gt; $D97, VLOOKUP($B$10,Translation[],92,0), "Continue"),"Continue")</f>
        <v>Continue</v>
      </c>
      <c r="AE97" s="62" t="str">
        <f t="shared" si="16"/>
        <v>Continue</v>
      </c>
      <c r="AF97" s="9" t="str">
        <f t="shared" si="17"/>
        <v>Continue</v>
      </c>
      <c r="AG97" s="9" t="str">
        <f t="shared" si="18"/>
        <v>Continue</v>
      </c>
    </row>
    <row r="98" spans="1:33" ht="15" x14ac:dyDescent="0.2">
      <c r="A98" s="83"/>
      <c r="B98" s="84"/>
      <c r="C98" s="84"/>
      <c r="D98" s="96"/>
      <c r="E98" s="93" t="str">
        <f>IF(ISBLANK(D98),"",IF(IF(Modules!$D$4="EUR",W98*(Modules!$B$5),$W98)=0,0,IF(Modules!$D$4="EUR",W98*(Modules!$B$5),$W98)))</f>
        <v/>
      </c>
      <c r="F98" s="41"/>
      <c r="G98" s="82" t="str">
        <f>IF(NOT(ISBLANK('PAAR (EN)'!$G98)),IF('PAAR (EN)'!$G98 &lt;&gt; "",IF(PAAR!$B$10="English",'PAAR (EN)'!$G98,IF(PAAR!$B$10="Français",_xlfn.XLOOKUP('PAAR (EN)'!$G98,'Dropdown Data'!$A$365:$A$368, 'Dropdown Data'!$B$365:$B$368,0,0,1),_xlfn.XLOOKUP('PAAR (EN)'!$G98,'Dropdown Data'!$A$365:$A$368,'Dropdown Data'!$C$365:$C$368,0,0,1))),""),"")</f>
        <v/>
      </c>
      <c r="H98" s="92" t="str">
        <f>IF('PAAR (EN)'!$H98 &lt;&gt;"", 'PAAR (EN)'!$H98, "")</f>
        <v/>
      </c>
      <c r="I98" s="89" t="str">
        <f>IF('PAAR (EN)'!$I98 &lt;&gt; "", 'PAAR (EN)'!$I98, "")</f>
        <v/>
      </c>
      <c r="J98" s="15"/>
      <c r="K98" s="42" t="str">
        <f>IFERROR(VLOOKUP(B98,Modules!C:D,2,0),"")</f>
        <v/>
      </c>
      <c r="L98" s="40" t="str" cm="1">
        <f t="array" ref="L98">IFERROR(INDEX(Interventions!$F$12:$F$178,MATCH(TRUE,INDEX(Interventions!$E$12:$E$178=$C98,0),0)),0)</f>
        <v>[Name ID]</v>
      </c>
      <c r="M98" s="15" t="str">
        <f>CLEAN(IFERROR(VLOOKUP($C98,Interventions!$E$1:$K$444,7,0),""))</f>
        <v/>
      </c>
      <c r="N98" s="15" t="str">
        <f>CLEAN(IF(C98="","",CONCATENATE(Modules!$B$8,PAAR!M98,Q98)))</f>
        <v/>
      </c>
      <c r="O98" s="70">
        <f>IFERROR(INDEX('Dropdown Data'!$D$33:$D$35,MATCH(A98,'Dropdown Data'!$B$33:$B$35,0)),IFERROR(INDEX('Dropdown Data'!$D$33:$D$35,MATCH(A98,'Dropdown Data'!$C$33:$C$35,0)),A98))</f>
        <v>0</v>
      </c>
      <c r="P98" s="70" t="str">
        <f>IFERROR(INDEX('Dropdown Data'!$D$33:$D$36,MATCH(G98,'Dropdown Data'!$B$33:$B$36,0)),IFERROR(INDEX('Dropdown Data'!$D$33:$D$36,MATCH(G98,'Dropdown Data'!$C$33:$C$36,0)),G98))</f>
        <v/>
      </c>
      <c r="Q98" s="71">
        <v>70</v>
      </c>
      <c r="R98" s="71" t="b">
        <f t="shared" si="12"/>
        <v>0</v>
      </c>
      <c r="S98" s="71">
        <f t="shared" si="13"/>
        <v>10</v>
      </c>
      <c r="T98" s="71" t="e">
        <f>IFERROR(VLOOKUP(B98,Modules!$E$11:$K$52,7,0),IFERROR(VLOOKUP(B98,Modules!$F$11:$K$52,6,0),VLOOKUP(B98,Modules!$G$11:$K$52,5,0)))</f>
        <v>#N/A</v>
      </c>
      <c r="U98" s="71">
        <f>IFERROR(MATCH(T98,Interventions!C:C,0),0)</f>
        <v>0</v>
      </c>
      <c r="V98" s="71" cm="1">
        <f t="array" ref="V98">SUM(U98,COUNTIF(ModuleStart,T98)-1)</f>
        <v>-1</v>
      </c>
      <c r="W98" s="72">
        <f t="shared" si="14"/>
        <v>0</v>
      </c>
      <c r="X98" s="72" t="str">
        <f t="shared" si="15"/>
        <v/>
      </c>
      <c r="Y98" s="82" t="str">
        <f>IF(AND(AE98="Continue",AG98="Continue"),VLOOKUP($B$10,Translation[],91,0),IF(AND(AE98&lt;&gt;"Continue",AG98="Continue"),AE98,IF(AND(AG98&lt;&gt;"Continue",AE98="Continue"),AG98,CONCATENATE(AE98,CHAR(10),AG98))))</f>
        <v>No error</v>
      </c>
      <c r="Z98" s="62" t="str">
        <f>IF(OR(AND($B98&lt;&gt;"",$K98=""),AND($C98&lt;&gt;"",$L98="")),VLOOKUP($B$10,Translation[],87,0),"Continue")</f>
        <v>Continue</v>
      </c>
      <c r="AA98" s="62" t="str">
        <f>IF(AND($B98 &lt;&gt; "",$K98&lt;&gt;""),IF($K98=_xlfn.XLOOKUP(L98,Interventions!$F$11:$F$179,Interventions!$C$11:$C$179,1,0,1),"Continue",VLOOKUP($B$10,Translation[],88,0)),"Continue")</f>
        <v>Continue</v>
      </c>
      <c r="AB98" s="9" t="str">
        <f>IFERROR(IF($A98&lt;&gt;"",IF($B$10="English", IF(MATCH($A98,'Dropdown Data'!$A$361:$A$363,0)&gt;0,"Continue"), IF($B$10="Français",IF(MATCH($A98,'Dropdown Data'!$B$361:$B$363,0)&gt;0,"Continue"), IF($B$10="Español",IF(MATCH($A98,'Dropdown Data'!$C$361:$C$363,0)&gt;0,"Continue"),VLOOKUP($B$10,Translation[],89,0)))),"Continue"),VLOOKUP($B$10,Translation[],89,0))</f>
        <v>Continue</v>
      </c>
      <c r="AC98" s="62" t="str">
        <f>IF(AND(NOT(ISBLANK($D98)),(NOT(ISNUMBER($D98)))),VLOOKUP($B$10,Translation[],90,0),"Continue")</f>
        <v>Continue</v>
      </c>
      <c r="AD98" s="62" t="str">
        <f xml:space="preserve"> IFERROR(IF(INT($D98) &lt;&gt; $D98, VLOOKUP($B$10,Translation[],92,0), "Continue"),"Continue")</f>
        <v>Continue</v>
      </c>
      <c r="AE98" s="62" t="str">
        <f t="shared" si="16"/>
        <v>Continue</v>
      </c>
      <c r="AF98" s="9" t="str">
        <f t="shared" si="17"/>
        <v>Continue</v>
      </c>
      <c r="AG98" s="9" t="str">
        <f t="shared" si="18"/>
        <v>Continue</v>
      </c>
    </row>
    <row r="99" spans="1:33" ht="15" x14ac:dyDescent="0.2">
      <c r="A99" s="83"/>
      <c r="B99" s="84"/>
      <c r="C99" s="84"/>
      <c r="D99" s="96"/>
      <c r="E99" s="93" t="str">
        <f>IF(ISBLANK(D99),"",IF(IF(Modules!$D$4="EUR",W99*(Modules!$B$5),$W99)=0,0,IF(Modules!$D$4="EUR",W99*(Modules!$B$5),$W99)))</f>
        <v/>
      </c>
      <c r="F99" s="41"/>
      <c r="G99" s="82" t="str">
        <f>IF(NOT(ISBLANK('PAAR (EN)'!$G99)),IF('PAAR (EN)'!$G99 &lt;&gt; "",IF(PAAR!$B$10="English",'PAAR (EN)'!$G99,IF(PAAR!$B$10="Français",_xlfn.XLOOKUP('PAAR (EN)'!$G99,'Dropdown Data'!$A$365:$A$368, 'Dropdown Data'!$B$365:$B$368,0,0,1),_xlfn.XLOOKUP('PAAR (EN)'!$G99,'Dropdown Data'!$A$365:$A$368,'Dropdown Data'!$C$365:$C$368,0,0,1))),""),"")</f>
        <v/>
      </c>
      <c r="H99" s="92" t="str">
        <f>IF('PAAR (EN)'!$H99 &lt;&gt;"", 'PAAR (EN)'!$H99, "")</f>
        <v/>
      </c>
      <c r="I99" s="89" t="str">
        <f>IF('PAAR (EN)'!$I99 &lt;&gt; "", 'PAAR (EN)'!$I99, "")</f>
        <v/>
      </c>
      <c r="J99" s="15"/>
      <c r="K99" s="42" t="str">
        <f>IFERROR(VLOOKUP(B99,Modules!C:D,2,0),"")</f>
        <v/>
      </c>
      <c r="L99" s="40" t="str" cm="1">
        <f t="array" ref="L99">IFERROR(INDEX(Interventions!$F$12:$F$178,MATCH(TRUE,INDEX(Interventions!$E$12:$E$178=$C99,0),0)),0)</f>
        <v>[Name ID]</v>
      </c>
      <c r="M99" s="15" t="str">
        <f>CLEAN(IFERROR(VLOOKUP($C99,Interventions!$E$1:$K$444,7,0),""))</f>
        <v/>
      </c>
      <c r="N99" s="15" t="str">
        <f>CLEAN(IF(C99="","",CONCATENATE(Modules!$B$8,PAAR!M99,Q99)))</f>
        <v/>
      </c>
      <c r="O99" s="70">
        <f>IFERROR(INDEX('Dropdown Data'!$D$33:$D$35,MATCH(A99,'Dropdown Data'!$B$33:$B$35,0)),IFERROR(INDEX('Dropdown Data'!$D$33:$D$35,MATCH(A99,'Dropdown Data'!$C$33:$C$35,0)),A99))</f>
        <v>0</v>
      </c>
      <c r="P99" s="70" t="str">
        <f>IFERROR(INDEX('Dropdown Data'!$D$33:$D$36,MATCH(G99,'Dropdown Data'!$B$33:$B$36,0)),IFERROR(INDEX('Dropdown Data'!$D$33:$D$36,MATCH(G99,'Dropdown Data'!$C$33:$C$36,0)),G99))</f>
        <v/>
      </c>
      <c r="Q99" s="71">
        <v>71</v>
      </c>
      <c r="R99" s="71" t="b">
        <f t="shared" si="12"/>
        <v>0</v>
      </c>
      <c r="S99" s="71">
        <f t="shared" si="13"/>
        <v>10</v>
      </c>
      <c r="T99" s="71" t="e">
        <f>IFERROR(VLOOKUP(B99,Modules!$E$11:$K$52,7,0),IFERROR(VLOOKUP(B99,Modules!$F$11:$K$52,6,0),VLOOKUP(B99,Modules!$G$11:$K$52,5,0)))</f>
        <v>#N/A</v>
      </c>
      <c r="U99" s="71">
        <f>IFERROR(MATCH(T99,Interventions!C:C,0),0)</f>
        <v>0</v>
      </c>
      <c r="V99" s="71" cm="1">
        <f t="array" ref="V99">SUM(U99,COUNTIF(ModuleStart,T99)-1)</f>
        <v>-1</v>
      </c>
      <c r="W99" s="72">
        <f t="shared" si="14"/>
        <v>0</v>
      </c>
      <c r="X99" s="72" t="str">
        <f t="shared" si="15"/>
        <v/>
      </c>
      <c r="Y99" s="82" t="str">
        <f>IF(AND(AE99="Continue",AG99="Continue"),VLOOKUP($B$10,Translation[],91,0),IF(AND(AE99&lt;&gt;"Continue",AG99="Continue"),AE99,IF(AND(AG99&lt;&gt;"Continue",AE99="Continue"),AG99,CONCATENATE(AE99,CHAR(10),AG99))))</f>
        <v>No error</v>
      </c>
      <c r="Z99" s="62" t="str">
        <f>IF(OR(AND($B99&lt;&gt;"",$K99=""),AND($C99&lt;&gt;"",$L99="")),VLOOKUP($B$10,Translation[],87,0),"Continue")</f>
        <v>Continue</v>
      </c>
      <c r="AA99" s="62" t="str">
        <f>IF(AND($B99 &lt;&gt; "",$K99&lt;&gt;""),IF($K99=_xlfn.XLOOKUP(L99,Interventions!$F$11:$F$179,Interventions!$C$11:$C$179,1,0,1),"Continue",VLOOKUP($B$10,Translation[],88,0)),"Continue")</f>
        <v>Continue</v>
      </c>
      <c r="AB99" s="9" t="str">
        <f>IFERROR(IF($A99&lt;&gt;"",IF($B$10="English", IF(MATCH($A99,'Dropdown Data'!$A$361:$A$363,0)&gt;0,"Continue"), IF($B$10="Français",IF(MATCH($A99,'Dropdown Data'!$B$361:$B$363,0)&gt;0,"Continue"), IF($B$10="Español",IF(MATCH($A99,'Dropdown Data'!$C$361:$C$363,0)&gt;0,"Continue"),VLOOKUP($B$10,Translation[],89,0)))),"Continue"),VLOOKUP($B$10,Translation[],89,0))</f>
        <v>Continue</v>
      </c>
      <c r="AC99" s="62" t="str">
        <f>IF(AND(NOT(ISBLANK($D99)),(NOT(ISNUMBER($D99)))),VLOOKUP($B$10,Translation[],90,0),"Continue")</f>
        <v>Continue</v>
      </c>
      <c r="AD99" s="62" t="str">
        <f xml:space="preserve"> IFERROR(IF(INT($D99) &lt;&gt; $D99, VLOOKUP($B$10,Translation[],92,0), "Continue"),"Continue")</f>
        <v>Continue</v>
      </c>
      <c r="AE99" s="62" t="str">
        <f t="shared" si="16"/>
        <v>Continue</v>
      </c>
      <c r="AF99" s="9" t="str">
        <f t="shared" si="17"/>
        <v>Continue</v>
      </c>
      <c r="AG99" s="9" t="str">
        <f t="shared" si="18"/>
        <v>Continue</v>
      </c>
    </row>
    <row r="100" spans="1:33" ht="15" x14ac:dyDescent="0.2">
      <c r="A100" s="83"/>
      <c r="B100" s="84"/>
      <c r="C100" s="84"/>
      <c r="D100" s="96"/>
      <c r="E100" s="93" t="str">
        <f>IF(ISBLANK(D100),"",IF(IF(Modules!$D$4="EUR",W100*(Modules!$B$5),$W100)=0,0,IF(Modules!$D$4="EUR",W100*(Modules!$B$5),$W100)))</f>
        <v/>
      </c>
      <c r="F100" s="41"/>
      <c r="G100" s="82" t="str">
        <f>IF(NOT(ISBLANK('PAAR (EN)'!$G100)),IF('PAAR (EN)'!$G100 &lt;&gt; "",IF(PAAR!$B$10="English",'PAAR (EN)'!$G100,IF(PAAR!$B$10="Français",_xlfn.XLOOKUP('PAAR (EN)'!$G100,'Dropdown Data'!$A$365:$A$368, 'Dropdown Data'!$B$365:$B$368,0,0,1),_xlfn.XLOOKUP('PAAR (EN)'!$G100,'Dropdown Data'!$A$365:$A$368,'Dropdown Data'!$C$365:$C$368,0,0,1))),""),"")</f>
        <v/>
      </c>
      <c r="H100" s="92" t="str">
        <f>IF('PAAR (EN)'!$H100 &lt;&gt;"", 'PAAR (EN)'!$H100, "")</f>
        <v/>
      </c>
      <c r="I100" s="89" t="str">
        <f>IF('PAAR (EN)'!$I100 &lt;&gt; "", 'PAAR (EN)'!$I100, "")</f>
        <v/>
      </c>
      <c r="J100" s="15"/>
      <c r="K100" s="42" t="str">
        <f>IFERROR(VLOOKUP(B100,Modules!C:D,2,0),"")</f>
        <v/>
      </c>
      <c r="L100" s="40" t="str" cm="1">
        <f t="array" ref="L100">IFERROR(INDEX(Interventions!$F$12:$F$178,MATCH(TRUE,INDEX(Interventions!$E$12:$E$178=$C100,0),0)),0)</f>
        <v>[Name ID]</v>
      </c>
      <c r="M100" s="15" t="str">
        <f>CLEAN(IFERROR(VLOOKUP($C100,Interventions!$E$1:$K$444,7,0),""))</f>
        <v/>
      </c>
      <c r="N100" s="15" t="str">
        <f>CLEAN(IF(C100="","",CONCATENATE(Modules!$B$8,PAAR!M100,Q100)))</f>
        <v/>
      </c>
      <c r="O100" s="70">
        <f>IFERROR(INDEX('Dropdown Data'!$D$33:$D$35,MATCH(A100,'Dropdown Data'!$B$33:$B$35,0)),IFERROR(INDEX('Dropdown Data'!$D$33:$D$35,MATCH(A100,'Dropdown Data'!$C$33:$C$35,0)),A100))</f>
        <v>0</v>
      </c>
      <c r="P100" s="70" t="str">
        <f>IFERROR(INDEX('Dropdown Data'!$D$33:$D$36,MATCH(G100,'Dropdown Data'!$B$33:$B$36,0)),IFERROR(INDEX('Dropdown Data'!$D$33:$D$36,MATCH(G100,'Dropdown Data'!$C$33:$C$36,0)),G100))</f>
        <v/>
      </c>
      <c r="Q100" s="71">
        <v>72</v>
      </c>
      <c r="R100" s="71" t="b">
        <f t="shared" si="12"/>
        <v>0</v>
      </c>
      <c r="S100" s="71">
        <f t="shared" si="13"/>
        <v>10</v>
      </c>
      <c r="T100" s="71" t="e">
        <f>IFERROR(VLOOKUP(B100,Modules!$E$11:$K$52,7,0),IFERROR(VLOOKUP(B100,Modules!$F$11:$K$52,6,0),VLOOKUP(B100,Modules!$G$11:$K$52,5,0)))</f>
        <v>#N/A</v>
      </c>
      <c r="U100" s="71">
        <f>IFERROR(MATCH(T100,Interventions!C:C,0),0)</f>
        <v>0</v>
      </c>
      <c r="V100" s="71" cm="1">
        <f t="array" ref="V100">SUM(U100,COUNTIF(ModuleStart,T100)-1)</f>
        <v>-1</v>
      </c>
      <c r="W100" s="72">
        <f t="shared" si="14"/>
        <v>0</v>
      </c>
      <c r="X100" s="72" t="str">
        <f t="shared" si="15"/>
        <v/>
      </c>
      <c r="Y100" s="82" t="str">
        <f>IF(AND(AE100="Continue",AG100="Continue"),VLOOKUP($B$10,Translation[],91,0),IF(AND(AE100&lt;&gt;"Continue",AG100="Continue"),AE100,IF(AND(AG100&lt;&gt;"Continue",AE100="Continue"),AG100,CONCATENATE(AE100,CHAR(10),AG100))))</f>
        <v>No error</v>
      </c>
      <c r="Z100" s="62" t="str">
        <f>IF(OR(AND($B100&lt;&gt;"",$K100=""),AND($C100&lt;&gt;"",$L100="")),VLOOKUP($B$10,Translation[],87,0),"Continue")</f>
        <v>Continue</v>
      </c>
      <c r="AA100" s="62" t="str">
        <f>IF(AND($B100 &lt;&gt; "",$K100&lt;&gt;""),IF($K100=_xlfn.XLOOKUP(L100,Interventions!$F$11:$F$179,Interventions!$C$11:$C$179,1,0,1),"Continue",VLOOKUP($B$10,Translation[],88,0)),"Continue")</f>
        <v>Continue</v>
      </c>
      <c r="AB100" s="9" t="str">
        <f>IFERROR(IF($A100&lt;&gt;"",IF($B$10="English", IF(MATCH($A100,'Dropdown Data'!$A$361:$A$363,0)&gt;0,"Continue"), IF($B$10="Français",IF(MATCH($A100,'Dropdown Data'!$B$361:$B$363,0)&gt;0,"Continue"), IF($B$10="Español",IF(MATCH($A100,'Dropdown Data'!$C$361:$C$363,0)&gt;0,"Continue"),VLOOKUP($B$10,Translation[],89,0)))),"Continue"),VLOOKUP($B$10,Translation[],89,0))</f>
        <v>Continue</v>
      </c>
      <c r="AC100" s="62" t="str">
        <f>IF(AND(NOT(ISBLANK($D100)),(NOT(ISNUMBER($D100)))),VLOOKUP($B$10,Translation[],90,0),"Continue")</f>
        <v>Continue</v>
      </c>
      <c r="AD100" s="62" t="str">
        <f xml:space="preserve"> IFERROR(IF(INT($D100) &lt;&gt; $D100, VLOOKUP($B$10,Translation[],92,0), "Continue"),"Continue")</f>
        <v>Continue</v>
      </c>
      <c r="AE100" s="62" t="str">
        <f t="shared" si="16"/>
        <v>Continue</v>
      </c>
      <c r="AF100" s="9" t="str">
        <f t="shared" si="17"/>
        <v>Continue</v>
      </c>
      <c r="AG100" s="9" t="str">
        <f t="shared" si="18"/>
        <v>Continue</v>
      </c>
    </row>
    <row r="101" spans="1:33" ht="15" x14ac:dyDescent="0.2">
      <c r="A101" s="83"/>
      <c r="B101" s="84"/>
      <c r="C101" s="84"/>
      <c r="D101" s="96"/>
      <c r="E101" s="93" t="str">
        <f>IF(ISBLANK(D101),"",IF(IF(Modules!$D$4="EUR",W101*(Modules!$B$5),$W101)=0,0,IF(Modules!$D$4="EUR",W101*(Modules!$B$5),$W101)))</f>
        <v/>
      </c>
      <c r="F101" s="41"/>
      <c r="G101" s="82" t="str">
        <f>IF(NOT(ISBLANK('PAAR (EN)'!$G101)),IF('PAAR (EN)'!$G101 &lt;&gt; "",IF(PAAR!$B$10="English",'PAAR (EN)'!$G101,IF(PAAR!$B$10="Français",_xlfn.XLOOKUP('PAAR (EN)'!$G101,'Dropdown Data'!$A$365:$A$368, 'Dropdown Data'!$B$365:$B$368,0,0,1),_xlfn.XLOOKUP('PAAR (EN)'!$G101,'Dropdown Data'!$A$365:$A$368,'Dropdown Data'!$C$365:$C$368,0,0,1))),""),"")</f>
        <v/>
      </c>
      <c r="H101" s="92" t="str">
        <f>IF('PAAR (EN)'!$H101 &lt;&gt;"", 'PAAR (EN)'!$H101, "")</f>
        <v/>
      </c>
      <c r="I101" s="89" t="str">
        <f>IF('PAAR (EN)'!$I101 &lt;&gt; "", 'PAAR (EN)'!$I101, "")</f>
        <v/>
      </c>
      <c r="J101" s="15"/>
      <c r="K101" s="42" t="str">
        <f>IFERROR(VLOOKUP(B101,Modules!C:D,2,0),"")</f>
        <v/>
      </c>
      <c r="L101" s="40" t="str" cm="1">
        <f t="array" ref="L101">IFERROR(INDEX(Interventions!$F$12:$F$178,MATCH(TRUE,INDEX(Interventions!$E$12:$E$178=$C101,0),0)),0)</f>
        <v>[Name ID]</v>
      </c>
      <c r="M101" s="15" t="str">
        <f>CLEAN(IFERROR(VLOOKUP($C101,Interventions!$E$1:$K$444,7,0),""))</f>
        <v/>
      </c>
      <c r="N101" s="15" t="str">
        <f>CLEAN(IF(C101="","",CONCATENATE(Modules!$B$8,PAAR!M101,Q101)))</f>
        <v/>
      </c>
      <c r="O101" s="70">
        <f>IFERROR(INDEX('Dropdown Data'!$D$33:$D$35,MATCH(A101,'Dropdown Data'!$B$33:$B$35,0)),IFERROR(INDEX('Dropdown Data'!$D$33:$D$35,MATCH(A101,'Dropdown Data'!$C$33:$C$35,0)),A101))</f>
        <v>0</v>
      </c>
      <c r="P101" s="70" t="str">
        <f>IFERROR(INDEX('Dropdown Data'!$D$33:$D$36,MATCH(G101,'Dropdown Data'!$B$33:$B$36,0)),IFERROR(INDEX('Dropdown Data'!$D$33:$D$36,MATCH(G101,'Dropdown Data'!$C$33:$C$36,0)),G101))</f>
        <v/>
      </c>
      <c r="Q101" s="71">
        <v>73</v>
      </c>
      <c r="R101" s="71" t="b">
        <f t="shared" si="12"/>
        <v>0</v>
      </c>
      <c r="S101" s="71">
        <f t="shared" si="13"/>
        <v>10</v>
      </c>
      <c r="T101" s="71" t="e">
        <f>IFERROR(VLOOKUP(B101,Modules!$E$11:$K$52,7,0),IFERROR(VLOOKUP(B101,Modules!$F$11:$K$52,6,0),VLOOKUP(B101,Modules!$G$11:$K$52,5,0)))</f>
        <v>#N/A</v>
      </c>
      <c r="U101" s="71">
        <f>IFERROR(MATCH(T101,Interventions!C:C,0),0)</f>
        <v>0</v>
      </c>
      <c r="V101" s="71" cm="1">
        <f t="array" ref="V101">SUM(U101,COUNTIF(ModuleStart,T101)-1)</f>
        <v>-1</v>
      </c>
      <c r="W101" s="72">
        <f t="shared" si="14"/>
        <v>0</v>
      </c>
      <c r="X101" s="72" t="str">
        <f t="shared" si="15"/>
        <v/>
      </c>
      <c r="Y101" s="82" t="str">
        <f>IF(AND(AE101="Continue",AG101="Continue"),VLOOKUP($B$10,Translation[],91,0),IF(AND(AE101&lt;&gt;"Continue",AG101="Continue"),AE101,IF(AND(AG101&lt;&gt;"Continue",AE101="Continue"),AG101,CONCATENATE(AE101,CHAR(10),AG101))))</f>
        <v>No error</v>
      </c>
      <c r="Z101" s="62" t="str">
        <f>IF(OR(AND($B101&lt;&gt;"",$K101=""),AND($C101&lt;&gt;"",$L101="")),VLOOKUP($B$10,Translation[],87,0),"Continue")</f>
        <v>Continue</v>
      </c>
      <c r="AA101" s="62" t="str">
        <f>IF(AND($B101 &lt;&gt; "",$K101&lt;&gt;""),IF($K101=_xlfn.XLOOKUP(L101,Interventions!$F$11:$F$179,Interventions!$C$11:$C$179,1,0,1),"Continue",VLOOKUP($B$10,Translation[],88,0)),"Continue")</f>
        <v>Continue</v>
      </c>
      <c r="AB101" s="9" t="str">
        <f>IFERROR(IF($A101&lt;&gt;"",IF($B$10="English", IF(MATCH($A101,'Dropdown Data'!$A$361:$A$363,0)&gt;0,"Continue"), IF($B$10="Français",IF(MATCH($A101,'Dropdown Data'!$B$361:$B$363,0)&gt;0,"Continue"), IF($B$10="Español",IF(MATCH($A101,'Dropdown Data'!$C$361:$C$363,0)&gt;0,"Continue"),VLOOKUP($B$10,Translation[],89,0)))),"Continue"),VLOOKUP($B$10,Translation[],89,0))</f>
        <v>Continue</v>
      </c>
      <c r="AC101" s="62" t="str">
        <f>IF(AND(NOT(ISBLANK($D101)),(NOT(ISNUMBER($D101)))),VLOOKUP($B$10,Translation[],90,0),"Continue")</f>
        <v>Continue</v>
      </c>
      <c r="AD101" s="62" t="str">
        <f xml:space="preserve"> IFERROR(IF(INT($D101) &lt;&gt; $D101, VLOOKUP($B$10,Translation[],92,0), "Continue"),"Continue")</f>
        <v>Continue</v>
      </c>
      <c r="AE101" s="62" t="str">
        <f t="shared" si="16"/>
        <v>Continue</v>
      </c>
      <c r="AF101" s="9" t="str">
        <f t="shared" si="17"/>
        <v>Continue</v>
      </c>
      <c r="AG101" s="9" t="str">
        <f t="shared" si="18"/>
        <v>Continue</v>
      </c>
    </row>
    <row r="102" spans="1:33" ht="15" x14ac:dyDescent="0.2">
      <c r="A102" s="83"/>
      <c r="B102" s="84"/>
      <c r="C102" s="84"/>
      <c r="D102" s="96"/>
      <c r="E102" s="93" t="str">
        <f>IF(ISBLANK(D102),"",IF(IF(Modules!$D$4="EUR",W102*(Modules!$B$5),$W102)=0,0,IF(Modules!$D$4="EUR",W102*(Modules!$B$5),$W102)))</f>
        <v/>
      </c>
      <c r="F102" s="41"/>
      <c r="G102" s="82" t="str">
        <f>IF(NOT(ISBLANK('PAAR (EN)'!$G102)),IF('PAAR (EN)'!$G102 &lt;&gt; "",IF(PAAR!$B$10="English",'PAAR (EN)'!$G102,IF(PAAR!$B$10="Français",_xlfn.XLOOKUP('PAAR (EN)'!$G102,'Dropdown Data'!$A$365:$A$368, 'Dropdown Data'!$B$365:$B$368,0,0,1),_xlfn.XLOOKUP('PAAR (EN)'!$G102,'Dropdown Data'!$A$365:$A$368,'Dropdown Data'!$C$365:$C$368,0,0,1))),""),"")</f>
        <v/>
      </c>
      <c r="H102" s="92" t="str">
        <f>IF('PAAR (EN)'!$H102 &lt;&gt;"", 'PAAR (EN)'!$H102, "")</f>
        <v/>
      </c>
      <c r="I102" s="89" t="str">
        <f>IF('PAAR (EN)'!$I102 &lt;&gt; "", 'PAAR (EN)'!$I102, "")</f>
        <v/>
      </c>
      <c r="J102" s="15"/>
      <c r="K102" s="42" t="str">
        <f>IFERROR(VLOOKUP(B102,Modules!C:D,2,0),"")</f>
        <v/>
      </c>
      <c r="L102" s="40" t="str" cm="1">
        <f t="array" ref="L102">IFERROR(INDEX(Interventions!$F$12:$F$178,MATCH(TRUE,INDEX(Interventions!$E$12:$E$178=$C102,0),0)),0)</f>
        <v>[Name ID]</v>
      </c>
      <c r="M102" s="15" t="str">
        <f>CLEAN(IFERROR(VLOOKUP($C102,Interventions!$E$1:$K$444,7,0),""))</f>
        <v/>
      </c>
      <c r="N102" s="15" t="str">
        <f>CLEAN(IF(C102="","",CONCATENATE(Modules!$B$8,PAAR!M102,Q102)))</f>
        <v/>
      </c>
      <c r="O102" s="70">
        <f>IFERROR(INDEX('Dropdown Data'!$D$33:$D$35,MATCH(A102,'Dropdown Data'!$B$33:$B$35,0)),IFERROR(INDEX('Dropdown Data'!$D$33:$D$35,MATCH(A102,'Dropdown Data'!$C$33:$C$35,0)),A102))</f>
        <v>0</v>
      </c>
      <c r="P102" s="70" t="str">
        <f>IFERROR(INDEX('Dropdown Data'!$D$33:$D$36,MATCH(G102,'Dropdown Data'!$B$33:$B$36,0)),IFERROR(INDEX('Dropdown Data'!$D$33:$D$36,MATCH(G102,'Dropdown Data'!$C$33:$C$36,0)),G102))</f>
        <v/>
      </c>
      <c r="Q102" s="71">
        <v>74</v>
      </c>
      <c r="R102" s="71" t="b">
        <f t="shared" si="12"/>
        <v>0</v>
      </c>
      <c r="S102" s="71">
        <f t="shared" si="13"/>
        <v>10</v>
      </c>
      <c r="T102" s="71" t="e">
        <f>IFERROR(VLOOKUP(B102,Modules!$E$11:$K$52,7,0),IFERROR(VLOOKUP(B102,Modules!$F$11:$K$52,6,0),VLOOKUP(B102,Modules!$G$11:$K$52,5,0)))</f>
        <v>#N/A</v>
      </c>
      <c r="U102" s="71">
        <f>IFERROR(MATCH(T102,Interventions!C:C,0),0)</f>
        <v>0</v>
      </c>
      <c r="V102" s="71" cm="1">
        <f t="array" ref="V102">SUM(U102,COUNTIF(ModuleStart,T102)-1)</f>
        <v>-1</v>
      </c>
      <c r="W102" s="72">
        <f t="shared" si="14"/>
        <v>0</v>
      </c>
      <c r="X102" s="72" t="str">
        <f t="shared" si="15"/>
        <v/>
      </c>
      <c r="Y102" s="82" t="str">
        <f>IF(AND(AE102="Continue",AG102="Continue"),VLOOKUP($B$10,Translation[],91,0),IF(AND(AE102&lt;&gt;"Continue",AG102="Continue"),AE102,IF(AND(AG102&lt;&gt;"Continue",AE102="Continue"),AG102,CONCATENATE(AE102,CHAR(10),AG102))))</f>
        <v>No error</v>
      </c>
      <c r="Z102" s="62" t="str">
        <f>IF(OR(AND($B102&lt;&gt;"",$K102=""),AND($C102&lt;&gt;"",$L102="")),VLOOKUP($B$10,Translation[],87,0),"Continue")</f>
        <v>Continue</v>
      </c>
      <c r="AA102" s="62" t="str">
        <f>IF(AND($B102 &lt;&gt; "",$K102&lt;&gt;""),IF($K102=_xlfn.XLOOKUP(L102,Interventions!$F$11:$F$179,Interventions!$C$11:$C$179,1,0,1),"Continue",VLOOKUP($B$10,Translation[],88,0)),"Continue")</f>
        <v>Continue</v>
      </c>
      <c r="AB102" s="9" t="str">
        <f>IFERROR(IF($A102&lt;&gt;"",IF($B$10="English", IF(MATCH($A102,'Dropdown Data'!$A$361:$A$363,0)&gt;0,"Continue"), IF($B$10="Français",IF(MATCH($A102,'Dropdown Data'!$B$361:$B$363,0)&gt;0,"Continue"), IF($B$10="Español",IF(MATCH($A102,'Dropdown Data'!$C$361:$C$363,0)&gt;0,"Continue"),VLOOKUP($B$10,Translation[],89,0)))),"Continue"),VLOOKUP($B$10,Translation[],89,0))</f>
        <v>Continue</v>
      </c>
      <c r="AC102" s="62" t="str">
        <f>IF(AND(NOT(ISBLANK($D102)),(NOT(ISNUMBER($D102)))),VLOOKUP($B$10,Translation[],90,0),"Continue")</f>
        <v>Continue</v>
      </c>
      <c r="AD102" s="62" t="str">
        <f xml:space="preserve"> IFERROR(IF(INT($D102) &lt;&gt; $D102, VLOOKUP($B$10,Translation[],92,0), "Continue"),"Continue")</f>
        <v>Continue</v>
      </c>
      <c r="AE102" s="62" t="str">
        <f t="shared" si="16"/>
        <v>Continue</v>
      </c>
      <c r="AF102" s="9" t="str">
        <f t="shared" si="17"/>
        <v>Continue</v>
      </c>
      <c r="AG102" s="9" t="str">
        <f t="shared" si="18"/>
        <v>Continue</v>
      </c>
    </row>
    <row r="103" spans="1:33" ht="15" x14ac:dyDescent="0.2">
      <c r="A103" s="83"/>
      <c r="B103" s="84"/>
      <c r="C103" s="84"/>
      <c r="D103" s="96"/>
      <c r="E103" s="93" t="str">
        <f>IF(ISBLANK(D103),"",IF(IF(Modules!$D$4="EUR",W103*(Modules!$B$5),$W103)=0,0,IF(Modules!$D$4="EUR",W103*(Modules!$B$5),$W103)))</f>
        <v/>
      </c>
      <c r="F103" s="41"/>
      <c r="G103" s="82" t="str">
        <f>IF(NOT(ISBLANK('PAAR (EN)'!$G103)),IF('PAAR (EN)'!$G103 &lt;&gt; "",IF(PAAR!$B$10="English",'PAAR (EN)'!$G103,IF(PAAR!$B$10="Français",_xlfn.XLOOKUP('PAAR (EN)'!$G103,'Dropdown Data'!$A$365:$A$368, 'Dropdown Data'!$B$365:$B$368,0,0,1),_xlfn.XLOOKUP('PAAR (EN)'!$G103,'Dropdown Data'!$A$365:$A$368,'Dropdown Data'!$C$365:$C$368,0,0,1))),""),"")</f>
        <v/>
      </c>
      <c r="H103" s="92" t="str">
        <f>IF('PAAR (EN)'!$H103 &lt;&gt;"", 'PAAR (EN)'!$H103, "")</f>
        <v/>
      </c>
      <c r="I103" s="89" t="str">
        <f>IF('PAAR (EN)'!$I103 &lt;&gt; "", 'PAAR (EN)'!$I103, "")</f>
        <v/>
      </c>
      <c r="J103" s="15"/>
      <c r="K103" s="42" t="str">
        <f>IFERROR(VLOOKUP(B103,Modules!C:D,2,0),"")</f>
        <v/>
      </c>
      <c r="L103" s="40" t="str" cm="1">
        <f t="array" ref="L103">IFERROR(INDEX(Interventions!$F$12:$F$178,MATCH(TRUE,INDEX(Interventions!$E$12:$E$178=$C103,0),0)),0)</f>
        <v>[Name ID]</v>
      </c>
      <c r="M103" s="15" t="str">
        <f>CLEAN(IFERROR(VLOOKUP($C103,Interventions!$E$1:$K$444,7,0),""))</f>
        <v/>
      </c>
      <c r="N103" s="15" t="str">
        <f>CLEAN(IF(C103="","",CONCATENATE(Modules!$B$8,PAAR!M103,Q103)))</f>
        <v/>
      </c>
      <c r="O103" s="70">
        <f>IFERROR(INDEX('Dropdown Data'!$D$33:$D$35,MATCH(A103,'Dropdown Data'!$B$33:$B$35,0)),IFERROR(INDEX('Dropdown Data'!$D$33:$D$35,MATCH(A103,'Dropdown Data'!$C$33:$C$35,0)),A103))</f>
        <v>0</v>
      </c>
      <c r="P103" s="70" t="str">
        <f>IFERROR(INDEX('Dropdown Data'!$D$33:$D$36,MATCH(G103,'Dropdown Data'!$B$33:$B$36,0)),IFERROR(INDEX('Dropdown Data'!$D$33:$D$36,MATCH(G103,'Dropdown Data'!$C$33:$C$36,0)),G103))</f>
        <v/>
      </c>
      <c r="Q103" s="71">
        <v>75</v>
      </c>
      <c r="R103" s="71" t="b">
        <f t="shared" si="12"/>
        <v>0</v>
      </c>
      <c r="S103" s="71">
        <f t="shared" si="13"/>
        <v>10</v>
      </c>
      <c r="T103" s="71" t="e">
        <f>IFERROR(VLOOKUP(B103,Modules!$E$11:$K$52,7,0),IFERROR(VLOOKUP(B103,Modules!$F$11:$K$52,6,0),VLOOKUP(B103,Modules!$G$11:$K$52,5,0)))</f>
        <v>#N/A</v>
      </c>
      <c r="U103" s="71">
        <f>IFERROR(MATCH(T103,Interventions!C:C,0),0)</f>
        <v>0</v>
      </c>
      <c r="V103" s="71" cm="1">
        <f t="array" ref="V103">SUM(U103,COUNTIF(ModuleStart,T103)-1)</f>
        <v>-1</v>
      </c>
      <c r="W103" s="72">
        <f t="shared" si="14"/>
        <v>0</v>
      </c>
      <c r="X103" s="72" t="str">
        <f t="shared" si="15"/>
        <v/>
      </c>
      <c r="Y103" s="82" t="str">
        <f>IF(AND(AE103="Continue",AG103="Continue"),VLOOKUP($B$10,Translation[],91,0),IF(AND(AE103&lt;&gt;"Continue",AG103="Continue"),AE103,IF(AND(AG103&lt;&gt;"Continue",AE103="Continue"),AG103,CONCATENATE(AE103,CHAR(10),AG103))))</f>
        <v>No error</v>
      </c>
      <c r="Z103" s="62" t="str">
        <f>IF(OR(AND($B103&lt;&gt;"",$K103=""),AND($C103&lt;&gt;"",$L103="")),VLOOKUP($B$10,Translation[],87,0),"Continue")</f>
        <v>Continue</v>
      </c>
      <c r="AA103" s="62" t="str">
        <f>IF(AND($B103 &lt;&gt; "",$K103&lt;&gt;""),IF($K103=_xlfn.XLOOKUP(L103,Interventions!$F$11:$F$179,Interventions!$C$11:$C$179,1,0,1),"Continue",VLOOKUP($B$10,Translation[],88,0)),"Continue")</f>
        <v>Continue</v>
      </c>
      <c r="AB103" s="9" t="str">
        <f>IFERROR(IF($A103&lt;&gt;"",IF($B$10="English", IF(MATCH($A103,'Dropdown Data'!$A$361:$A$363,0)&gt;0,"Continue"), IF($B$10="Français",IF(MATCH($A103,'Dropdown Data'!$B$361:$B$363,0)&gt;0,"Continue"), IF($B$10="Español",IF(MATCH($A103,'Dropdown Data'!$C$361:$C$363,0)&gt;0,"Continue"),VLOOKUP($B$10,Translation[],89,0)))),"Continue"),VLOOKUP($B$10,Translation[],89,0))</f>
        <v>Continue</v>
      </c>
      <c r="AC103" s="62" t="str">
        <f>IF(AND(NOT(ISBLANK($D103)),(NOT(ISNUMBER($D103)))),VLOOKUP($B$10,Translation[],90,0),"Continue")</f>
        <v>Continue</v>
      </c>
      <c r="AD103" s="62" t="str">
        <f xml:space="preserve"> IFERROR(IF(INT($D103) &lt;&gt; $D103, VLOOKUP($B$10,Translation[],92,0), "Continue"),"Continue")</f>
        <v>Continue</v>
      </c>
      <c r="AE103" s="62" t="str">
        <f t="shared" si="16"/>
        <v>Continue</v>
      </c>
      <c r="AF103" s="9" t="str">
        <f t="shared" si="17"/>
        <v>Continue</v>
      </c>
      <c r="AG103" s="9" t="str">
        <f t="shared" si="18"/>
        <v>Continue</v>
      </c>
    </row>
    <row r="104" spans="1:33" ht="15" x14ac:dyDescent="0.2">
      <c r="A104" s="83"/>
      <c r="B104" s="84"/>
      <c r="C104" s="84"/>
      <c r="D104" s="96"/>
      <c r="E104" s="93" t="str">
        <f>IF(ISBLANK(D104),"",IF(IF(Modules!$D$4="EUR",W104*(Modules!$B$5),$W104)=0,0,IF(Modules!$D$4="EUR",W104*(Modules!$B$5),$W104)))</f>
        <v/>
      </c>
      <c r="F104" s="41"/>
      <c r="G104" s="82" t="str">
        <f>IF(NOT(ISBLANK('PAAR (EN)'!$G104)),IF('PAAR (EN)'!$G104 &lt;&gt; "",IF(PAAR!$B$10="English",'PAAR (EN)'!$G104,IF(PAAR!$B$10="Français",_xlfn.XLOOKUP('PAAR (EN)'!$G104,'Dropdown Data'!$A$365:$A$368, 'Dropdown Data'!$B$365:$B$368,0,0,1),_xlfn.XLOOKUP('PAAR (EN)'!$G104,'Dropdown Data'!$A$365:$A$368,'Dropdown Data'!$C$365:$C$368,0,0,1))),""),"")</f>
        <v/>
      </c>
      <c r="H104" s="92" t="str">
        <f>IF('PAAR (EN)'!$H104 &lt;&gt;"", 'PAAR (EN)'!$H104, "")</f>
        <v/>
      </c>
      <c r="I104" s="89" t="str">
        <f>IF('PAAR (EN)'!$I104 &lt;&gt; "", 'PAAR (EN)'!$I104, "")</f>
        <v/>
      </c>
      <c r="J104" s="15"/>
      <c r="K104" s="42" t="str">
        <f>IFERROR(VLOOKUP(B104,Modules!C:D,2,0),"")</f>
        <v/>
      </c>
      <c r="L104" s="40" t="str" cm="1">
        <f t="array" ref="L104">IFERROR(INDEX(Interventions!$F$12:$F$178,MATCH(TRUE,INDEX(Interventions!$E$12:$E$178=$C104,0),0)),0)</f>
        <v>[Name ID]</v>
      </c>
      <c r="M104" s="15" t="str">
        <f>CLEAN(IFERROR(VLOOKUP($C104,Interventions!$E$1:$K$444,7,0),""))</f>
        <v/>
      </c>
      <c r="N104" s="15" t="str">
        <f>CLEAN(IF(C104="","",CONCATENATE(Modules!$B$8,PAAR!M104,Q104)))</f>
        <v/>
      </c>
      <c r="O104" s="70">
        <f>IFERROR(INDEX('Dropdown Data'!$D$33:$D$35,MATCH(A104,'Dropdown Data'!$B$33:$B$35,0)),IFERROR(INDEX('Dropdown Data'!$D$33:$D$35,MATCH(A104,'Dropdown Data'!$C$33:$C$35,0)),A104))</f>
        <v>0</v>
      </c>
      <c r="P104" s="70" t="str">
        <f>IFERROR(INDEX('Dropdown Data'!$D$33:$D$36,MATCH(G104,'Dropdown Data'!$B$33:$B$36,0)),IFERROR(INDEX('Dropdown Data'!$D$33:$D$36,MATCH(G104,'Dropdown Data'!$C$33:$C$36,0)),G104))</f>
        <v/>
      </c>
      <c r="Q104" s="71">
        <v>76</v>
      </c>
      <c r="R104" s="71" t="b">
        <f t="shared" si="12"/>
        <v>0</v>
      </c>
      <c r="S104" s="71">
        <f t="shared" si="13"/>
        <v>10</v>
      </c>
      <c r="T104" s="71" t="e">
        <f>IFERROR(VLOOKUP(B104,Modules!$E$11:$K$52,7,0),IFERROR(VLOOKUP(B104,Modules!$F$11:$K$52,6,0),VLOOKUP(B104,Modules!$G$11:$K$52,5,0)))</f>
        <v>#N/A</v>
      </c>
      <c r="U104" s="71">
        <f>IFERROR(MATCH(T104,Interventions!C:C,0),0)</f>
        <v>0</v>
      </c>
      <c r="V104" s="71" cm="1">
        <f t="array" ref="V104">SUM(U104,COUNTIF(ModuleStart,T104)-1)</f>
        <v>-1</v>
      </c>
      <c r="W104" s="72">
        <f t="shared" si="14"/>
        <v>0</v>
      </c>
      <c r="X104" s="72" t="str">
        <f t="shared" si="15"/>
        <v/>
      </c>
      <c r="Y104" s="82" t="str">
        <f>IF(AND(AE104="Continue",AG104="Continue"),VLOOKUP($B$10,Translation[],91,0),IF(AND(AE104&lt;&gt;"Continue",AG104="Continue"),AE104,IF(AND(AG104&lt;&gt;"Continue",AE104="Continue"),AG104,CONCATENATE(AE104,CHAR(10),AG104))))</f>
        <v>No error</v>
      </c>
      <c r="Z104" s="62" t="str">
        <f>IF(OR(AND($B104&lt;&gt;"",$K104=""),AND($C104&lt;&gt;"",$L104="")),VLOOKUP($B$10,Translation[],87,0),"Continue")</f>
        <v>Continue</v>
      </c>
      <c r="AA104" s="62" t="str">
        <f>IF(AND($B104 &lt;&gt; "",$K104&lt;&gt;""),IF($K104=_xlfn.XLOOKUP(L104,Interventions!$F$11:$F$179,Interventions!$C$11:$C$179,1,0,1),"Continue",VLOOKUP($B$10,Translation[],88,0)),"Continue")</f>
        <v>Continue</v>
      </c>
      <c r="AB104" s="9" t="str">
        <f>IFERROR(IF($A104&lt;&gt;"",IF($B$10="English", IF(MATCH($A104,'Dropdown Data'!$A$361:$A$363,0)&gt;0,"Continue"), IF($B$10="Français",IF(MATCH($A104,'Dropdown Data'!$B$361:$B$363,0)&gt;0,"Continue"), IF($B$10="Español",IF(MATCH($A104,'Dropdown Data'!$C$361:$C$363,0)&gt;0,"Continue"),VLOOKUP($B$10,Translation[],89,0)))),"Continue"),VLOOKUP($B$10,Translation[],89,0))</f>
        <v>Continue</v>
      </c>
      <c r="AC104" s="62" t="str">
        <f>IF(AND(NOT(ISBLANK($D104)),(NOT(ISNUMBER($D104)))),VLOOKUP($B$10,Translation[],90,0),"Continue")</f>
        <v>Continue</v>
      </c>
      <c r="AD104" s="62" t="str">
        <f xml:space="preserve"> IFERROR(IF(INT($D104) &lt;&gt; $D104, VLOOKUP($B$10,Translation[],92,0), "Continue"),"Continue")</f>
        <v>Continue</v>
      </c>
      <c r="AE104" s="62" t="str">
        <f t="shared" si="16"/>
        <v>Continue</v>
      </c>
      <c r="AF104" s="9" t="str">
        <f t="shared" si="17"/>
        <v>Continue</v>
      </c>
      <c r="AG104" s="9" t="str">
        <f t="shared" si="18"/>
        <v>Continue</v>
      </c>
    </row>
    <row r="105" spans="1:33" ht="15" x14ac:dyDescent="0.2">
      <c r="A105" s="83"/>
      <c r="B105" s="84"/>
      <c r="C105" s="84"/>
      <c r="D105" s="96"/>
      <c r="E105" s="93" t="str">
        <f>IF(ISBLANK(D105),"",IF(IF(Modules!$D$4="EUR",W105*(Modules!$B$5),$W105)=0,0,IF(Modules!$D$4="EUR",W105*(Modules!$B$5),$W105)))</f>
        <v/>
      </c>
      <c r="F105" s="41"/>
      <c r="G105" s="82" t="str">
        <f>IF(NOT(ISBLANK('PAAR (EN)'!$G105)),IF('PAAR (EN)'!$G105 &lt;&gt; "",IF(PAAR!$B$10="English",'PAAR (EN)'!$G105,IF(PAAR!$B$10="Français",_xlfn.XLOOKUP('PAAR (EN)'!$G105,'Dropdown Data'!$A$365:$A$368, 'Dropdown Data'!$B$365:$B$368,0,0,1),_xlfn.XLOOKUP('PAAR (EN)'!$G105,'Dropdown Data'!$A$365:$A$368,'Dropdown Data'!$C$365:$C$368,0,0,1))),""),"")</f>
        <v/>
      </c>
      <c r="H105" s="92" t="str">
        <f>IF('PAAR (EN)'!$H105 &lt;&gt;"", 'PAAR (EN)'!$H105, "")</f>
        <v/>
      </c>
      <c r="I105" s="89" t="str">
        <f>IF('PAAR (EN)'!$I105 &lt;&gt; "", 'PAAR (EN)'!$I105, "")</f>
        <v/>
      </c>
      <c r="J105" s="15"/>
      <c r="K105" s="42" t="str">
        <f>IFERROR(VLOOKUP(B105,Modules!C:D,2,0),"")</f>
        <v/>
      </c>
      <c r="L105" s="40" t="str" cm="1">
        <f t="array" ref="L105">IFERROR(INDEX(Interventions!$F$12:$F$178,MATCH(TRUE,INDEX(Interventions!$E$12:$E$178=$C105,0),0)),0)</f>
        <v>[Name ID]</v>
      </c>
      <c r="M105" s="15" t="str">
        <f>CLEAN(IFERROR(VLOOKUP($C105,Interventions!$E$1:$K$444,7,0),""))</f>
        <v/>
      </c>
      <c r="N105" s="15" t="str">
        <f>CLEAN(IF(C105="","",CONCATENATE(Modules!$B$8,PAAR!M105,Q105)))</f>
        <v/>
      </c>
      <c r="O105" s="70">
        <f>IFERROR(INDEX('Dropdown Data'!$D$33:$D$35,MATCH(A105,'Dropdown Data'!$B$33:$B$35,0)),IFERROR(INDEX('Dropdown Data'!$D$33:$D$35,MATCH(A105,'Dropdown Data'!$C$33:$C$35,0)),A105))</f>
        <v>0</v>
      </c>
      <c r="P105" s="70" t="str">
        <f>IFERROR(INDEX('Dropdown Data'!$D$33:$D$36,MATCH(G105,'Dropdown Data'!$B$33:$B$36,0)),IFERROR(INDEX('Dropdown Data'!$D$33:$D$36,MATCH(G105,'Dropdown Data'!$C$33:$C$36,0)),G105))</f>
        <v/>
      </c>
      <c r="Q105" s="71">
        <v>77</v>
      </c>
      <c r="R105" s="71" t="b">
        <f t="shared" si="12"/>
        <v>0</v>
      </c>
      <c r="S105" s="71">
        <f t="shared" si="13"/>
        <v>10</v>
      </c>
      <c r="T105" s="71" t="e">
        <f>IFERROR(VLOOKUP(B105,Modules!$E$11:$K$52,7,0),IFERROR(VLOOKUP(B105,Modules!$F$11:$K$52,6,0),VLOOKUP(B105,Modules!$G$11:$K$52,5,0)))</f>
        <v>#N/A</v>
      </c>
      <c r="U105" s="71">
        <f>IFERROR(MATCH(T105,Interventions!C:C,0),0)</f>
        <v>0</v>
      </c>
      <c r="V105" s="71" cm="1">
        <f t="array" ref="V105">SUM(U105,COUNTIF(ModuleStart,T105)-1)</f>
        <v>-1</v>
      </c>
      <c r="W105" s="72">
        <f t="shared" si="14"/>
        <v>0</v>
      </c>
      <c r="X105" s="72" t="str">
        <f t="shared" si="15"/>
        <v/>
      </c>
      <c r="Y105" s="82" t="str">
        <f>IF(AND(AE105="Continue",AG105="Continue"),VLOOKUP($B$10,Translation[],91,0),IF(AND(AE105&lt;&gt;"Continue",AG105="Continue"),AE105,IF(AND(AG105&lt;&gt;"Continue",AE105="Continue"),AG105,CONCATENATE(AE105,CHAR(10),AG105))))</f>
        <v>No error</v>
      </c>
      <c r="Z105" s="62" t="str">
        <f>IF(OR(AND($B105&lt;&gt;"",$K105=""),AND($C105&lt;&gt;"",$L105="")),VLOOKUP($B$10,Translation[],87,0),"Continue")</f>
        <v>Continue</v>
      </c>
      <c r="AA105" s="62" t="str">
        <f>IF(AND($B105 &lt;&gt; "",$K105&lt;&gt;""),IF($K105=_xlfn.XLOOKUP(L105,Interventions!$F$11:$F$179,Interventions!$C$11:$C$179,1,0,1),"Continue",VLOOKUP($B$10,Translation[],88,0)),"Continue")</f>
        <v>Continue</v>
      </c>
      <c r="AB105" s="9" t="str">
        <f>IFERROR(IF($A105&lt;&gt;"",IF($B$10="English", IF(MATCH($A105,'Dropdown Data'!$A$361:$A$363,0)&gt;0,"Continue"), IF($B$10="Français",IF(MATCH($A105,'Dropdown Data'!$B$361:$B$363,0)&gt;0,"Continue"), IF($B$10="Español",IF(MATCH($A105,'Dropdown Data'!$C$361:$C$363,0)&gt;0,"Continue"),VLOOKUP($B$10,Translation[],89,0)))),"Continue"),VLOOKUP($B$10,Translation[],89,0))</f>
        <v>Continue</v>
      </c>
      <c r="AC105" s="62" t="str">
        <f>IF(AND(NOT(ISBLANK($D105)),(NOT(ISNUMBER($D105)))),VLOOKUP($B$10,Translation[],90,0),"Continue")</f>
        <v>Continue</v>
      </c>
      <c r="AD105" s="62" t="str">
        <f xml:space="preserve"> IFERROR(IF(INT($D105) &lt;&gt; $D105, VLOOKUP($B$10,Translation[],92,0), "Continue"),"Continue")</f>
        <v>Continue</v>
      </c>
      <c r="AE105" s="62" t="str">
        <f t="shared" si="16"/>
        <v>Continue</v>
      </c>
      <c r="AF105" s="9" t="str">
        <f t="shared" si="17"/>
        <v>Continue</v>
      </c>
      <c r="AG105" s="9" t="str">
        <f t="shared" si="18"/>
        <v>Continue</v>
      </c>
    </row>
    <row r="106" spans="1:33" ht="15" x14ac:dyDescent="0.2">
      <c r="A106" s="83"/>
      <c r="B106" s="84"/>
      <c r="C106" s="84"/>
      <c r="D106" s="96"/>
      <c r="E106" s="93" t="str">
        <f>IF(ISBLANK(D106),"",IF(IF(Modules!$D$4="EUR",W106*(Modules!$B$5),$W106)=0,0,IF(Modules!$D$4="EUR",W106*(Modules!$B$5),$W106)))</f>
        <v/>
      </c>
      <c r="F106" s="41"/>
      <c r="G106" s="82" t="str">
        <f>IF(NOT(ISBLANK('PAAR (EN)'!$G106)),IF('PAAR (EN)'!$G106 &lt;&gt; "",IF(PAAR!$B$10="English",'PAAR (EN)'!$G106,IF(PAAR!$B$10="Français",_xlfn.XLOOKUP('PAAR (EN)'!$G106,'Dropdown Data'!$A$365:$A$368, 'Dropdown Data'!$B$365:$B$368,0,0,1),_xlfn.XLOOKUP('PAAR (EN)'!$G106,'Dropdown Data'!$A$365:$A$368,'Dropdown Data'!$C$365:$C$368,0,0,1))),""),"")</f>
        <v/>
      </c>
      <c r="H106" s="92" t="str">
        <f>IF('PAAR (EN)'!$H106 &lt;&gt;"", 'PAAR (EN)'!$H106, "")</f>
        <v/>
      </c>
      <c r="I106" s="89" t="str">
        <f>IF('PAAR (EN)'!$I106 &lt;&gt; "", 'PAAR (EN)'!$I106, "")</f>
        <v/>
      </c>
      <c r="J106" s="15"/>
      <c r="K106" s="42" t="str">
        <f>IFERROR(VLOOKUP(B106,Modules!C:D,2,0),"")</f>
        <v/>
      </c>
      <c r="L106" s="40" t="str" cm="1">
        <f t="array" ref="L106">IFERROR(INDEX(Interventions!$F$12:$F$178,MATCH(TRUE,INDEX(Interventions!$E$12:$E$178=$C106,0),0)),0)</f>
        <v>[Name ID]</v>
      </c>
      <c r="M106" s="15" t="str">
        <f>CLEAN(IFERROR(VLOOKUP($C106,Interventions!$E$1:$K$444,7,0),""))</f>
        <v/>
      </c>
      <c r="N106" s="15" t="str">
        <f>CLEAN(IF(C106="","",CONCATENATE(Modules!$B$8,PAAR!M106,Q106)))</f>
        <v/>
      </c>
      <c r="O106" s="70">
        <f>IFERROR(INDEX('Dropdown Data'!$D$33:$D$35,MATCH(A106,'Dropdown Data'!$B$33:$B$35,0)),IFERROR(INDEX('Dropdown Data'!$D$33:$D$35,MATCH(A106,'Dropdown Data'!$C$33:$C$35,0)),A106))</f>
        <v>0</v>
      </c>
      <c r="P106" s="70" t="str">
        <f>IFERROR(INDEX('Dropdown Data'!$D$33:$D$36,MATCH(G106,'Dropdown Data'!$B$33:$B$36,0)),IFERROR(INDEX('Dropdown Data'!$D$33:$D$36,MATCH(G106,'Dropdown Data'!$C$33:$C$36,0)),G106))</f>
        <v/>
      </c>
      <c r="Q106" s="71">
        <v>78</v>
      </c>
      <c r="R106" s="71" t="b">
        <f t="shared" si="12"/>
        <v>0</v>
      </c>
      <c r="S106" s="71">
        <f t="shared" si="13"/>
        <v>10</v>
      </c>
      <c r="T106" s="71" t="e">
        <f>IFERROR(VLOOKUP(B106,Modules!$E$11:$K$52,7,0),IFERROR(VLOOKUP(B106,Modules!$F$11:$K$52,6,0),VLOOKUP(B106,Modules!$G$11:$K$52,5,0)))</f>
        <v>#N/A</v>
      </c>
      <c r="U106" s="71">
        <f>IFERROR(MATCH(T106,Interventions!C:C,0),0)</f>
        <v>0</v>
      </c>
      <c r="V106" s="71" cm="1">
        <f t="array" ref="V106">SUM(U106,COUNTIF(ModuleStart,T106)-1)</f>
        <v>-1</v>
      </c>
      <c r="W106" s="72">
        <f t="shared" si="14"/>
        <v>0</v>
      </c>
      <c r="X106" s="72" t="str">
        <f t="shared" si="15"/>
        <v/>
      </c>
      <c r="Y106" s="82" t="str">
        <f>IF(AND(AE106="Continue",AG106="Continue"),VLOOKUP($B$10,Translation[],91,0),IF(AND(AE106&lt;&gt;"Continue",AG106="Continue"),AE106,IF(AND(AG106&lt;&gt;"Continue",AE106="Continue"),AG106,CONCATENATE(AE106,CHAR(10),AG106))))</f>
        <v>No error</v>
      </c>
      <c r="Z106" s="62" t="str">
        <f>IF(OR(AND($B106&lt;&gt;"",$K106=""),AND($C106&lt;&gt;"",$L106="")),VLOOKUP($B$10,Translation[],87,0),"Continue")</f>
        <v>Continue</v>
      </c>
      <c r="AA106" s="62" t="str">
        <f>IF(AND($B106 &lt;&gt; "",$K106&lt;&gt;""),IF($K106=_xlfn.XLOOKUP(L106,Interventions!$F$11:$F$179,Interventions!$C$11:$C$179,1,0,1),"Continue",VLOOKUP($B$10,Translation[],88,0)),"Continue")</f>
        <v>Continue</v>
      </c>
      <c r="AB106" s="9" t="str">
        <f>IFERROR(IF($A106&lt;&gt;"",IF($B$10="English", IF(MATCH($A106,'Dropdown Data'!$A$361:$A$363,0)&gt;0,"Continue"), IF($B$10="Français",IF(MATCH($A106,'Dropdown Data'!$B$361:$B$363,0)&gt;0,"Continue"), IF($B$10="Español",IF(MATCH($A106,'Dropdown Data'!$C$361:$C$363,0)&gt;0,"Continue"),VLOOKUP($B$10,Translation[],89,0)))),"Continue"),VLOOKUP($B$10,Translation[],89,0))</f>
        <v>Continue</v>
      </c>
      <c r="AC106" s="62" t="str">
        <f>IF(AND(NOT(ISBLANK($D106)),(NOT(ISNUMBER($D106)))),VLOOKUP($B$10,Translation[],90,0),"Continue")</f>
        <v>Continue</v>
      </c>
      <c r="AD106" s="62" t="str">
        <f xml:space="preserve"> IFERROR(IF(INT($D106) &lt;&gt; $D106, VLOOKUP($B$10,Translation[],92,0), "Continue"),"Continue")</f>
        <v>Continue</v>
      </c>
      <c r="AE106" s="62" t="str">
        <f t="shared" si="16"/>
        <v>Continue</v>
      </c>
      <c r="AF106" s="9" t="str">
        <f t="shared" si="17"/>
        <v>Continue</v>
      </c>
      <c r="AG106" s="9" t="str">
        <f t="shared" si="18"/>
        <v>Continue</v>
      </c>
    </row>
    <row r="107" spans="1:33" ht="15" x14ac:dyDescent="0.2">
      <c r="A107" s="83"/>
      <c r="B107" s="84"/>
      <c r="C107" s="84"/>
      <c r="D107" s="96"/>
      <c r="E107" s="93" t="str">
        <f>IF(ISBLANK(D107),"",IF(IF(Modules!$D$4="EUR",W107*(Modules!$B$5),$W107)=0,0,IF(Modules!$D$4="EUR",W107*(Modules!$B$5),$W107)))</f>
        <v/>
      </c>
      <c r="F107" s="41"/>
      <c r="G107" s="82" t="str">
        <f>IF(NOT(ISBLANK('PAAR (EN)'!$G107)),IF('PAAR (EN)'!$G107 &lt;&gt; "",IF(PAAR!$B$10="English",'PAAR (EN)'!$G107,IF(PAAR!$B$10="Français",_xlfn.XLOOKUP('PAAR (EN)'!$G107,'Dropdown Data'!$A$365:$A$368, 'Dropdown Data'!$B$365:$B$368,0,0,1),_xlfn.XLOOKUP('PAAR (EN)'!$G107,'Dropdown Data'!$A$365:$A$368,'Dropdown Data'!$C$365:$C$368,0,0,1))),""),"")</f>
        <v/>
      </c>
      <c r="H107" s="92" t="str">
        <f>IF('PAAR (EN)'!$H107 &lt;&gt;"", 'PAAR (EN)'!$H107, "")</f>
        <v/>
      </c>
      <c r="I107" s="89" t="str">
        <f>IF('PAAR (EN)'!$I107 &lt;&gt; "", 'PAAR (EN)'!$I107, "")</f>
        <v/>
      </c>
      <c r="J107" s="15"/>
      <c r="K107" s="42" t="str">
        <f>IFERROR(VLOOKUP(B107,Modules!C:D,2,0),"")</f>
        <v/>
      </c>
      <c r="L107" s="40" t="str" cm="1">
        <f t="array" ref="L107">IFERROR(INDEX(Interventions!$F$12:$F$178,MATCH(TRUE,INDEX(Interventions!$E$12:$E$178=$C107,0),0)),0)</f>
        <v>[Name ID]</v>
      </c>
      <c r="M107" s="15" t="str">
        <f>CLEAN(IFERROR(VLOOKUP($C107,Interventions!$E$1:$K$444,7,0),""))</f>
        <v/>
      </c>
      <c r="N107" s="15" t="str">
        <f>CLEAN(IF(C107="","",CONCATENATE(Modules!$B$8,PAAR!M107,Q107)))</f>
        <v/>
      </c>
      <c r="O107" s="70">
        <f>IFERROR(INDEX('Dropdown Data'!$D$33:$D$35,MATCH(A107,'Dropdown Data'!$B$33:$B$35,0)),IFERROR(INDEX('Dropdown Data'!$D$33:$D$35,MATCH(A107,'Dropdown Data'!$C$33:$C$35,0)),A107))</f>
        <v>0</v>
      </c>
      <c r="P107" s="70" t="str">
        <f>IFERROR(INDEX('Dropdown Data'!$D$33:$D$36,MATCH(G107,'Dropdown Data'!$B$33:$B$36,0)),IFERROR(INDEX('Dropdown Data'!$D$33:$D$36,MATCH(G107,'Dropdown Data'!$C$33:$C$36,0)),G107))</f>
        <v/>
      </c>
      <c r="Q107" s="71">
        <v>79</v>
      </c>
      <c r="R107" s="71" t="b">
        <f t="shared" si="12"/>
        <v>0</v>
      </c>
      <c r="S107" s="71">
        <f t="shared" si="13"/>
        <v>10</v>
      </c>
      <c r="T107" s="71" t="e">
        <f>IFERROR(VLOOKUP(B107,Modules!$E$11:$K$52,7,0),IFERROR(VLOOKUP(B107,Modules!$F$11:$K$52,6,0),VLOOKUP(B107,Modules!$G$11:$K$52,5,0)))</f>
        <v>#N/A</v>
      </c>
      <c r="U107" s="71">
        <f>IFERROR(MATCH(T107,Interventions!C:C,0),0)</f>
        <v>0</v>
      </c>
      <c r="V107" s="71" cm="1">
        <f t="array" ref="V107">SUM(U107,COUNTIF(ModuleStart,T107)-1)</f>
        <v>-1</v>
      </c>
      <c r="W107" s="72">
        <f t="shared" si="14"/>
        <v>0</v>
      </c>
      <c r="X107" s="72" t="str">
        <f t="shared" si="15"/>
        <v/>
      </c>
      <c r="Y107" s="82" t="str">
        <f>IF(AND(AE107="Continue",AG107="Continue"),VLOOKUP($B$10,Translation[],91,0),IF(AND(AE107&lt;&gt;"Continue",AG107="Continue"),AE107,IF(AND(AG107&lt;&gt;"Continue",AE107="Continue"),AG107,CONCATENATE(AE107,CHAR(10),AG107))))</f>
        <v>No error</v>
      </c>
      <c r="Z107" s="62" t="str">
        <f>IF(OR(AND($B107&lt;&gt;"",$K107=""),AND($C107&lt;&gt;"",$L107="")),VLOOKUP($B$10,Translation[],87,0),"Continue")</f>
        <v>Continue</v>
      </c>
      <c r="AA107" s="62" t="str">
        <f>IF(AND($B107 &lt;&gt; "",$K107&lt;&gt;""),IF($K107=_xlfn.XLOOKUP(L107,Interventions!$F$11:$F$179,Interventions!$C$11:$C$179,1,0,1),"Continue",VLOOKUP($B$10,Translation[],88,0)),"Continue")</f>
        <v>Continue</v>
      </c>
      <c r="AB107" s="9" t="str">
        <f>IFERROR(IF($A107&lt;&gt;"",IF($B$10="English", IF(MATCH($A107,'Dropdown Data'!$A$361:$A$363,0)&gt;0,"Continue"), IF($B$10="Français",IF(MATCH($A107,'Dropdown Data'!$B$361:$B$363,0)&gt;0,"Continue"), IF($B$10="Español",IF(MATCH($A107,'Dropdown Data'!$C$361:$C$363,0)&gt;0,"Continue"),VLOOKUP($B$10,Translation[],89,0)))),"Continue"),VLOOKUP($B$10,Translation[],89,0))</f>
        <v>Continue</v>
      </c>
      <c r="AC107" s="62" t="str">
        <f>IF(AND(NOT(ISBLANK($D107)),(NOT(ISNUMBER($D107)))),VLOOKUP($B$10,Translation[],90,0),"Continue")</f>
        <v>Continue</v>
      </c>
      <c r="AD107" s="62" t="str">
        <f xml:space="preserve"> IFERROR(IF(INT($D107) &lt;&gt; $D107, VLOOKUP($B$10,Translation[],92,0), "Continue"),"Continue")</f>
        <v>Continue</v>
      </c>
      <c r="AE107" s="62" t="str">
        <f t="shared" si="16"/>
        <v>Continue</v>
      </c>
      <c r="AF107" s="9" t="str">
        <f t="shared" si="17"/>
        <v>Continue</v>
      </c>
      <c r="AG107" s="9" t="str">
        <f t="shared" si="18"/>
        <v>Continue</v>
      </c>
    </row>
    <row r="108" spans="1:33" ht="15" x14ac:dyDescent="0.2">
      <c r="A108" s="83"/>
      <c r="B108" s="84"/>
      <c r="C108" s="84"/>
      <c r="D108" s="96"/>
      <c r="E108" s="93" t="str">
        <f>IF(ISBLANK(D108),"",IF(IF(Modules!$D$4="EUR",W108*(Modules!$B$5),$W108)=0,0,IF(Modules!$D$4="EUR",W108*(Modules!$B$5),$W108)))</f>
        <v/>
      </c>
      <c r="F108" s="41"/>
      <c r="G108" s="82" t="str">
        <f>IF(NOT(ISBLANK('PAAR (EN)'!$G108)),IF('PAAR (EN)'!$G108 &lt;&gt; "",IF(PAAR!$B$10="English",'PAAR (EN)'!$G108,IF(PAAR!$B$10="Français",_xlfn.XLOOKUP('PAAR (EN)'!$G108,'Dropdown Data'!$A$365:$A$368, 'Dropdown Data'!$B$365:$B$368,0,0,1),_xlfn.XLOOKUP('PAAR (EN)'!$G108,'Dropdown Data'!$A$365:$A$368,'Dropdown Data'!$C$365:$C$368,0,0,1))),""),"")</f>
        <v/>
      </c>
      <c r="H108" s="92" t="str">
        <f>IF('PAAR (EN)'!$H108 &lt;&gt;"", 'PAAR (EN)'!$H108, "")</f>
        <v/>
      </c>
      <c r="I108" s="89" t="str">
        <f>IF('PAAR (EN)'!$I108 &lt;&gt; "", 'PAAR (EN)'!$I108, "")</f>
        <v/>
      </c>
      <c r="J108" s="15"/>
      <c r="K108" s="42" t="str">
        <f>IFERROR(VLOOKUP(B108,Modules!C:D,2,0),"")</f>
        <v/>
      </c>
      <c r="L108" s="40" t="str" cm="1">
        <f t="array" ref="L108">IFERROR(INDEX(Interventions!$F$12:$F$178,MATCH(TRUE,INDEX(Interventions!$E$12:$E$178=$C108,0),0)),0)</f>
        <v>[Name ID]</v>
      </c>
      <c r="M108" s="15" t="str">
        <f>CLEAN(IFERROR(VLOOKUP($C108,Interventions!$E$1:$K$444,7,0),""))</f>
        <v/>
      </c>
      <c r="N108" s="15" t="str">
        <f>CLEAN(IF(C108="","",CONCATENATE(Modules!$B$8,PAAR!M108,Q108)))</f>
        <v/>
      </c>
      <c r="O108" s="70">
        <f>IFERROR(INDEX('Dropdown Data'!$D$33:$D$35,MATCH(A108,'Dropdown Data'!$B$33:$B$35,0)),IFERROR(INDEX('Dropdown Data'!$D$33:$D$35,MATCH(A108,'Dropdown Data'!$C$33:$C$35,0)),A108))</f>
        <v>0</v>
      </c>
      <c r="P108" s="70" t="str">
        <f>IFERROR(INDEX('Dropdown Data'!$D$33:$D$36,MATCH(G108,'Dropdown Data'!$B$33:$B$36,0)),IFERROR(INDEX('Dropdown Data'!$D$33:$D$36,MATCH(G108,'Dropdown Data'!$C$33:$C$36,0)),G108))</f>
        <v/>
      </c>
      <c r="Q108" s="71">
        <v>80</v>
      </c>
      <c r="R108" s="71" t="b">
        <f t="shared" si="12"/>
        <v>0</v>
      </c>
      <c r="S108" s="71">
        <f t="shared" si="13"/>
        <v>10</v>
      </c>
      <c r="T108" s="71" t="e">
        <f>IFERROR(VLOOKUP(B108,Modules!$E$11:$K$52,7,0),IFERROR(VLOOKUP(B108,Modules!$F$11:$K$52,6,0),VLOOKUP(B108,Modules!$G$11:$K$52,5,0)))</f>
        <v>#N/A</v>
      </c>
      <c r="U108" s="71">
        <f>IFERROR(MATCH(T108,Interventions!C:C,0),0)</f>
        <v>0</v>
      </c>
      <c r="V108" s="71" cm="1">
        <f t="array" ref="V108">SUM(U108,COUNTIF(ModuleStart,T108)-1)</f>
        <v>-1</v>
      </c>
      <c r="W108" s="72">
        <f t="shared" si="14"/>
        <v>0</v>
      </c>
      <c r="X108" s="72" t="str">
        <f t="shared" si="15"/>
        <v/>
      </c>
      <c r="Y108" s="82" t="str">
        <f>IF(AND(AE108="Continue",AG108="Continue"),VLOOKUP($B$10,Translation[],91,0),IF(AND(AE108&lt;&gt;"Continue",AG108="Continue"),AE108,IF(AND(AG108&lt;&gt;"Continue",AE108="Continue"),AG108,CONCATENATE(AE108,CHAR(10),AG108))))</f>
        <v>No error</v>
      </c>
      <c r="Z108" s="62" t="str">
        <f>IF(OR(AND($B108&lt;&gt;"",$K108=""),AND($C108&lt;&gt;"",$L108="")),VLOOKUP($B$10,Translation[],87,0),"Continue")</f>
        <v>Continue</v>
      </c>
      <c r="AA108" s="62" t="str">
        <f>IF(AND($B108 &lt;&gt; "",$K108&lt;&gt;""),IF($K108=_xlfn.XLOOKUP(L108,Interventions!$F$11:$F$179,Interventions!$C$11:$C$179,1,0,1),"Continue",VLOOKUP($B$10,Translation[],88,0)),"Continue")</f>
        <v>Continue</v>
      </c>
      <c r="AB108" s="9" t="str">
        <f>IFERROR(IF($A108&lt;&gt;"",IF($B$10="English", IF(MATCH($A108,'Dropdown Data'!$A$361:$A$363,0)&gt;0,"Continue"), IF($B$10="Français",IF(MATCH($A108,'Dropdown Data'!$B$361:$B$363,0)&gt;0,"Continue"), IF($B$10="Español",IF(MATCH($A108,'Dropdown Data'!$C$361:$C$363,0)&gt;0,"Continue"),VLOOKUP($B$10,Translation[],89,0)))),"Continue"),VLOOKUP($B$10,Translation[],89,0))</f>
        <v>Continue</v>
      </c>
      <c r="AC108" s="62" t="str">
        <f>IF(AND(NOT(ISBLANK($D108)),(NOT(ISNUMBER($D108)))),VLOOKUP($B$10,Translation[],90,0),"Continue")</f>
        <v>Continue</v>
      </c>
      <c r="AD108" s="62" t="str">
        <f xml:space="preserve"> IFERROR(IF(INT($D108) &lt;&gt; $D108, VLOOKUP($B$10,Translation[],92,0), "Continue"),"Continue")</f>
        <v>Continue</v>
      </c>
      <c r="AE108" s="62" t="str">
        <f t="shared" si="16"/>
        <v>Continue</v>
      </c>
      <c r="AF108" s="9" t="str">
        <f t="shared" si="17"/>
        <v>Continue</v>
      </c>
      <c r="AG108" s="9" t="str">
        <f t="shared" si="18"/>
        <v>Continue</v>
      </c>
    </row>
    <row r="109" spans="1:33" ht="15" x14ac:dyDescent="0.2">
      <c r="A109" s="83"/>
      <c r="B109" s="84"/>
      <c r="C109" s="84"/>
      <c r="D109" s="96"/>
      <c r="E109" s="93" t="str">
        <f>IF(ISBLANK(D109),"",IF(IF(Modules!$D$4="EUR",W109*(Modules!$B$5),$W109)=0,0,IF(Modules!$D$4="EUR",W109*(Modules!$B$5),$W109)))</f>
        <v/>
      </c>
      <c r="F109" s="41"/>
      <c r="G109" s="82" t="str">
        <f>IF(NOT(ISBLANK('PAAR (EN)'!$G109)),IF('PAAR (EN)'!$G109 &lt;&gt; "",IF(PAAR!$B$10="English",'PAAR (EN)'!$G109,IF(PAAR!$B$10="Français",_xlfn.XLOOKUP('PAAR (EN)'!$G109,'Dropdown Data'!$A$365:$A$368, 'Dropdown Data'!$B$365:$B$368,0,0,1),_xlfn.XLOOKUP('PAAR (EN)'!$G109,'Dropdown Data'!$A$365:$A$368,'Dropdown Data'!$C$365:$C$368,0,0,1))),""),"")</f>
        <v/>
      </c>
      <c r="H109" s="92" t="str">
        <f>IF('PAAR (EN)'!$H109 &lt;&gt;"", 'PAAR (EN)'!$H109, "")</f>
        <v/>
      </c>
      <c r="I109" s="89" t="str">
        <f>IF('PAAR (EN)'!$I109 &lt;&gt; "", 'PAAR (EN)'!$I109, "")</f>
        <v/>
      </c>
      <c r="J109" s="15"/>
      <c r="K109" s="42" t="str">
        <f>IFERROR(VLOOKUP(B109,Modules!C:D,2,0),"")</f>
        <v/>
      </c>
      <c r="L109" s="40" t="str" cm="1">
        <f t="array" ref="L109">IFERROR(INDEX(Interventions!$F$12:$F$178,MATCH(TRUE,INDEX(Interventions!$E$12:$E$178=$C109,0),0)),0)</f>
        <v>[Name ID]</v>
      </c>
      <c r="M109" s="15" t="str">
        <f>CLEAN(IFERROR(VLOOKUP($C109,Interventions!$E$1:$K$444,7,0),""))</f>
        <v/>
      </c>
      <c r="N109" s="15" t="str">
        <f>CLEAN(IF(C109="","",CONCATENATE(Modules!$B$8,PAAR!M109,Q109)))</f>
        <v/>
      </c>
      <c r="O109" s="70">
        <f>IFERROR(INDEX('Dropdown Data'!$D$33:$D$35,MATCH(A109,'Dropdown Data'!$B$33:$B$35,0)),IFERROR(INDEX('Dropdown Data'!$D$33:$D$35,MATCH(A109,'Dropdown Data'!$C$33:$C$35,0)),A109))</f>
        <v>0</v>
      </c>
      <c r="P109" s="70" t="str">
        <f>IFERROR(INDEX('Dropdown Data'!$D$33:$D$36,MATCH(G109,'Dropdown Data'!$B$33:$B$36,0)),IFERROR(INDEX('Dropdown Data'!$D$33:$D$36,MATCH(G109,'Dropdown Data'!$C$33:$C$36,0)),G109))</f>
        <v/>
      </c>
      <c r="Q109" s="71">
        <v>81</v>
      </c>
      <c r="R109" s="71" t="b">
        <f t="shared" si="12"/>
        <v>0</v>
      </c>
      <c r="S109" s="71">
        <f t="shared" si="13"/>
        <v>10</v>
      </c>
      <c r="T109" s="71" t="e">
        <f>IFERROR(VLOOKUP(B109,Modules!$E$11:$K$52,7,0),IFERROR(VLOOKUP(B109,Modules!$F$11:$K$52,6,0),VLOOKUP(B109,Modules!$G$11:$K$52,5,0)))</f>
        <v>#N/A</v>
      </c>
      <c r="U109" s="71">
        <f>IFERROR(MATCH(T109,Interventions!C:C,0),0)</f>
        <v>0</v>
      </c>
      <c r="V109" s="71" cm="1">
        <f t="array" ref="V109">SUM(U109,COUNTIF(ModuleStart,T109)-1)</f>
        <v>-1</v>
      </c>
      <c r="W109" s="72">
        <f t="shared" si="14"/>
        <v>0</v>
      </c>
      <c r="X109" s="72" t="str">
        <f t="shared" si="15"/>
        <v/>
      </c>
      <c r="Y109" s="82" t="str">
        <f>IF(AND(AE109="Continue",AG109="Continue"),VLOOKUP($B$10,Translation[],91,0),IF(AND(AE109&lt;&gt;"Continue",AG109="Continue"),AE109,IF(AND(AG109&lt;&gt;"Continue",AE109="Continue"),AG109,CONCATENATE(AE109,CHAR(10),AG109))))</f>
        <v>No error</v>
      </c>
      <c r="Z109" s="62" t="str">
        <f>IF(OR(AND($B109&lt;&gt;"",$K109=""),AND($C109&lt;&gt;"",$L109="")),VLOOKUP($B$10,Translation[],87,0),"Continue")</f>
        <v>Continue</v>
      </c>
      <c r="AA109" s="62" t="str">
        <f>IF(AND($B109 &lt;&gt; "",$K109&lt;&gt;""),IF($K109=_xlfn.XLOOKUP(L109,Interventions!$F$11:$F$179,Interventions!$C$11:$C$179,1,0,1),"Continue",VLOOKUP($B$10,Translation[],88,0)),"Continue")</f>
        <v>Continue</v>
      </c>
      <c r="AB109" s="9" t="str">
        <f>IFERROR(IF($A109&lt;&gt;"",IF($B$10="English", IF(MATCH($A109,'Dropdown Data'!$A$361:$A$363,0)&gt;0,"Continue"), IF($B$10="Français",IF(MATCH($A109,'Dropdown Data'!$B$361:$B$363,0)&gt;0,"Continue"), IF($B$10="Español",IF(MATCH($A109,'Dropdown Data'!$C$361:$C$363,0)&gt;0,"Continue"),VLOOKUP($B$10,Translation[],89,0)))),"Continue"),VLOOKUP($B$10,Translation[],89,0))</f>
        <v>Continue</v>
      </c>
      <c r="AC109" s="62" t="str">
        <f>IF(AND(NOT(ISBLANK($D109)),(NOT(ISNUMBER($D109)))),VLOOKUP($B$10,Translation[],90,0),"Continue")</f>
        <v>Continue</v>
      </c>
      <c r="AD109" s="62" t="str">
        <f xml:space="preserve"> IFERROR(IF(INT($D109) &lt;&gt; $D109, VLOOKUP($B$10,Translation[],92,0), "Continue"),"Continue")</f>
        <v>Continue</v>
      </c>
      <c r="AE109" s="62" t="str">
        <f t="shared" si="16"/>
        <v>Continue</v>
      </c>
      <c r="AF109" s="9" t="str">
        <f t="shared" si="17"/>
        <v>Continue</v>
      </c>
      <c r="AG109" s="9" t="str">
        <f t="shared" si="18"/>
        <v>Continue</v>
      </c>
    </row>
    <row r="110" spans="1:33" ht="15" x14ac:dyDescent="0.2">
      <c r="A110" s="83"/>
      <c r="B110" s="84"/>
      <c r="C110" s="84"/>
      <c r="D110" s="96"/>
      <c r="E110" s="93" t="str">
        <f>IF(ISBLANK(D110),"",IF(IF(Modules!$D$4="EUR",W110*(Modules!$B$5),$W110)=0,0,IF(Modules!$D$4="EUR",W110*(Modules!$B$5),$W110)))</f>
        <v/>
      </c>
      <c r="F110" s="41"/>
      <c r="G110" s="82" t="str">
        <f>IF(NOT(ISBLANK('PAAR (EN)'!$G110)),IF('PAAR (EN)'!$G110 &lt;&gt; "",IF(PAAR!$B$10="English",'PAAR (EN)'!$G110,IF(PAAR!$B$10="Français",_xlfn.XLOOKUP('PAAR (EN)'!$G110,'Dropdown Data'!$A$365:$A$368, 'Dropdown Data'!$B$365:$B$368,0,0,1),_xlfn.XLOOKUP('PAAR (EN)'!$G110,'Dropdown Data'!$A$365:$A$368,'Dropdown Data'!$C$365:$C$368,0,0,1))),""),"")</f>
        <v/>
      </c>
      <c r="H110" s="92" t="str">
        <f>IF('PAAR (EN)'!$H110 &lt;&gt;"", 'PAAR (EN)'!$H110, "")</f>
        <v/>
      </c>
      <c r="I110" s="89" t="str">
        <f>IF('PAAR (EN)'!$I110 &lt;&gt; "", 'PAAR (EN)'!$I110, "")</f>
        <v/>
      </c>
      <c r="J110" s="15"/>
      <c r="K110" s="42" t="str">
        <f>IFERROR(VLOOKUP(B110,Modules!C:D,2,0),"")</f>
        <v/>
      </c>
      <c r="L110" s="40" t="str" cm="1">
        <f t="array" ref="L110">IFERROR(INDEX(Interventions!$F$12:$F$178,MATCH(TRUE,INDEX(Interventions!$E$12:$E$178=$C110,0),0)),0)</f>
        <v>[Name ID]</v>
      </c>
      <c r="M110" s="15" t="str">
        <f>CLEAN(IFERROR(VLOOKUP($C110,Interventions!$E$1:$K$444,7,0),""))</f>
        <v/>
      </c>
      <c r="N110" s="15" t="str">
        <f>CLEAN(IF(C110="","",CONCATENATE(Modules!$B$8,PAAR!M110,Q110)))</f>
        <v/>
      </c>
      <c r="O110" s="70">
        <f>IFERROR(INDEX('Dropdown Data'!$D$33:$D$35,MATCH(A110,'Dropdown Data'!$B$33:$B$35,0)),IFERROR(INDEX('Dropdown Data'!$D$33:$D$35,MATCH(A110,'Dropdown Data'!$C$33:$C$35,0)),A110))</f>
        <v>0</v>
      </c>
      <c r="P110" s="70" t="str">
        <f>IFERROR(INDEX('Dropdown Data'!$D$33:$D$36,MATCH(G110,'Dropdown Data'!$B$33:$B$36,0)),IFERROR(INDEX('Dropdown Data'!$D$33:$D$36,MATCH(G110,'Dropdown Data'!$C$33:$C$36,0)),G110))</f>
        <v/>
      </c>
      <c r="Q110" s="71">
        <v>82</v>
      </c>
      <c r="R110" s="71" t="b">
        <f t="shared" si="12"/>
        <v>0</v>
      </c>
      <c r="S110" s="71">
        <f t="shared" si="13"/>
        <v>10</v>
      </c>
      <c r="T110" s="71" t="e">
        <f>IFERROR(VLOOKUP(B110,Modules!$E$11:$K$52,7,0),IFERROR(VLOOKUP(B110,Modules!$F$11:$K$52,6,0),VLOOKUP(B110,Modules!$G$11:$K$52,5,0)))</f>
        <v>#N/A</v>
      </c>
      <c r="U110" s="71">
        <f>IFERROR(MATCH(T110,Interventions!C:C,0),0)</f>
        <v>0</v>
      </c>
      <c r="V110" s="71" cm="1">
        <f t="array" ref="V110">SUM(U110,COUNTIF(ModuleStart,T110)-1)</f>
        <v>-1</v>
      </c>
      <c r="W110" s="72">
        <f t="shared" si="14"/>
        <v>0</v>
      </c>
      <c r="X110" s="72" t="str">
        <f t="shared" si="15"/>
        <v/>
      </c>
      <c r="Y110" s="82" t="str">
        <f>IF(AND(AE110="Continue",AG110="Continue"),VLOOKUP($B$10,Translation[],91,0),IF(AND(AE110&lt;&gt;"Continue",AG110="Continue"),AE110,IF(AND(AG110&lt;&gt;"Continue",AE110="Continue"),AG110,CONCATENATE(AE110,CHAR(10),AG110))))</f>
        <v>No error</v>
      </c>
      <c r="Z110" s="62" t="str">
        <f>IF(OR(AND($B110&lt;&gt;"",$K110=""),AND($C110&lt;&gt;"",$L110="")),VLOOKUP($B$10,Translation[],87,0),"Continue")</f>
        <v>Continue</v>
      </c>
      <c r="AA110" s="62" t="str">
        <f>IF(AND($B110 &lt;&gt; "",$K110&lt;&gt;""),IF($K110=_xlfn.XLOOKUP(L110,Interventions!$F$11:$F$179,Interventions!$C$11:$C$179,1,0,1),"Continue",VLOOKUP($B$10,Translation[],88,0)),"Continue")</f>
        <v>Continue</v>
      </c>
      <c r="AB110" s="9" t="str">
        <f>IFERROR(IF($A110&lt;&gt;"",IF($B$10="English", IF(MATCH($A110,'Dropdown Data'!$A$361:$A$363,0)&gt;0,"Continue"), IF($B$10="Français",IF(MATCH($A110,'Dropdown Data'!$B$361:$B$363,0)&gt;0,"Continue"), IF($B$10="Español",IF(MATCH($A110,'Dropdown Data'!$C$361:$C$363,0)&gt;0,"Continue"),VLOOKUP($B$10,Translation[],89,0)))),"Continue"),VLOOKUP($B$10,Translation[],89,0))</f>
        <v>Continue</v>
      </c>
      <c r="AC110" s="62" t="str">
        <f>IF(AND(NOT(ISBLANK($D110)),(NOT(ISNUMBER($D110)))),VLOOKUP($B$10,Translation[],90,0),"Continue")</f>
        <v>Continue</v>
      </c>
      <c r="AD110" s="62" t="str">
        <f xml:space="preserve"> IFERROR(IF(INT($D110) &lt;&gt; $D110, VLOOKUP($B$10,Translation[],92,0), "Continue"),"Continue")</f>
        <v>Continue</v>
      </c>
      <c r="AE110" s="62" t="str">
        <f t="shared" si="16"/>
        <v>Continue</v>
      </c>
      <c r="AF110" s="9" t="str">
        <f t="shared" si="17"/>
        <v>Continue</v>
      </c>
      <c r="AG110" s="9" t="str">
        <f t="shared" si="18"/>
        <v>Continue</v>
      </c>
    </row>
    <row r="111" spans="1:33" ht="15" x14ac:dyDescent="0.2">
      <c r="A111" s="83"/>
      <c r="B111" s="84"/>
      <c r="C111" s="84"/>
      <c r="D111" s="96"/>
      <c r="E111" s="93" t="str">
        <f>IF(ISBLANK(D111),"",IF(IF(Modules!$D$4="EUR",W111*(Modules!$B$5),$W111)=0,0,IF(Modules!$D$4="EUR",W111*(Modules!$B$5),$W111)))</f>
        <v/>
      </c>
      <c r="F111" s="41"/>
      <c r="G111" s="82" t="str">
        <f>IF(NOT(ISBLANK('PAAR (EN)'!$G111)),IF('PAAR (EN)'!$G111 &lt;&gt; "",IF(PAAR!$B$10="English",'PAAR (EN)'!$G111,IF(PAAR!$B$10="Français",_xlfn.XLOOKUP('PAAR (EN)'!$G111,'Dropdown Data'!$A$365:$A$368, 'Dropdown Data'!$B$365:$B$368,0,0,1),_xlfn.XLOOKUP('PAAR (EN)'!$G111,'Dropdown Data'!$A$365:$A$368,'Dropdown Data'!$C$365:$C$368,0,0,1))),""),"")</f>
        <v/>
      </c>
      <c r="H111" s="92" t="str">
        <f>IF('PAAR (EN)'!$H111 &lt;&gt;"", 'PAAR (EN)'!$H111, "")</f>
        <v/>
      </c>
      <c r="I111" s="89" t="str">
        <f>IF('PAAR (EN)'!$I111 &lt;&gt; "", 'PAAR (EN)'!$I111, "")</f>
        <v/>
      </c>
      <c r="J111" s="15"/>
      <c r="K111" s="42" t="str">
        <f>IFERROR(VLOOKUP(B111,Modules!C:D,2,0),"")</f>
        <v/>
      </c>
      <c r="L111" s="40" t="str" cm="1">
        <f t="array" ref="L111">IFERROR(INDEX(Interventions!$F$12:$F$178,MATCH(TRUE,INDEX(Interventions!$E$12:$E$178=$C111,0),0)),0)</f>
        <v>[Name ID]</v>
      </c>
      <c r="M111" s="15" t="str">
        <f>CLEAN(IFERROR(VLOOKUP($C111,Interventions!$E$1:$K$444,7,0),""))</f>
        <v/>
      </c>
      <c r="N111" s="15" t="str">
        <f>CLEAN(IF(C111="","",CONCATENATE(Modules!$B$8,PAAR!M111,Q111)))</f>
        <v/>
      </c>
      <c r="O111" s="70">
        <f>IFERROR(INDEX('Dropdown Data'!$D$33:$D$35,MATCH(A111,'Dropdown Data'!$B$33:$B$35,0)),IFERROR(INDEX('Dropdown Data'!$D$33:$D$35,MATCH(A111,'Dropdown Data'!$C$33:$C$35,0)),A111))</f>
        <v>0</v>
      </c>
      <c r="P111" s="70" t="str">
        <f>IFERROR(INDEX('Dropdown Data'!$D$33:$D$36,MATCH(G111,'Dropdown Data'!$B$33:$B$36,0)),IFERROR(INDEX('Dropdown Data'!$D$33:$D$36,MATCH(G111,'Dropdown Data'!$C$33:$C$36,0)),G111))</f>
        <v/>
      </c>
      <c r="Q111" s="71">
        <v>83</v>
      </c>
      <c r="R111" s="71" t="b">
        <f t="shared" si="12"/>
        <v>0</v>
      </c>
      <c r="S111" s="71">
        <f t="shared" si="13"/>
        <v>10</v>
      </c>
      <c r="T111" s="71" t="e">
        <f>IFERROR(VLOOKUP(B111,Modules!$E$11:$K$52,7,0),IFERROR(VLOOKUP(B111,Modules!$F$11:$K$52,6,0),VLOOKUP(B111,Modules!$G$11:$K$52,5,0)))</f>
        <v>#N/A</v>
      </c>
      <c r="U111" s="71">
        <f>IFERROR(MATCH(T111,Interventions!C:C,0),0)</f>
        <v>0</v>
      </c>
      <c r="V111" s="71" cm="1">
        <f t="array" ref="V111">SUM(U111,COUNTIF(ModuleStart,T111)-1)</f>
        <v>-1</v>
      </c>
      <c r="W111" s="72">
        <f t="shared" si="14"/>
        <v>0</v>
      </c>
      <c r="X111" s="72" t="str">
        <f t="shared" si="15"/>
        <v/>
      </c>
      <c r="Y111" s="82" t="str">
        <f>IF(AND(AE111="Continue",AG111="Continue"),VLOOKUP($B$10,Translation[],91,0),IF(AND(AE111&lt;&gt;"Continue",AG111="Continue"),AE111,IF(AND(AG111&lt;&gt;"Continue",AE111="Continue"),AG111,CONCATENATE(AE111,CHAR(10),AG111))))</f>
        <v>No error</v>
      </c>
      <c r="Z111" s="62" t="str">
        <f>IF(OR(AND($B111&lt;&gt;"",$K111=""),AND($C111&lt;&gt;"",$L111="")),VLOOKUP($B$10,Translation[],87,0),"Continue")</f>
        <v>Continue</v>
      </c>
      <c r="AA111" s="62" t="str">
        <f>IF(AND($B111 &lt;&gt; "",$K111&lt;&gt;""),IF($K111=_xlfn.XLOOKUP(L111,Interventions!$F$11:$F$179,Interventions!$C$11:$C$179,1,0,1),"Continue",VLOOKUP($B$10,Translation[],88,0)),"Continue")</f>
        <v>Continue</v>
      </c>
      <c r="AB111" s="9" t="str">
        <f>IFERROR(IF($A111&lt;&gt;"",IF($B$10="English", IF(MATCH($A111,'Dropdown Data'!$A$361:$A$363,0)&gt;0,"Continue"), IF($B$10="Français",IF(MATCH($A111,'Dropdown Data'!$B$361:$B$363,0)&gt;0,"Continue"), IF($B$10="Español",IF(MATCH($A111,'Dropdown Data'!$C$361:$C$363,0)&gt;0,"Continue"),VLOOKUP($B$10,Translation[],89,0)))),"Continue"),VLOOKUP($B$10,Translation[],89,0))</f>
        <v>Continue</v>
      </c>
      <c r="AC111" s="62" t="str">
        <f>IF(AND(NOT(ISBLANK($D111)),(NOT(ISNUMBER($D111)))),VLOOKUP($B$10,Translation[],90,0),"Continue")</f>
        <v>Continue</v>
      </c>
      <c r="AD111" s="62" t="str">
        <f xml:space="preserve"> IFERROR(IF(INT($D111) &lt;&gt; $D111, VLOOKUP($B$10,Translation[],92,0), "Continue"),"Continue")</f>
        <v>Continue</v>
      </c>
      <c r="AE111" s="62" t="str">
        <f t="shared" si="16"/>
        <v>Continue</v>
      </c>
      <c r="AF111" s="9" t="str">
        <f t="shared" si="17"/>
        <v>Continue</v>
      </c>
      <c r="AG111" s="9" t="str">
        <f t="shared" si="18"/>
        <v>Continue</v>
      </c>
    </row>
    <row r="112" spans="1:33" ht="15" x14ac:dyDescent="0.2">
      <c r="A112" s="83"/>
      <c r="B112" s="84"/>
      <c r="C112" s="84"/>
      <c r="D112" s="96"/>
      <c r="E112" s="93" t="str">
        <f>IF(ISBLANK(D112),"",IF(IF(Modules!$D$4="EUR",W112*(Modules!$B$5),$W112)=0,0,IF(Modules!$D$4="EUR",W112*(Modules!$B$5),$W112)))</f>
        <v/>
      </c>
      <c r="F112" s="41"/>
      <c r="G112" s="82" t="str">
        <f>IF(NOT(ISBLANK('PAAR (EN)'!$G112)),IF('PAAR (EN)'!$G112 &lt;&gt; "",IF(PAAR!$B$10="English",'PAAR (EN)'!$G112,IF(PAAR!$B$10="Français",_xlfn.XLOOKUP('PAAR (EN)'!$G112,'Dropdown Data'!$A$365:$A$368, 'Dropdown Data'!$B$365:$B$368,0,0,1),_xlfn.XLOOKUP('PAAR (EN)'!$G112,'Dropdown Data'!$A$365:$A$368,'Dropdown Data'!$C$365:$C$368,0,0,1))),""),"")</f>
        <v/>
      </c>
      <c r="H112" s="92" t="str">
        <f>IF('PAAR (EN)'!$H112 &lt;&gt;"", 'PAAR (EN)'!$H112, "")</f>
        <v/>
      </c>
      <c r="I112" s="89" t="str">
        <f>IF('PAAR (EN)'!$I112 &lt;&gt; "", 'PAAR (EN)'!$I112, "")</f>
        <v/>
      </c>
      <c r="J112" s="15"/>
      <c r="K112" s="42" t="str">
        <f>IFERROR(VLOOKUP(B112,Modules!C:D,2,0),"")</f>
        <v/>
      </c>
      <c r="L112" s="40" t="str" cm="1">
        <f t="array" ref="L112">IFERROR(INDEX(Interventions!$F$12:$F$178,MATCH(TRUE,INDEX(Interventions!$E$12:$E$178=$C112,0),0)),0)</f>
        <v>[Name ID]</v>
      </c>
      <c r="M112" s="15" t="str">
        <f>CLEAN(IFERROR(VLOOKUP($C112,Interventions!$E$1:$K$444,7,0),""))</f>
        <v/>
      </c>
      <c r="N112" s="15" t="str">
        <f>CLEAN(IF(C112="","",CONCATENATE(Modules!$B$8,PAAR!M112,Q112)))</f>
        <v/>
      </c>
      <c r="O112" s="70">
        <f>IFERROR(INDEX('Dropdown Data'!$D$33:$D$35,MATCH(A112,'Dropdown Data'!$B$33:$B$35,0)),IFERROR(INDEX('Dropdown Data'!$D$33:$D$35,MATCH(A112,'Dropdown Data'!$C$33:$C$35,0)),A112))</f>
        <v>0</v>
      </c>
      <c r="P112" s="70" t="str">
        <f>IFERROR(INDEX('Dropdown Data'!$D$33:$D$36,MATCH(G112,'Dropdown Data'!$B$33:$B$36,0)),IFERROR(INDEX('Dropdown Data'!$D$33:$D$36,MATCH(G112,'Dropdown Data'!$C$33:$C$36,0)),G112))</f>
        <v/>
      </c>
      <c r="Q112" s="71">
        <v>84</v>
      </c>
      <c r="R112" s="71" t="b">
        <f t="shared" si="12"/>
        <v>0</v>
      </c>
      <c r="S112" s="71">
        <f t="shared" si="13"/>
        <v>10</v>
      </c>
      <c r="T112" s="71" t="e">
        <f>IFERROR(VLOOKUP(B112,Modules!$E$11:$K$52,7,0),IFERROR(VLOOKUP(B112,Modules!$F$11:$K$52,6,0),VLOOKUP(B112,Modules!$G$11:$K$52,5,0)))</f>
        <v>#N/A</v>
      </c>
      <c r="U112" s="71">
        <f>IFERROR(MATCH(T112,Interventions!C:C,0),0)</f>
        <v>0</v>
      </c>
      <c r="V112" s="71" cm="1">
        <f t="array" ref="V112">SUM(U112,COUNTIF(ModuleStart,T112)-1)</f>
        <v>-1</v>
      </c>
      <c r="W112" s="72">
        <f t="shared" si="14"/>
        <v>0</v>
      </c>
      <c r="X112" s="72" t="str">
        <f t="shared" si="15"/>
        <v/>
      </c>
      <c r="Y112" s="82" t="str">
        <f>IF(AND(AE112="Continue",AG112="Continue"),VLOOKUP($B$10,Translation[],91,0),IF(AND(AE112&lt;&gt;"Continue",AG112="Continue"),AE112,IF(AND(AG112&lt;&gt;"Continue",AE112="Continue"),AG112,CONCATENATE(AE112,CHAR(10),AG112))))</f>
        <v>No error</v>
      </c>
      <c r="Z112" s="62" t="str">
        <f>IF(OR(AND($B112&lt;&gt;"",$K112=""),AND($C112&lt;&gt;"",$L112="")),VLOOKUP($B$10,Translation[],87,0),"Continue")</f>
        <v>Continue</v>
      </c>
      <c r="AA112" s="62" t="str">
        <f>IF(AND($B112 &lt;&gt; "",$K112&lt;&gt;""),IF($K112=_xlfn.XLOOKUP(L112,Interventions!$F$11:$F$179,Interventions!$C$11:$C$179,1,0,1),"Continue",VLOOKUP($B$10,Translation[],88,0)),"Continue")</f>
        <v>Continue</v>
      </c>
      <c r="AB112" s="9" t="str">
        <f>IFERROR(IF($A112&lt;&gt;"",IF($B$10="English", IF(MATCH($A112,'Dropdown Data'!$A$361:$A$363,0)&gt;0,"Continue"), IF($B$10="Français",IF(MATCH($A112,'Dropdown Data'!$B$361:$B$363,0)&gt;0,"Continue"), IF($B$10="Español",IF(MATCH($A112,'Dropdown Data'!$C$361:$C$363,0)&gt;0,"Continue"),VLOOKUP($B$10,Translation[],89,0)))),"Continue"),VLOOKUP($B$10,Translation[],89,0))</f>
        <v>Continue</v>
      </c>
      <c r="AC112" s="62" t="str">
        <f>IF(AND(NOT(ISBLANK($D112)),(NOT(ISNUMBER($D112)))),VLOOKUP($B$10,Translation[],90,0),"Continue")</f>
        <v>Continue</v>
      </c>
      <c r="AD112" s="62" t="str">
        <f xml:space="preserve"> IFERROR(IF(INT($D112) &lt;&gt; $D112, VLOOKUP($B$10,Translation[],92,0), "Continue"),"Continue")</f>
        <v>Continue</v>
      </c>
      <c r="AE112" s="62" t="str">
        <f t="shared" si="16"/>
        <v>Continue</v>
      </c>
      <c r="AF112" s="9" t="str">
        <f t="shared" si="17"/>
        <v>Continue</v>
      </c>
      <c r="AG112" s="9" t="str">
        <f t="shared" si="18"/>
        <v>Continue</v>
      </c>
    </row>
    <row r="113" spans="1:33" ht="15" x14ac:dyDescent="0.2">
      <c r="A113" s="83"/>
      <c r="B113" s="84"/>
      <c r="C113" s="84"/>
      <c r="D113" s="96"/>
      <c r="E113" s="93" t="str">
        <f>IF(ISBLANK(D113),"",IF(IF(Modules!$D$4="EUR",W113*(Modules!$B$5),$W113)=0,0,IF(Modules!$D$4="EUR",W113*(Modules!$B$5),$W113)))</f>
        <v/>
      </c>
      <c r="F113" s="41"/>
      <c r="G113" s="82" t="str">
        <f>IF(NOT(ISBLANK('PAAR (EN)'!$G113)),IF('PAAR (EN)'!$G113 &lt;&gt; "",IF(PAAR!$B$10="English",'PAAR (EN)'!$G113,IF(PAAR!$B$10="Français",_xlfn.XLOOKUP('PAAR (EN)'!$G113,'Dropdown Data'!$A$365:$A$368, 'Dropdown Data'!$B$365:$B$368,0,0,1),_xlfn.XLOOKUP('PAAR (EN)'!$G113,'Dropdown Data'!$A$365:$A$368,'Dropdown Data'!$C$365:$C$368,0,0,1))),""),"")</f>
        <v/>
      </c>
      <c r="H113" s="92" t="str">
        <f>IF('PAAR (EN)'!$H113 &lt;&gt;"", 'PAAR (EN)'!$H113, "")</f>
        <v/>
      </c>
      <c r="I113" s="89" t="str">
        <f>IF('PAAR (EN)'!$I113 &lt;&gt; "", 'PAAR (EN)'!$I113, "")</f>
        <v/>
      </c>
      <c r="J113" s="15"/>
      <c r="K113" s="42" t="str">
        <f>IFERROR(VLOOKUP(B113,Modules!C:D,2,0),"")</f>
        <v/>
      </c>
      <c r="L113" s="40" t="str" cm="1">
        <f t="array" ref="L113">IFERROR(INDEX(Interventions!$F$12:$F$178,MATCH(TRUE,INDEX(Interventions!$E$12:$E$178=$C113,0),0)),0)</f>
        <v>[Name ID]</v>
      </c>
      <c r="M113" s="15" t="str">
        <f>CLEAN(IFERROR(VLOOKUP($C113,Interventions!$E$1:$K$444,7,0),""))</f>
        <v/>
      </c>
      <c r="N113" s="15" t="str">
        <f>CLEAN(IF(C113="","",CONCATENATE(Modules!$B$8,PAAR!M113,Q113)))</f>
        <v/>
      </c>
      <c r="O113" s="70">
        <f>IFERROR(INDEX('Dropdown Data'!$D$33:$D$35,MATCH(A113,'Dropdown Data'!$B$33:$B$35,0)),IFERROR(INDEX('Dropdown Data'!$D$33:$D$35,MATCH(A113,'Dropdown Data'!$C$33:$C$35,0)),A113))</f>
        <v>0</v>
      </c>
      <c r="P113" s="70" t="str">
        <f>IFERROR(INDEX('Dropdown Data'!$D$33:$D$36,MATCH(G113,'Dropdown Data'!$B$33:$B$36,0)),IFERROR(INDEX('Dropdown Data'!$D$33:$D$36,MATCH(G113,'Dropdown Data'!$C$33:$C$36,0)),G113))</f>
        <v/>
      </c>
      <c r="Q113" s="71">
        <v>85</v>
      </c>
      <c r="R113" s="71" t="b">
        <f t="shared" si="12"/>
        <v>0</v>
      </c>
      <c r="S113" s="71">
        <f t="shared" si="13"/>
        <v>10</v>
      </c>
      <c r="T113" s="71" t="e">
        <f>IFERROR(VLOOKUP(B113,Modules!$E$11:$K$52,7,0),IFERROR(VLOOKUP(B113,Modules!$F$11:$K$52,6,0),VLOOKUP(B113,Modules!$G$11:$K$52,5,0)))</f>
        <v>#N/A</v>
      </c>
      <c r="U113" s="71">
        <f>IFERROR(MATCH(T113,Interventions!C:C,0),0)</f>
        <v>0</v>
      </c>
      <c r="V113" s="71" cm="1">
        <f t="array" ref="V113">SUM(U113,COUNTIF(ModuleStart,T113)-1)</f>
        <v>-1</v>
      </c>
      <c r="W113" s="72">
        <f t="shared" si="14"/>
        <v>0</v>
      </c>
      <c r="X113" s="72" t="str">
        <f t="shared" si="15"/>
        <v/>
      </c>
      <c r="Y113" s="82" t="str">
        <f>IF(AND(AE113="Continue",AG113="Continue"),VLOOKUP($B$10,Translation[],91,0),IF(AND(AE113&lt;&gt;"Continue",AG113="Continue"),AE113,IF(AND(AG113&lt;&gt;"Continue",AE113="Continue"),AG113,CONCATENATE(AE113,CHAR(10),AG113))))</f>
        <v>No error</v>
      </c>
      <c r="Z113" s="62" t="str">
        <f>IF(OR(AND($B113&lt;&gt;"",$K113=""),AND($C113&lt;&gt;"",$L113="")),VLOOKUP($B$10,Translation[],87,0),"Continue")</f>
        <v>Continue</v>
      </c>
      <c r="AA113" s="62" t="str">
        <f>IF(AND($B113 &lt;&gt; "",$K113&lt;&gt;""),IF($K113=_xlfn.XLOOKUP(L113,Interventions!$F$11:$F$179,Interventions!$C$11:$C$179,1,0,1),"Continue",VLOOKUP($B$10,Translation[],88,0)),"Continue")</f>
        <v>Continue</v>
      </c>
      <c r="AB113" s="9" t="str">
        <f>IFERROR(IF($A113&lt;&gt;"",IF($B$10="English", IF(MATCH($A113,'Dropdown Data'!$A$361:$A$363,0)&gt;0,"Continue"), IF($B$10="Français",IF(MATCH($A113,'Dropdown Data'!$B$361:$B$363,0)&gt;0,"Continue"), IF($B$10="Español",IF(MATCH($A113,'Dropdown Data'!$C$361:$C$363,0)&gt;0,"Continue"),VLOOKUP($B$10,Translation[],89,0)))),"Continue"),VLOOKUP($B$10,Translation[],89,0))</f>
        <v>Continue</v>
      </c>
      <c r="AC113" s="62" t="str">
        <f>IF(AND(NOT(ISBLANK($D113)),(NOT(ISNUMBER($D113)))),VLOOKUP($B$10,Translation[],90,0),"Continue")</f>
        <v>Continue</v>
      </c>
      <c r="AD113" s="62" t="str">
        <f xml:space="preserve"> IFERROR(IF(INT($D113) &lt;&gt; $D113, VLOOKUP($B$10,Translation[],92,0), "Continue"),"Continue")</f>
        <v>Continue</v>
      </c>
      <c r="AE113" s="62" t="str">
        <f t="shared" si="16"/>
        <v>Continue</v>
      </c>
      <c r="AF113" s="9" t="str">
        <f t="shared" si="17"/>
        <v>Continue</v>
      </c>
      <c r="AG113" s="9" t="str">
        <f t="shared" si="18"/>
        <v>Continue</v>
      </c>
    </row>
    <row r="114" spans="1:33" ht="15" x14ac:dyDescent="0.2">
      <c r="A114" s="83"/>
      <c r="B114" s="84"/>
      <c r="C114" s="84"/>
      <c r="D114" s="96"/>
      <c r="E114" s="93" t="str">
        <f>IF(ISBLANK(D114),"",IF(IF(Modules!$D$4="EUR",W114*(Modules!$B$5),$W114)=0,0,IF(Modules!$D$4="EUR",W114*(Modules!$B$5),$W114)))</f>
        <v/>
      </c>
      <c r="F114" s="41"/>
      <c r="G114" s="82" t="str">
        <f>IF(NOT(ISBLANK('PAAR (EN)'!$G114)),IF('PAAR (EN)'!$G114 &lt;&gt; "",IF(PAAR!$B$10="English",'PAAR (EN)'!$G114,IF(PAAR!$B$10="Français",_xlfn.XLOOKUP('PAAR (EN)'!$G114,'Dropdown Data'!$A$365:$A$368, 'Dropdown Data'!$B$365:$B$368,0,0,1),_xlfn.XLOOKUP('PAAR (EN)'!$G114,'Dropdown Data'!$A$365:$A$368,'Dropdown Data'!$C$365:$C$368,0,0,1))),""),"")</f>
        <v/>
      </c>
      <c r="H114" s="92" t="str">
        <f>IF('PAAR (EN)'!$H114 &lt;&gt;"", 'PAAR (EN)'!$H114, "")</f>
        <v/>
      </c>
      <c r="I114" s="89" t="str">
        <f>IF('PAAR (EN)'!$I114 &lt;&gt; "", 'PAAR (EN)'!$I114, "")</f>
        <v/>
      </c>
      <c r="J114" s="15"/>
      <c r="K114" s="42" t="str">
        <f>IFERROR(VLOOKUP(B114,Modules!C:D,2,0),"")</f>
        <v/>
      </c>
      <c r="L114" s="40" t="str" cm="1">
        <f t="array" ref="L114">IFERROR(INDEX(Interventions!$F$12:$F$178,MATCH(TRUE,INDEX(Interventions!$E$12:$E$178=$C114,0),0)),0)</f>
        <v>[Name ID]</v>
      </c>
      <c r="M114" s="15" t="str">
        <f>CLEAN(IFERROR(VLOOKUP($C114,Interventions!$E$1:$K$444,7,0),""))</f>
        <v/>
      </c>
      <c r="N114" s="15" t="str">
        <f>CLEAN(IF(C114="","",CONCATENATE(Modules!$B$8,PAAR!M114,Q114)))</f>
        <v/>
      </c>
      <c r="O114" s="70">
        <f>IFERROR(INDEX('Dropdown Data'!$D$33:$D$35,MATCH(A114,'Dropdown Data'!$B$33:$B$35,0)),IFERROR(INDEX('Dropdown Data'!$D$33:$D$35,MATCH(A114,'Dropdown Data'!$C$33:$C$35,0)),A114))</f>
        <v>0</v>
      </c>
      <c r="P114" s="70" t="str">
        <f>IFERROR(INDEX('Dropdown Data'!$D$33:$D$36,MATCH(G114,'Dropdown Data'!$B$33:$B$36,0)),IFERROR(INDEX('Dropdown Data'!$D$33:$D$36,MATCH(G114,'Dropdown Data'!$C$33:$C$36,0)),G114))</f>
        <v/>
      </c>
      <c r="Q114" s="71">
        <v>86</v>
      </c>
      <c r="R114" s="71" t="b">
        <f t="shared" si="12"/>
        <v>0</v>
      </c>
      <c r="S114" s="71">
        <f t="shared" si="13"/>
        <v>10</v>
      </c>
      <c r="T114" s="71" t="e">
        <f>IFERROR(VLOOKUP(B114,Modules!$E$11:$K$52,7,0),IFERROR(VLOOKUP(B114,Modules!$F$11:$K$52,6,0),VLOOKUP(B114,Modules!$G$11:$K$52,5,0)))</f>
        <v>#N/A</v>
      </c>
      <c r="U114" s="71">
        <f>IFERROR(MATCH(T114,Interventions!C:C,0),0)</f>
        <v>0</v>
      </c>
      <c r="V114" s="71" cm="1">
        <f t="array" ref="V114">SUM(U114,COUNTIF(ModuleStart,T114)-1)</f>
        <v>-1</v>
      </c>
      <c r="W114" s="72">
        <f t="shared" si="14"/>
        <v>0</v>
      </c>
      <c r="X114" s="72" t="str">
        <f t="shared" si="15"/>
        <v/>
      </c>
      <c r="Y114" s="82" t="str">
        <f>IF(AND(AE114="Continue",AG114="Continue"),VLOOKUP($B$10,Translation[],91,0),IF(AND(AE114&lt;&gt;"Continue",AG114="Continue"),AE114,IF(AND(AG114&lt;&gt;"Continue",AE114="Continue"),AG114,CONCATENATE(AE114,CHAR(10),AG114))))</f>
        <v>No error</v>
      </c>
      <c r="Z114" s="62" t="str">
        <f>IF(OR(AND($B114&lt;&gt;"",$K114=""),AND($C114&lt;&gt;"",$L114="")),VLOOKUP($B$10,Translation[],87,0),"Continue")</f>
        <v>Continue</v>
      </c>
      <c r="AA114" s="62" t="str">
        <f>IF(AND($B114 &lt;&gt; "",$K114&lt;&gt;""),IF($K114=_xlfn.XLOOKUP(L114,Interventions!$F$11:$F$179,Interventions!$C$11:$C$179,1,0,1),"Continue",VLOOKUP($B$10,Translation[],88,0)),"Continue")</f>
        <v>Continue</v>
      </c>
      <c r="AB114" s="9" t="str">
        <f>IFERROR(IF($A114&lt;&gt;"",IF($B$10="English", IF(MATCH($A114,'Dropdown Data'!$A$361:$A$363,0)&gt;0,"Continue"), IF($B$10="Français",IF(MATCH($A114,'Dropdown Data'!$B$361:$B$363,0)&gt;0,"Continue"), IF($B$10="Español",IF(MATCH($A114,'Dropdown Data'!$C$361:$C$363,0)&gt;0,"Continue"),VLOOKUP($B$10,Translation[],89,0)))),"Continue"),VLOOKUP($B$10,Translation[],89,0))</f>
        <v>Continue</v>
      </c>
      <c r="AC114" s="62" t="str">
        <f>IF(AND(NOT(ISBLANK($D114)),(NOT(ISNUMBER($D114)))),VLOOKUP($B$10,Translation[],90,0),"Continue")</f>
        <v>Continue</v>
      </c>
      <c r="AD114" s="62" t="str">
        <f xml:space="preserve"> IFERROR(IF(INT($D114) &lt;&gt; $D114, VLOOKUP($B$10,Translation[],92,0), "Continue"),"Continue")</f>
        <v>Continue</v>
      </c>
      <c r="AE114" s="62" t="str">
        <f t="shared" si="16"/>
        <v>Continue</v>
      </c>
      <c r="AF114" s="9" t="str">
        <f t="shared" si="17"/>
        <v>Continue</v>
      </c>
      <c r="AG114" s="9" t="str">
        <f t="shared" si="18"/>
        <v>Continue</v>
      </c>
    </row>
    <row r="115" spans="1:33" ht="15" x14ac:dyDescent="0.2">
      <c r="A115" s="83"/>
      <c r="B115" s="84"/>
      <c r="C115" s="84"/>
      <c r="D115" s="96"/>
      <c r="E115" s="93" t="str">
        <f>IF(ISBLANK(D115),"",IF(IF(Modules!$D$4="EUR",W115*(Modules!$B$5),$W115)=0,0,IF(Modules!$D$4="EUR",W115*(Modules!$B$5),$W115)))</f>
        <v/>
      </c>
      <c r="F115" s="41"/>
      <c r="G115" s="82" t="str">
        <f>IF(NOT(ISBLANK('PAAR (EN)'!$G115)),IF('PAAR (EN)'!$G115 &lt;&gt; "",IF(PAAR!$B$10="English",'PAAR (EN)'!$G115,IF(PAAR!$B$10="Français",_xlfn.XLOOKUP('PAAR (EN)'!$G115,'Dropdown Data'!$A$365:$A$368, 'Dropdown Data'!$B$365:$B$368,0,0,1),_xlfn.XLOOKUP('PAAR (EN)'!$G115,'Dropdown Data'!$A$365:$A$368,'Dropdown Data'!$C$365:$C$368,0,0,1))),""),"")</f>
        <v/>
      </c>
      <c r="H115" s="92" t="str">
        <f>IF('PAAR (EN)'!$H115 &lt;&gt;"", 'PAAR (EN)'!$H115, "")</f>
        <v/>
      </c>
      <c r="I115" s="89" t="str">
        <f>IF('PAAR (EN)'!$I115 &lt;&gt; "", 'PAAR (EN)'!$I115, "")</f>
        <v/>
      </c>
      <c r="J115" s="15"/>
      <c r="K115" s="42" t="str">
        <f>IFERROR(VLOOKUP(B115,Modules!C:D,2,0),"")</f>
        <v/>
      </c>
      <c r="L115" s="40" t="str" cm="1">
        <f t="array" ref="L115">IFERROR(INDEX(Interventions!$F$12:$F$178,MATCH(TRUE,INDEX(Interventions!$E$12:$E$178=$C115,0),0)),0)</f>
        <v>[Name ID]</v>
      </c>
      <c r="M115" s="15" t="str">
        <f>CLEAN(IFERROR(VLOOKUP($C115,Interventions!$E$1:$K$444,7,0),""))</f>
        <v/>
      </c>
      <c r="N115" s="15" t="str">
        <f>CLEAN(IF(C115="","",CONCATENATE(Modules!$B$8,PAAR!M115,Q115)))</f>
        <v/>
      </c>
      <c r="O115" s="70">
        <f>IFERROR(INDEX('Dropdown Data'!$D$33:$D$35,MATCH(A115,'Dropdown Data'!$B$33:$B$35,0)),IFERROR(INDEX('Dropdown Data'!$D$33:$D$35,MATCH(A115,'Dropdown Data'!$C$33:$C$35,0)),A115))</f>
        <v>0</v>
      </c>
      <c r="P115" s="70" t="str">
        <f>IFERROR(INDEX('Dropdown Data'!$D$33:$D$36,MATCH(G115,'Dropdown Data'!$B$33:$B$36,0)),IFERROR(INDEX('Dropdown Data'!$D$33:$D$36,MATCH(G115,'Dropdown Data'!$C$33:$C$36,0)),G115))</f>
        <v/>
      </c>
      <c r="Q115" s="71">
        <v>87</v>
      </c>
      <c r="R115" s="71" t="b">
        <f t="shared" si="12"/>
        <v>0</v>
      </c>
      <c r="S115" s="71">
        <f t="shared" si="13"/>
        <v>10</v>
      </c>
      <c r="T115" s="71" t="e">
        <f>IFERROR(VLOOKUP(B115,Modules!$E$11:$K$52,7,0),IFERROR(VLOOKUP(B115,Modules!$F$11:$K$52,6,0),VLOOKUP(B115,Modules!$G$11:$K$52,5,0)))</f>
        <v>#N/A</v>
      </c>
      <c r="U115" s="71">
        <f>IFERROR(MATCH(T115,Interventions!C:C,0),0)</f>
        <v>0</v>
      </c>
      <c r="V115" s="71" cm="1">
        <f t="array" ref="V115">SUM(U115,COUNTIF(ModuleStart,T115)-1)</f>
        <v>-1</v>
      </c>
      <c r="W115" s="72">
        <f t="shared" si="14"/>
        <v>0</v>
      </c>
      <c r="X115" s="72" t="str">
        <f t="shared" si="15"/>
        <v/>
      </c>
      <c r="Y115" s="82" t="str">
        <f>IF(AND(AE115="Continue",AG115="Continue"),VLOOKUP($B$10,Translation[],91,0),IF(AND(AE115&lt;&gt;"Continue",AG115="Continue"),AE115,IF(AND(AG115&lt;&gt;"Continue",AE115="Continue"),AG115,CONCATENATE(AE115,CHAR(10),AG115))))</f>
        <v>No error</v>
      </c>
      <c r="Z115" s="62" t="str">
        <f>IF(OR(AND($B115&lt;&gt;"",$K115=""),AND($C115&lt;&gt;"",$L115="")),VLOOKUP($B$10,Translation[],87,0),"Continue")</f>
        <v>Continue</v>
      </c>
      <c r="AA115" s="62" t="str">
        <f>IF(AND($B115 &lt;&gt; "",$K115&lt;&gt;""),IF($K115=_xlfn.XLOOKUP(L115,Interventions!$F$11:$F$179,Interventions!$C$11:$C$179,1,0,1),"Continue",VLOOKUP($B$10,Translation[],88,0)),"Continue")</f>
        <v>Continue</v>
      </c>
      <c r="AB115" s="9" t="str">
        <f>IFERROR(IF($A115&lt;&gt;"",IF($B$10="English", IF(MATCH($A115,'Dropdown Data'!$A$361:$A$363,0)&gt;0,"Continue"), IF($B$10="Français",IF(MATCH($A115,'Dropdown Data'!$B$361:$B$363,0)&gt;0,"Continue"), IF($B$10="Español",IF(MATCH($A115,'Dropdown Data'!$C$361:$C$363,0)&gt;0,"Continue"),VLOOKUP($B$10,Translation[],89,0)))),"Continue"),VLOOKUP($B$10,Translation[],89,0))</f>
        <v>Continue</v>
      </c>
      <c r="AC115" s="62" t="str">
        <f>IF(AND(NOT(ISBLANK($D115)),(NOT(ISNUMBER($D115)))),VLOOKUP($B$10,Translation[],90,0),"Continue")</f>
        <v>Continue</v>
      </c>
      <c r="AD115" s="62" t="str">
        <f xml:space="preserve"> IFERROR(IF(INT($D115) &lt;&gt; $D115, VLOOKUP($B$10,Translation[],92,0), "Continue"),"Continue")</f>
        <v>Continue</v>
      </c>
      <c r="AE115" s="62" t="str">
        <f t="shared" si="16"/>
        <v>Continue</v>
      </c>
      <c r="AF115" s="9" t="str">
        <f t="shared" si="17"/>
        <v>Continue</v>
      </c>
      <c r="AG115" s="9" t="str">
        <f t="shared" si="18"/>
        <v>Continue</v>
      </c>
    </row>
    <row r="116" spans="1:33" ht="15" x14ac:dyDescent="0.2">
      <c r="A116" s="83"/>
      <c r="B116" s="84"/>
      <c r="C116" s="84"/>
      <c r="D116" s="96"/>
      <c r="E116" s="93" t="str">
        <f>IF(ISBLANK(D116),"",IF(IF(Modules!$D$4="EUR",W116*(Modules!$B$5),$W116)=0,0,IF(Modules!$D$4="EUR",W116*(Modules!$B$5),$W116)))</f>
        <v/>
      </c>
      <c r="F116" s="41"/>
      <c r="G116" s="82" t="str">
        <f>IF(NOT(ISBLANK('PAAR (EN)'!$G116)),IF('PAAR (EN)'!$G116 &lt;&gt; "",IF(PAAR!$B$10="English",'PAAR (EN)'!$G116,IF(PAAR!$B$10="Français",_xlfn.XLOOKUP('PAAR (EN)'!$G116,'Dropdown Data'!$A$365:$A$368, 'Dropdown Data'!$B$365:$B$368,0,0,1),_xlfn.XLOOKUP('PAAR (EN)'!$G116,'Dropdown Data'!$A$365:$A$368,'Dropdown Data'!$C$365:$C$368,0,0,1))),""),"")</f>
        <v/>
      </c>
      <c r="H116" s="92" t="str">
        <f>IF('PAAR (EN)'!$H116 &lt;&gt;"", 'PAAR (EN)'!$H116, "")</f>
        <v/>
      </c>
      <c r="I116" s="89" t="str">
        <f>IF('PAAR (EN)'!$I116 &lt;&gt; "", 'PAAR (EN)'!$I116, "")</f>
        <v/>
      </c>
      <c r="J116" s="15"/>
      <c r="K116" s="42" t="str">
        <f>IFERROR(VLOOKUP(B116,Modules!C:D,2,0),"")</f>
        <v/>
      </c>
      <c r="L116" s="40" t="str" cm="1">
        <f t="array" ref="L116">IFERROR(INDEX(Interventions!$F$12:$F$178,MATCH(TRUE,INDEX(Interventions!$E$12:$E$178=$C116,0),0)),0)</f>
        <v>[Name ID]</v>
      </c>
      <c r="M116" s="15" t="str">
        <f>CLEAN(IFERROR(VLOOKUP($C116,Interventions!$E$1:$K$444,7,0),""))</f>
        <v/>
      </c>
      <c r="N116" s="15" t="str">
        <f>CLEAN(IF(C116="","",CONCATENATE(Modules!$B$8,PAAR!M116,Q116)))</f>
        <v/>
      </c>
      <c r="O116" s="70">
        <f>IFERROR(INDEX('Dropdown Data'!$D$33:$D$35,MATCH(A116,'Dropdown Data'!$B$33:$B$35,0)),IFERROR(INDEX('Dropdown Data'!$D$33:$D$35,MATCH(A116,'Dropdown Data'!$C$33:$C$35,0)),A116))</f>
        <v>0</v>
      </c>
      <c r="P116" s="70" t="str">
        <f>IFERROR(INDEX('Dropdown Data'!$D$33:$D$36,MATCH(G116,'Dropdown Data'!$B$33:$B$36,0)),IFERROR(INDEX('Dropdown Data'!$D$33:$D$36,MATCH(G116,'Dropdown Data'!$C$33:$C$36,0)),G116))</f>
        <v/>
      </c>
      <c r="Q116" s="71">
        <v>88</v>
      </c>
      <c r="R116" s="71" t="b">
        <f t="shared" si="12"/>
        <v>0</v>
      </c>
      <c r="S116" s="71">
        <f t="shared" si="13"/>
        <v>10</v>
      </c>
      <c r="T116" s="71" t="e">
        <f>IFERROR(VLOOKUP(B116,Modules!$E$11:$K$52,7,0),IFERROR(VLOOKUP(B116,Modules!$F$11:$K$52,6,0),VLOOKUP(B116,Modules!$G$11:$K$52,5,0)))</f>
        <v>#N/A</v>
      </c>
      <c r="U116" s="71">
        <f>IFERROR(MATCH(T116,Interventions!C:C,0),0)</f>
        <v>0</v>
      </c>
      <c r="V116" s="71" cm="1">
        <f t="array" ref="V116">SUM(U116,COUNTIF(ModuleStart,T116)-1)</f>
        <v>-1</v>
      </c>
      <c r="W116" s="72">
        <f t="shared" si="14"/>
        <v>0</v>
      </c>
      <c r="X116" s="72" t="str">
        <f t="shared" si="15"/>
        <v/>
      </c>
      <c r="Y116" s="82" t="str">
        <f>IF(AND(AE116="Continue",AG116="Continue"),VLOOKUP($B$10,Translation[],91,0),IF(AND(AE116&lt;&gt;"Continue",AG116="Continue"),AE116,IF(AND(AG116&lt;&gt;"Continue",AE116="Continue"),AG116,CONCATENATE(AE116,CHAR(10),AG116))))</f>
        <v>No error</v>
      </c>
      <c r="Z116" s="62" t="str">
        <f>IF(OR(AND($B116&lt;&gt;"",$K116=""),AND($C116&lt;&gt;"",$L116="")),VLOOKUP($B$10,Translation[],87,0),"Continue")</f>
        <v>Continue</v>
      </c>
      <c r="AA116" s="62" t="str">
        <f>IF(AND($B116 &lt;&gt; "",$K116&lt;&gt;""),IF($K116=_xlfn.XLOOKUP(L116,Interventions!$F$11:$F$179,Interventions!$C$11:$C$179,1,0,1),"Continue",VLOOKUP($B$10,Translation[],88,0)),"Continue")</f>
        <v>Continue</v>
      </c>
      <c r="AB116" s="9" t="str">
        <f>IFERROR(IF($A116&lt;&gt;"",IF($B$10="English", IF(MATCH($A116,'Dropdown Data'!$A$361:$A$363,0)&gt;0,"Continue"), IF($B$10="Français",IF(MATCH($A116,'Dropdown Data'!$B$361:$B$363,0)&gt;0,"Continue"), IF($B$10="Español",IF(MATCH($A116,'Dropdown Data'!$C$361:$C$363,0)&gt;0,"Continue"),VLOOKUP($B$10,Translation[],89,0)))),"Continue"),VLOOKUP($B$10,Translation[],89,0))</f>
        <v>Continue</v>
      </c>
      <c r="AC116" s="62" t="str">
        <f>IF(AND(NOT(ISBLANK($D116)),(NOT(ISNUMBER($D116)))),VLOOKUP($B$10,Translation[],90,0),"Continue")</f>
        <v>Continue</v>
      </c>
      <c r="AD116" s="62" t="str">
        <f xml:space="preserve"> IFERROR(IF(INT($D116) &lt;&gt; $D116, VLOOKUP($B$10,Translation[],92,0), "Continue"),"Continue")</f>
        <v>Continue</v>
      </c>
      <c r="AE116" s="62" t="str">
        <f t="shared" si="16"/>
        <v>Continue</v>
      </c>
      <c r="AF116" s="9" t="str">
        <f t="shared" si="17"/>
        <v>Continue</v>
      </c>
      <c r="AG116" s="9" t="str">
        <f t="shared" si="18"/>
        <v>Continue</v>
      </c>
    </row>
    <row r="117" spans="1:33" ht="15" hidden="1" x14ac:dyDescent="0.2">
      <c r="A117" s="11" t="str">
        <f>IFERROR(VLOOKUP($B$10,Translation[],25,0),"")</f>
        <v>TOTAL AMOUNT</v>
      </c>
      <c r="B117" s="11"/>
      <c r="C117" s="11"/>
      <c r="D117" s="12">
        <f>SUM($W29:$W116)</f>
        <v>13000000</v>
      </c>
      <c r="E117" s="12">
        <f>SUM($X29:$X116)</f>
        <v>13000000</v>
      </c>
      <c r="F117" s="13"/>
      <c r="G117" s="23"/>
      <c r="H117" s="76">
        <f>'PAAR (EN)'!$H$117</f>
        <v>0</v>
      </c>
      <c r="I117" s="76">
        <f>'PAAR (EN)'!$I$117</f>
        <v>0</v>
      </c>
      <c r="J117" s="23"/>
      <c r="K117" s="11"/>
      <c r="L117" s="11"/>
      <c r="M117" s="23"/>
      <c r="N117" s="23"/>
      <c r="Y117" s="15"/>
    </row>
  </sheetData>
  <sheetProtection algorithmName="SHA-512" hashValue="yRjegYy3ILKvXyYDcaEf4tIpedghfmJ1MvJo0kjeo0AfsI7dnlECF6ekrVl8AQpbjj5HRsVotWdlYWg4tVpWxg==" saltValue="eQtiB6Fk+RSrPOTsOfN9bw==" spinCount="100000" sheet="1" formatCells="0" formatRows="0"/>
  <protectedRanges>
    <protectedRange algorithmName="SHA-1" hashValue="DKnNE0XwXjrrqMjLNdRzz4IkN1s=" saltValue="ubYIog4ZPFK1I3OMc5C0+g==" spinCount="100000" sqref="B13:C16" name="Protected Data"/>
  </protectedRanges>
  <mergeCells count="14">
    <mergeCell ref="A4:J4"/>
    <mergeCell ref="A21:J21"/>
    <mergeCell ref="A22:J22"/>
    <mergeCell ref="A26:J26"/>
    <mergeCell ref="A27:J27"/>
    <mergeCell ref="A5:G5"/>
    <mergeCell ref="A7:B7"/>
    <mergeCell ref="A6:B6"/>
    <mergeCell ref="A8:B8"/>
    <mergeCell ref="A12:C12"/>
    <mergeCell ref="B13:C13"/>
    <mergeCell ref="B14:C14"/>
    <mergeCell ref="B15:C15"/>
    <mergeCell ref="A20:J20"/>
  </mergeCells>
  <conditionalFormatting sqref="G29:I116">
    <cfRule type="expression" dxfId="107" priority="4">
      <formula>AND($R29=TRUE,$S29 &lt;&gt;13)</formula>
    </cfRule>
  </conditionalFormatting>
  <conditionalFormatting sqref="Y29:Y116">
    <cfRule type="expression" dxfId="106" priority="2">
      <formula>AND((Y29&lt;&gt;"No Error"),(Y29&lt;&gt;"Pas d’erreur"))</formula>
    </cfRule>
  </conditionalFormatting>
  <dataValidations xWindow="798" yWindow="801" count="5">
    <dataValidation operator="greaterThanOrEqual" allowBlank="1" showInputMessage="1" showErrorMessage="1" error="Please input numbers only" sqref="F30:F117 J117 G117 M117:N117" xr:uid="{00000000-0002-0000-0100-000000000000}"/>
    <dataValidation type="whole" operator="greaterThanOrEqual" allowBlank="1" showInputMessage="1" showErrorMessage="1" errorTitle="Error" error="Please enter a whole number._x000a_Merci de soumettre un chiffre rond._x000a_Por favor introduce un número entero." sqref="D29:D116" xr:uid="{00000000-0002-0000-0100-000001000000}">
      <formula1>0</formula1>
    </dataValidation>
    <dataValidation type="list" allowBlank="1" showInputMessage="1" showErrorMessage="1" errorTitle="Error" error="Please select an option from the drop-down list._x000a_Veuillez sélectionner une option dans la liste déroulante._x000a_Por favor seleccione una opción de la lista desplegable." sqref="B29:B116" xr:uid="{00000000-0002-0000-0100-000002000000}">
      <formula1>ModuleNameList</formula1>
    </dataValidation>
    <dataValidation operator="greaterThanOrEqual" allowBlank="1" showInputMessage="1" showErrorMessage="1" errorTitle="Error" error="Please enter a whole number" sqref="H29:I117" xr:uid="{00000000-0002-0000-0100-000003000000}"/>
    <dataValidation type="list" showInputMessage="1" showErrorMessage="1" errorTitle="Error" error="Please select an option from the drop-down list._x000a_Veuillez sélectionner une option dans la liste déroulante._x000a_Por favor seleccione una opción de la lista desplegable." sqref="C29:C116" xr:uid="{00000000-0002-0000-0100-000004000000}">
      <formula1>InterventionsDependentList</formula1>
    </dataValidation>
  </dataValidations>
  <pageMargins left="0.25" right="0.25" top="0.75" bottom="0.75" header="0.3" footer="0.3"/>
  <pageSetup paperSize="8" scale="49" fitToHeight="0" orientation="landscape" r:id="rId1"/>
  <headerFooter>
    <oddHeader>&amp;LThe Global Fund&amp;CPrioritized Above Allocation Request (PAAR)&amp;RAllocation Period 2023-2025</oddHeader>
    <oddFooter>Page &amp;P of &amp;N</oddFooter>
  </headerFooter>
  <rowBreaks count="3" manualBreakCount="3">
    <brk id="27" max="14" man="1"/>
    <brk id="59" max="14" man="1"/>
    <brk id="90" max="14" man="1"/>
  </rowBreaks>
  <drawing r:id="rId2"/>
  <extLst>
    <ext xmlns:x14="http://schemas.microsoft.com/office/spreadsheetml/2009/9/main" uri="{CCE6A557-97BC-4b89-ADB6-D9C93CAAB3DF}">
      <x14:dataValidations xmlns:xm="http://schemas.microsoft.com/office/excel/2006/main" xWindow="798" yWindow="801" count="2">
        <x14:dataValidation type="list" allowBlank="1" showInputMessage="1" showErrorMessage="1" xr:uid="{00000000-0002-0000-0100-000005000000}">
          <x14:formula1>
            <xm:f>IF(C10=0,'Dropdown Data'!$A$2:$A$4,INDIRECT("FakeRange"))</xm:f>
          </x14:formula1>
          <xm:sqref>B10</xm:sqref>
        </x14:dataValidation>
        <x14:dataValidation type="list" allowBlank="1" showInputMessage="1" showErrorMessage="1" errorTitle="Data Error" error="Please select an option from the drop-down list._x000a_Veuillez sélectionner une option dans la liste déroulante._x000a_Por favor seleccione una opción de la lista desplegable." xr:uid="{00000000-0002-0000-0100-000006000000}">
          <x14:formula1>
            <xm:f>OFFSET('Dropdown Data'!$G$6,MATCH($B$10,'Dropdown Data'!$F$7:$F$15,0),0,COUNTIFS('Dropdown Data'!$F$7:$F$15,$B$10),1)</xm:f>
          </x14:formula1>
          <xm:sqref>A29:A116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
  <sheetViews>
    <sheetView workbookViewId="0"/>
  </sheetViews>
  <sheetFormatPr baseColWidth="10" defaultColWidth="8.83203125" defaultRowHeight="1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D101"/>
  <sheetViews>
    <sheetView workbookViewId="0">
      <selection activeCell="P2" sqref="P2"/>
    </sheetView>
  </sheetViews>
  <sheetFormatPr baseColWidth="10" defaultColWidth="8.83203125" defaultRowHeight="15" x14ac:dyDescent="0.2"/>
  <cols>
    <col min="1" max="1" width="28.5" customWidth="1"/>
    <col min="2" max="2" width="15.5" customWidth="1"/>
    <col min="3" max="3" width="28" customWidth="1"/>
    <col min="4" max="4" width="15.5" customWidth="1"/>
    <col min="5" max="5" width="48.5" customWidth="1"/>
    <col min="6" max="6" width="16.5" customWidth="1"/>
    <col min="7" max="7" width="18.5" customWidth="1"/>
    <col min="8" max="8" width="28.5" bestFit="1" customWidth="1"/>
    <col min="14" max="14" width="21.5" customWidth="1"/>
    <col min="16" max="16" width="8.83203125" style="95"/>
    <col min="18" max="18" width="19.5" style="95" customWidth="1"/>
  </cols>
  <sheetData>
    <row r="1" spans="1:30" x14ac:dyDescent="0.2">
      <c r="A1" t="s">
        <v>30</v>
      </c>
      <c r="B1" t="s">
        <v>31</v>
      </c>
      <c r="C1" t="s">
        <v>32</v>
      </c>
      <c r="D1" t="s">
        <v>33</v>
      </c>
      <c r="E1" t="s">
        <v>34</v>
      </c>
      <c r="F1" t="s">
        <v>35</v>
      </c>
      <c r="G1" t="s">
        <v>35</v>
      </c>
      <c r="H1" t="s">
        <v>36</v>
      </c>
      <c r="J1" t="s">
        <v>37</v>
      </c>
      <c r="L1" t="s">
        <v>38</v>
      </c>
      <c r="N1" t="s">
        <v>39</v>
      </c>
      <c r="O1" t="s">
        <v>35</v>
      </c>
      <c r="P1" s="95" t="s">
        <v>40</v>
      </c>
      <c r="R1" s="95" t="s">
        <v>41</v>
      </c>
      <c r="T1" t="s">
        <v>42</v>
      </c>
      <c r="V1" t="s">
        <v>35</v>
      </c>
      <c r="X1">
        <f>COUNTA(PAAR!$B$29:$B$116)</f>
        <v>22</v>
      </c>
      <c r="Y1">
        <f>COUNTA(G:G)-1-COUNTA(F:F)</f>
        <v>0</v>
      </c>
      <c r="Z1">
        <f>X1-Y1-COUNTA(F2:F3)</f>
        <v>22</v>
      </c>
      <c r="AB1" t="s">
        <v>43</v>
      </c>
      <c r="AD1" t="s">
        <v>44</v>
      </c>
    </row>
    <row r="2" spans="1:30" ht="16" hidden="1" x14ac:dyDescent="0.2">
      <c r="A2" t="str">
        <f ca="1">IF(OFFSET('PAAR (EN)'!A29,-COUNTA('Existing PAARLIne'!$B$1:B121),)=0,"",OFFSET('PAAR (EN)'!A29,-COUNTA('Existing PAARLIne'!$B$1:B121),))</f>
        <v>Applicant Priority Rating</v>
      </c>
      <c r="B2" t="str">
        <f ca="1">IF(OFFSET(PAAR!$F29,-COUNTA('Existing PAARLIne'!$B$1:B121),)=0,"",OFFSET(PAAR!$F29,-COUNTA('Existing PAARLIne'!$B$1:B121),))</f>
        <v xml:space="preserve">Brief Rationale, including expected outcomes and impact (explain how the request builds on the allocation). 
Provide high-level assumptions and rationale for the budget. </v>
      </c>
      <c r="C2" t="str">
        <f ca="1">IF(OR(OFFSET('PAAR (EN)'!$F29,-COUNTA('Existing PAARLIne'!$B$1:B121),)=0,OFFSET('PAAR (EN)'!$F29,-COUNTA('Existing PAARLIne'!$B$1:B121),)=""),B2,OFFSET('PAAR (EN)'!$F29,-COUNTA('Existing PAARLIne'!$B$1:B121),))</f>
        <v xml:space="preserve">Brief Rationale, including expected outcomes and impact (explain how the request builds on the allocation). 
Provide high-level assumptions and rationale for the budget. </v>
      </c>
      <c r="D2" t="str">
        <f ca="1">IF(OFFSET('PAAR (EN)'!$J29,-COUNTA('Existing PAARLIne'!$B$1:B121),)=0,"",OFFSET('PAAR (EN)'!$J29,-COUNTA('Existing PAARLIne'!$B$1:B121),))</f>
        <v>TRP Notes (only mandatory for "Not Recommended", partially recommended, or when priority rating differs)</v>
      </c>
      <c r="E2" t="str">
        <f ca="1">IF(OFFSET(PAAR!$N29,-COUNTA('Existing PAARLIne'!$B$1:B121),)=0,"",_xlfn.CONCAT(OFFSET(PAAR!$N29,-COUNTA('Existing PAARLIne'!$B$1:B121),),COUNTA('Existing PAARLIne'!$B$1:B121),))</f>
        <v>external ID1</v>
      </c>
      <c r="G2" t="str">
        <f>IF(Modules!$D$8=0,"",Modules!$D$8)</f>
        <v>a6RDm000000CaTDMA0</v>
      </c>
      <c r="H2" t="str">
        <f ca="1">IF(OFFSET(PAAR!$L29,-COUNTA('Existing PAARLIne'!$B$1:B121),)=0,"",OFFSET(PAAR!$L29,-COUNTA('Existing PAARLIne'!$B$1:B121),))</f>
        <v>Intervention id</v>
      </c>
      <c r="J2" t="str">
        <f ca="1">IF(OFFSET(PAAR!$T29,-COUNTA('Existing PAARLIne'!$B$1:B121),)=0,"",OFFSET(PAAR!$T29,-COUNTA('Existing PAARLIne'!$B$1:B121),))</f>
        <v>Module name</v>
      </c>
      <c r="L2" t="str">
        <f ca="1">IF(OFFSET('PAAR (EN)'!$G29,-COUNTA('Existing PAARLIne'!$B$1:B121),)=0,"",OFFSET('PAAR (EN)'!$G29,-COUNTA('Existing PAARLIne'!$B$1:B121),))</f>
        <v>TRP Priority Rating</v>
      </c>
      <c r="N2" s="36" t="str">
        <f>Modules!$D$3</f>
        <v>HIV/AIDS, Tuberculosis</v>
      </c>
      <c r="O2" t="str">
        <f>Modules!$B$2</f>
        <v>a44Dm0000004qcyIAA</v>
      </c>
      <c r="P2" s="95" t="str">
        <f ca="1">IF(OFFSET('PAAR (EN)'!$I29,-COUNTA('Existing PAARLIne'!$B$1:B121),)=0,"",OFFSET('PAAR (EN)'!$I29,-COUNTA('Existing PAARLIne'!$B$1:B121),))</f>
        <v>TRP Recommended Amount (USD)</v>
      </c>
      <c r="R2" s="95" t="str">
        <f ca="1">IF(OFFSET(PAAR!$X29,-COUNTA('Existing PAARLIne'!$B$1:B121),)=0,"",OFFSET(PAAR!$X29,-COUNTA('Existing PAARLIne'!$B$1:B121),))</f>
        <v>Requested Amount USD</v>
      </c>
      <c r="T2" t="str">
        <f ca="1">IF(AND(L2='Dropdown Data'!$I$10,P2=""),"Not Approved",Modules!$E$7)</f>
        <v>Active</v>
      </c>
      <c r="V2" t="str">
        <f>IF(Modules!$H11=0,"",Modules!$H11)</f>
        <v>[Record ID]</v>
      </c>
      <c r="AB2" t="b">
        <f>Modules!$H$7</f>
        <v>0</v>
      </c>
    </row>
    <row r="100" spans="1:2" x14ac:dyDescent="0.2">
      <c r="A100" t="s">
        <v>35</v>
      </c>
      <c r="B100" t="str">
        <f>Modules!$B$2</f>
        <v>a44Dm0000004qcyIAA</v>
      </c>
    </row>
    <row r="101" spans="1:2" x14ac:dyDescent="0.2">
      <c r="A101" t="s">
        <v>45</v>
      </c>
      <c r="B101" s="61" t="s">
        <v>46</v>
      </c>
    </row>
  </sheetData>
  <dataValidations count="2">
    <dataValidation type="custom" allowBlank="1" showInputMessage="1" showErrorMessage="1" errorTitle="X-Author for Excel" error="Id and Lookup fields are not editable." promptTitle="X-Author for Excel" sqref="B100" xr:uid="{00000000-0002-0000-0300-000000000000}">
      <formula1>""</formula1>
    </dataValidation>
    <dataValidation type="list" allowBlank="1" showInputMessage="1" showErrorMessage="1" errorTitle="X-Author for Excel" error="Please select a value from the drop-down." promptTitle="X-Author for Excel" sqref="B101" xr:uid="{00000000-0002-0000-0300-000001000000}">
      <formula1>IF(IFERROR(ROWS(INDIRECT(SUBSTITUTE("AIM_Funding_Request__c.PAAR_Status__c"," ","_"))),-1) &lt; 0, XAE_Invalid_PLData,INDIRECT(SUBSTITUTE("AIM_Funding_Request__c.PAAR_Status__c"," ","_")))</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G2"/>
  <sheetViews>
    <sheetView workbookViewId="0"/>
  </sheetViews>
  <sheetFormatPr baseColWidth="10" defaultColWidth="8.83203125" defaultRowHeight="15" x14ac:dyDescent="0.2"/>
  <cols>
    <col min="3" max="3" width="15" customWidth="1"/>
  </cols>
  <sheetData>
    <row r="1" spans="1:7" x14ac:dyDescent="0.2">
      <c r="A1" t="s">
        <v>34</v>
      </c>
      <c r="B1" t="s">
        <v>35</v>
      </c>
      <c r="C1" t="s">
        <v>37</v>
      </c>
      <c r="F1" t="s">
        <v>35</v>
      </c>
      <c r="G1" t="s">
        <v>47</v>
      </c>
    </row>
    <row r="2" spans="1:7" hidden="1" x14ac:dyDescent="0.2"/>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sheetPr>
  <dimension ref="A1:B14"/>
  <sheetViews>
    <sheetView workbookViewId="0">
      <selection activeCell="H10" sqref="H10"/>
    </sheetView>
  </sheetViews>
  <sheetFormatPr baseColWidth="10" defaultColWidth="8.83203125" defaultRowHeight="15" x14ac:dyDescent="0.2"/>
  <sheetData>
    <row r="1" spans="1:2" x14ac:dyDescent="0.2">
      <c r="A1" t="s">
        <v>39</v>
      </c>
      <c r="B1" t="str">
        <f>Modules!$D$3</f>
        <v>HIV/AIDS, Tuberculosis</v>
      </c>
    </row>
    <row r="3" spans="1:2" x14ac:dyDescent="0.2">
      <c r="A3" s="29" t="s">
        <v>48</v>
      </c>
    </row>
    <row r="12" spans="1:2" x14ac:dyDescent="0.2">
      <c r="A12" s="37" t="s">
        <v>49</v>
      </c>
    </row>
    <row r="13" spans="1:2" hidden="1" x14ac:dyDescent="0.2">
      <c r="A13" s="119" t="s">
        <v>50</v>
      </c>
    </row>
    <row r="14" spans="1:2" x14ac:dyDescent="0.2">
      <c r="A14" s="119">
        <v>0.99354200000000004</v>
      </c>
    </row>
  </sheetData>
  <dataValidations count="1">
    <dataValidation type="decimal" allowBlank="1" showInputMessage="1" showErrorMessage="1" errorTitle="X-Author for Excel" error="Please enter a valid numeric value. Valid range for EUR &gt; USD is -10 to 10." promptTitle="X-Author for Excel" sqref="A13:A14" xr:uid="{00000000-0002-0000-0500-000000000000}">
      <formula1>-10</formula1>
      <formula2>10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V35"/>
  <sheetViews>
    <sheetView zoomScaleNormal="100" zoomScaleSheetLayoutView="100" workbookViewId="0">
      <selection activeCell="A2" sqref="A2:V2"/>
    </sheetView>
  </sheetViews>
  <sheetFormatPr baseColWidth="10" defaultColWidth="9.5" defaultRowHeight="14" x14ac:dyDescent="0.2"/>
  <cols>
    <col min="1" max="3" width="25.5" style="9" customWidth="1" collapsed="1"/>
    <col min="4" max="4" width="23.5" style="9" bestFit="1" customWidth="1" collapsed="1"/>
    <col min="5" max="16384" width="9.5" style="9" collapsed="1"/>
  </cols>
  <sheetData>
    <row r="1" spans="1:22" ht="18" x14ac:dyDescent="0.2">
      <c r="A1" s="170" t="str">
        <f>IFERROR(VLOOKUP(PAAR!$B$10,Translation[],26,0),"")</f>
        <v>TRP Notes (only mandatory for "Not Recommended", partially recommended, or when priority rating differs)</v>
      </c>
      <c r="B1" s="170"/>
      <c r="C1" s="170"/>
      <c r="D1" s="170"/>
      <c r="E1" s="170"/>
      <c r="F1" s="170"/>
      <c r="G1" s="170"/>
      <c r="H1" s="170"/>
      <c r="I1" s="170"/>
      <c r="J1" s="170"/>
      <c r="K1" s="170"/>
      <c r="L1" s="170"/>
      <c r="M1" s="170"/>
      <c r="N1" s="170"/>
      <c r="O1" s="170"/>
      <c r="P1" s="170"/>
      <c r="Q1" s="170"/>
      <c r="R1" s="170"/>
      <c r="S1" s="170"/>
      <c r="T1" s="170"/>
      <c r="U1" s="170"/>
      <c r="V1" s="170"/>
    </row>
    <row r="2" spans="1:22" ht="90" customHeight="1" x14ac:dyDescent="0.2">
      <c r="A2" s="171" t="str">
        <f>IFERROR(VLOOKUP(PAAR!$B$10,Translation[],27,0),"")</f>
        <v>Instructions for Applicant:
• Select the corresponding module
• Select the corresponding intervention
• Enter the corresponding requested amount
• Enter the additional information you wish to add to the Brief Rationale section from the tab "Applicant-Candidat-Solicitante"</v>
      </c>
      <c r="B2" s="171"/>
      <c r="C2" s="171"/>
      <c r="D2" s="171"/>
      <c r="E2" s="171"/>
      <c r="F2" s="171"/>
      <c r="G2" s="171"/>
      <c r="H2" s="171"/>
      <c r="I2" s="171"/>
      <c r="J2" s="171"/>
      <c r="K2" s="171"/>
      <c r="L2" s="171"/>
      <c r="M2" s="171"/>
      <c r="N2" s="171"/>
      <c r="O2" s="171"/>
      <c r="P2" s="171"/>
      <c r="Q2" s="171"/>
      <c r="R2" s="171"/>
      <c r="S2" s="171"/>
      <c r="T2" s="171"/>
      <c r="U2" s="171"/>
      <c r="V2" s="171"/>
    </row>
    <row r="3" spans="1:22" ht="15" customHeight="1" x14ac:dyDescent="0.2">
      <c r="A3" s="16" t="str">
        <f>IFERROR(VLOOKUP(PAAR!$B$10,Translation[],28,0),"")</f>
        <v>Module</v>
      </c>
      <c r="B3" s="16" t="str">
        <f>IFERROR(VLOOKUP(PAAR!$B$10,Translation[],29,0),"")</f>
        <v>Intervention</v>
      </c>
      <c r="C3" s="16" t="str">
        <f>IFERROR(VLOOKUP(PAAR!$B$10,Translation[],30,0),"")</f>
        <v>Amount requested</v>
      </c>
      <c r="D3" s="172" t="str">
        <f>IFERROR(VLOOKUP(PAAR!$B$10,Translation[],31,0),"")</f>
        <v>Additional rationale</v>
      </c>
      <c r="E3" s="172"/>
      <c r="F3" s="172"/>
      <c r="G3" s="172"/>
      <c r="H3" s="172"/>
      <c r="I3" s="172"/>
      <c r="J3" s="172"/>
      <c r="K3" s="172"/>
      <c r="L3" s="172"/>
      <c r="M3" s="172"/>
      <c r="N3" s="172"/>
      <c r="O3" s="172"/>
      <c r="P3" s="172"/>
      <c r="Q3" s="172"/>
      <c r="R3" s="172"/>
      <c r="S3" s="172"/>
      <c r="T3" s="172"/>
      <c r="U3" s="172"/>
      <c r="V3" s="172"/>
    </row>
    <row r="4" spans="1:22" x14ac:dyDescent="0.2">
      <c r="A4" s="15"/>
      <c r="B4" s="15"/>
      <c r="C4" s="15"/>
      <c r="D4" s="153"/>
      <c r="E4" s="153"/>
      <c r="F4" s="153"/>
      <c r="G4" s="153"/>
      <c r="H4" s="153"/>
      <c r="I4" s="153"/>
      <c r="J4" s="153"/>
      <c r="K4" s="153"/>
      <c r="L4" s="153"/>
      <c r="M4" s="153"/>
      <c r="N4" s="153"/>
      <c r="O4" s="153"/>
      <c r="P4" s="153"/>
      <c r="Q4" s="153"/>
      <c r="R4" s="153"/>
      <c r="S4" s="153"/>
      <c r="T4" s="153"/>
      <c r="U4" s="153"/>
      <c r="V4" s="153"/>
    </row>
    <row r="5" spans="1:22" x14ac:dyDescent="0.2">
      <c r="A5" s="15"/>
      <c r="B5" s="15"/>
      <c r="C5" s="15"/>
      <c r="D5" s="153"/>
      <c r="E5" s="153"/>
      <c r="F5" s="153"/>
      <c r="G5" s="153"/>
      <c r="H5" s="153"/>
      <c r="I5" s="153"/>
      <c r="J5" s="153"/>
      <c r="K5" s="153"/>
      <c r="L5" s="153"/>
      <c r="M5" s="153"/>
      <c r="N5" s="153"/>
      <c r="O5" s="153"/>
      <c r="P5" s="153"/>
      <c r="Q5" s="153"/>
      <c r="R5" s="153"/>
      <c r="S5" s="153"/>
      <c r="T5" s="153"/>
      <c r="U5" s="153"/>
      <c r="V5" s="153"/>
    </row>
    <row r="6" spans="1:22" x14ac:dyDescent="0.2">
      <c r="A6" s="15"/>
      <c r="B6" s="15"/>
      <c r="C6" s="15"/>
      <c r="D6" s="153"/>
      <c r="E6" s="153"/>
      <c r="F6" s="153"/>
      <c r="G6" s="153"/>
      <c r="H6" s="153"/>
      <c r="I6" s="153"/>
      <c r="J6" s="153"/>
      <c r="K6" s="153"/>
      <c r="L6" s="153"/>
      <c r="M6" s="153"/>
      <c r="N6" s="153"/>
      <c r="O6" s="153"/>
      <c r="P6" s="153"/>
      <c r="Q6" s="153"/>
      <c r="R6" s="153"/>
      <c r="S6" s="153"/>
      <c r="T6" s="153"/>
      <c r="U6" s="153"/>
      <c r="V6" s="153"/>
    </row>
    <row r="7" spans="1:22" x14ac:dyDescent="0.2">
      <c r="A7" s="15"/>
      <c r="B7" s="15"/>
      <c r="C7" s="15"/>
      <c r="D7" s="153"/>
      <c r="E7" s="153"/>
      <c r="F7" s="153"/>
      <c r="G7" s="153"/>
      <c r="H7" s="153"/>
      <c r="I7" s="153"/>
      <c r="J7" s="153"/>
      <c r="K7" s="153"/>
      <c r="L7" s="153"/>
      <c r="M7" s="153"/>
      <c r="N7" s="153"/>
      <c r="O7" s="153"/>
      <c r="P7" s="153"/>
      <c r="Q7" s="153"/>
      <c r="R7" s="153"/>
      <c r="S7" s="153"/>
      <c r="T7" s="153"/>
      <c r="U7" s="153"/>
      <c r="V7" s="153"/>
    </row>
    <row r="8" spans="1:22" x14ac:dyDescent="0.2">
      <c r="A8" s="15"/>
      <c r="B8" s="15"/>
      <c r="C8" s="15"/>
      <c r="D8" s="153"/>
      <c r="E8" s="153"/>
      <c r="F8" s="153"/>
      <c r="G8" s="153"/>
      <c r="H8" s="153"/>
      <c r="I8" s="153"/>
      <c r="J8" s="153"/>
      <c r="K8" s="153"/>
      <c r="L8" s="153"/>
      <c r="M8" s="153"/>
      <c r="N8" s="153"/>
      <c r="O8" s="153"/>
      <c r="P8" s="153"/>
      <c r="Q8" s="153"/>
      <c r="R8" s="153"/>
      <c r="S8" s="153"/>
      <c r="T8" s="153"/>
      <c r="U8" s="153"/>
      <c r="V8" s="153"/>
    </row>
    <row r="9" spans="1:22" x14ac:dyDescent="0.2">
      <c r="A9" s="15"/>
      <c r="B9" s="15"/>
      <c r="C9" s="15"/>
      <c r="D9" s="153"/>
      <c r="E9" s="153"/>
      <c r="F9" s="153"/>
      <c r="G9" s="153"/>
      <c r="H9" s="153"/>
      <c r="I9" s="153"/>
      <c r="J9" s="153"/>
      <c r="K9" s="153"/>
      <c r="L9" s="153"/>
      <c r="M9" s="153"/>
      <c r="N9" s="153"/>
      <c r="O9" s="153"/>
      <c r="P9" s="153"/>
      <c r="Q9" s="153"/>
      <c r="R9" s="153"/>
      <c r="S9" s="153"/>
      <c r="T9" s="153"/>
      <c r="U9" s="153"/>
      <c r="V9" s="153"/>
    </row>
    <row r="10" spans="1:22" x14ac:dyDescent="0.2">
      <c r="A10" s="15"/>
      <c r="B10" s="15"/>
      <c r="C10" s="15"/>
      <c r="D10" s="153"/>
      <c r="E10" s="153"/>
      <c r="F10" s="153"/>
      <c r="G10" s="153"/>
      <c r="H10" s="153"/>
      <c r="I10" s="153"/>
      <c r="J10" s="153"/>
      <c r="K10" s="153"/>
      <c r="L10" s="153"/>
      <c r="M10" s="153"/>
      <c r="N10" s="153"/>
      <c r="O10" s="153"/>
      <c r="P10" s="153"/>
      <c r="Q10" s="153"/>
      <c r="R10" s="153"/>
      <c r="S10" s="153"/>
      <c r="T10" s="153"/>
      <c r="U10" s="153"/>
      <c r="V10" s="153"/>
    </row>
    <row r="11" spans="1:22" x14ac:dyDescent="0.2">
      <c r="A11" s="15"/>
      <c r="B11" s="15"/>
      <c r="C11" s="15"/>
      <c r="D11" s="153"/>
      <c r="E11" s="153"/>
      <c r="F11" s="153"/>
      <c r="G11" s="153"/>
      <c r="H11" s="153"/>
      <c r="I11" s="153"/>
      <c r="J11" s="153"/>
      <c r="K11" s="153"/>
      <c r="L11" s="153"/>
      <c r="M11" s="153"/>
      <c r="N11" s="153"/>
      <c r="O11" s="153"/>
      <c r="P11" s="153"/>
      <c r="Q11" s="153"/>
      <c r="R11" s="153"/>
      <c r="S11" s="153"/>
      <c r="T11" s="153"/>
      <c r="U11" s="153"/>
      <c r="V11" s="153"/>
    </row>
    <row r="12" spans="1:22" x14ac:dyDescent="0.2">
      <c r="A12" s="15"/>
      <c r="B12" s="15"/>
      <c r="C12" s="15"/>
      <c r="D12" s="153"/>
      <c r="E12" s="153"/>
      <c r="F12" s="153"/>
      <c r="G12" s="153"/>
      <c r="H12" s="153"/>
      <c r="I12" s="153"/>
      <c r="J12" s="153"/>
      <c r="K12" s="153"/>
      <c r="L12" s="153"/>
      <c r="M12" s="153"/>
      <c r="N12" s="153"/>
      <c r="O12" s="153"/>
      <c r="P12" s="153"/>
      <c r="Q12" s="153"/>
      <c r="R12" s="153"/>
      <c r="S12" s="153"/>
      <c r="T12" s="153"/>
      <c r="U12" s="153"/>
      <c r="V12" s="153"/>
    </row>
    <row r="13" spans="1:22" x14ac:dyDescent="0.2">
      <c r="A13" s="15"/>
      <c r="B13" s="15"/>
      <c r="C13" s="15"/>
      <c r="D13" s="153"/>
      <c r="E13" s="153"/>
      <c r="F13" s="153"/>
      <c r="G13" s="153"/>
      <c r="H13" s="153"/>
      <c r="I13" s="153"/>
      <c r="J13" s="153"/>
      <c r="K13" s="153"/>
      <c r="L13" s="153"/>
      <c r="M13" s="153"/>
      <c r="N13" s="153"/>
      <c r="O13" s="153"/>
      <c r="P13" s="153"/>
      <c r="Q13" s="153"/>
      <c r="R13" s="153"/>
      <c r="S13" s="153"/>
      <c r="T13" s="153"/>
      <c r="U13" s="153"/>
      <c r="V13" s="153"/>
    </row>
    <row r="14" spans="1:22" x14ac:dyDescent="0.2">
      <c r="A14" s="15"/>
      <c r="B14" s="15"/>
      <c r="C14" s="15"/>
      <c r="D14" s="153"/>
      <c r="E14" s="153"/>
      <c r="F14" s="153"/>
      <c r="G14" s="153"/>
      <c r="H14" s="153"/>
      <c r="I14" s="153"/>
      <c r="J14" s="153"/>
      <c r="K14" s="153"/>
      <c r="L14" s="153"/>
      <c r="M14" s="153"/>
      <c r="N14" s="153"/>
      <c r="O14" s="153"/>
      <c r="P14" s="153"/>
      <c r="Q14" s="153"/>
      <c r="R14" s="153"/>
      <c r="S14" s="153"/>
      <c r="T14" s="153"/>
      <c r="U14" s="153"/>
      <c r="V14" s="153"/>
    </row>
    <row r="15" spans="1:22" x14ac:dyDescent="0.2">
      <c r="A15" s="15"/>
      <c r="B15" s="15"/>
      <c r="C15" s="15"/>
      <c r="D15" s="153"/>
      <c r="E15" s="153"/>
      <c r="F15" s="153"/>
      <c r="G15" s="153"/>
      <c r="H15" s="153"/>
      <c r="I15" s="153"/>
      <c r="J15" s="153"/>
      <c r="K15" s="153"/>
      <c r="L15" s="153"/>
      <c r="M15" s="153"/>
      <c r="N15" s="153"/>
      <c r="O15" s="153"/>
      <c r="P15" s="153"/>
      <c r="Q15" s="153"/>
      <c r="R15" s="153"/>
      <c r="S15" s="153"/>
      <c r="T15" s="153"/>
      <c r="U15" s="153"/>
      <c r="V15" s="153"/>
    </row>
    <row r="16" spans="1:22" x14ac:dyDescent="0.2">
      <c r="A16" s="15"/>
      <c r="B16" s="15"/>
      <c r="C16" s="15"/>
      <c r="D16" s="153"/>
      <c r="E16" s="153"/>
      <c r="F16" s="153"/>
      <c r="G16" s="153"/>
      <c r="H16" s="153"/>
      <c r="I16" s="153"/>
      <c r="J16" s="153"/>
      <c r="K16" s="153"/>
      <c r="L16" s="153"/>
      <c r="M16" s="153"/>
      <c r="N16" s="153"/>
      <c r="O16" s="153"/>
      <c r="P16" s="153"/>
      <c r="Q16" s="153"/>
      <c r="R16" s="153"/>
      <c r="S16" s="153"/>
      <c r="T16" s="153"/>
      <c r="U16" s="153"/>
      <c r="V16" s="153"/>
    </row>
    <row r="17" spans="1:22" x14ac:dyDescent="0.2">
      <c r="A17" s="15"/>
      <c r="B17" s="15"/>
      <c r="C17" s="15"/>
      <c r="D17" s="153"/>
      <c r="E17" s="153"/>
      <c r="F17" s="153"/>
      <c r="G17" s="153"/>
      <c r="H17" s="153"/>
      <c r="I17" s="153"/>
      <c r="J17" s="153"/>
      <c r="K17" s="153"/>
      <c r="L17" s="153"/>
      <c r="M17" s="153"/>
      <c r="N17" s="153"/>
      <c r="O17" s="153"/>
      <c r="P17" s="153"/>
      <c r="Q17" s="153"/>
      <c r="R17" s="153"/>
      <c r="S17" s="153"/>
      <c r="T17" s="153"/>
      <c r="U17" s="153"/>
      <c r="V17" s="153"/>
    </row>
    <row r="18" spans="1:22" x14ac:dyDescent="0.2">
      <c r="A18" s="15"/>
      <c r="B18" s="15"/>
      <c r="C18" s="15"/>
      <c r="D18" s="153"/>
      <c r="E18" s="153"/>
      <c r="F18" s="153"/>
      <c r="G18" s="153"/>
      <c r="H18" s="153"/>
      <c r="I18" s="153"/>
      <c r="J18" s="153"/>
      <c r="K18" s="153"/>
      <c r="L18" s="153"/>
      <c r="M18" s="153"/>
      <c r="N18" s="153"/>
      <c r="O18" s="153"/>
      <c r="P18" s="153"/>
      <c r="Q18" s="153"/>
      <c r="R18" s="153"/>
      <c r="S18" s="153"/>
      <c r="T18" s="153"/>
      <c r="U18" s="153"/>
      <c r="V18" s="153"/>
    </row>
    <row r="19" spans="1:22" x14ac:dyDescent="0.2">
      <c r="A19" s="15"/>
      <c r="B19" s="15"/>
      <c r="C19" s="15"/>
      <c r="D19" s="153"/>
      <c r="E19" s="153"/>
      <c r="F19" s="153"/>
      <c r="G19" s="153"/>
      <c r="H19" s="153"/>
      <c r="I19" s="153"/>
      <c r="J19" s="153"/>
      <c r="K19" s="153"/>
      <c r="L19" s="153"/>
      <c r="M19" s="153"/>
      <c r="N19" s="153"/>
      <c r="O19" s="153"/>
      <c r="P19" s="153"/>
      <c r="Q19" s="153"/>
      <c r="R19" s="153"/>
      <c r="S19" s="153"/>
      <c r="T19" s="153"/>
      <c r="U19" s="153"/>
      <c r="V19" s="153"/>
    </row>
    <row r="20" spans="1:22" x14ac:dyDescent="0.2">
      <c r="A20" s="15"/>
      <c r="B20" s="15"/>
      <c r="C20" s="15"/>
      <c r="D20" s="153"/>
      <c r="E20" s="153"/>
      <c r="F20" s="153"/>
      <c r="G20" s="153"/>
      <c r="H20" s="153"/>
      <c r="I20" s="153"/>
      <c r="J20" s="153"/>
      <c r="K20" s="153"/>
      <c r="L20" s="153"/>
      <c r="M20" s="153"/>
      <c r="N20" s="153"/>
      <c r="O20" s="153"/>
      <c r="P20" s="153"/>
      <c r="Q20" s="153"/>
      <c r="R20" s="153"/>
      <c r="S20" s="153"/>
      <c r="T20" s="153"/>
      <c r="U20" s="153"/>
      <c r="V20" s="153"/>
    </row>
    <row r="21" spans="1:22" x14ac:dyDescent="0.2">
      <c r="A21" s="15"/>
      <c r="B21" s="15"/>
      <c r="C21" s="15"/>
      <c r="D21" s="153"/>
      <c r="E21" s="153"/>
      <c r="F21" s="153"/>
      <c r="G21" s="153"/>
      <c r="H21" s="153"/>
      <c r="I21" s="153"/>
      <c r="J21" s="153"/>
      <c r="K21" s="153"/>
      <c r="L21" s="153"/>
      <c r="M21" s="153"/>
      <c r="N21" s="153"/>
      <c r="O21" s="153"/>
      <c r="P21" s="153"/>
      <c r="Q21" s="153"/>
      <c r="R21" s="153"/>
      <c r="S21" s="153"/>
      <c r="T21" s="153"/>
      <c r="U21" s="153"/>
      <c r="V21" s="153"/>
    </row>
    <row r="22" spans="1:22" x14ac:dyDescent="0.2">
      <c r="A22" s="15"/>
      <c r="B22" s="15"/>
      <c r="C22" s="15"/>
      <c r="D22" s="153"/>
      <c r="E22" s="153"/>
      <c r="F22" s="153"/>
      <c r="G22" s="153"/>
      <c r="H22" s="153"/>
      <c r="I22" s="153"/>
      <c r="J22" s="153"/>
      <c r="K22" s="153"/>
      <c r="L22" s="153"/>
      <c r="M22" s="153"/>
      <c r="N22" s="153"/>
      <c r="O22" s="153"/>
      <c r="P22" s="153"/>
      <c r="Q22" s="153"/>
      <c r="R22" s="153"/>
      <c r="S22" s="153"/>
      <c r="T22" s="153"/>
      <c r="U22" s="153"/>
      <c r="V22" s="153"/>
    </row>
    <row r="23" spans="1:22" x14ac:dyDescent="0.2">
      <c r="A23" s="15"/>
      <c r="B23" s="15"/>
      <c r="C23" s="15"/>
      <c r="D23" s="153"/>
      <c r="E23" s="153"/>
      <c r="F23" s="153"/>
      <c r="G23" s="153"/>
      <c r="H23" s="153"/>
      <c r="I23" s="153"/>
      <c r="J23" s="153"/>
      <c r="K23" s="153"/>
      <c r="L23" s="153"/>
      <c r="M23" s="153"/>
      <c r="N23" s="153"/>
      <c r="O23" s="153"/>
      <c r="P23" s="153"/>
      <c r="Q23" s="153"/>
      <c r="R23" s="153"/>
      <c r="S23" s="153"/>
      <c r="T23" s="153"/>
      <c r="U23" s="153"/>
      <c r="V23" s="153"/>
    </row>
    <row r="24" spans="1:22" x14ac:dyDescent="0.2">
      <c r="A24" s="15"/>
      <c r="B24" s="15"/>
      <c r="C24" s="15"/>
      <c r="D24" s="153"/>
      <c r="E24" s="153"/>
      <c r="F24" s="153"/>
      <c r="G24" s="153"/>
      <c r="H24" s="153"/>
      <c r="I24" s="153"/>
      <c r="J24" s="153"/>
      <c r="K24" s="153"/>
      <c r="L24" s="153"/>
      <c r="M24" s="153"/>
      <c r="N24" s="153"/>
      <c r="O24" s="153"/>
      <c r="P24" s="153"/>
      <c r="Q24" s="153"/>
      <c r="R24" s="153"/>
      <c r="S24" s="153"/>
      <c r="T24" s="153"/>
      <c r="U24" s="153"/>
      <c r="V24" s="153"/>
    </row>
    <row r="25" spans="1:22" x14ac:dyDescent="0.2">
      <c r="A25" s="15"/>
      <c r="B25" s="15"/>
      <c r="C25" s="15"/>
      <c r="D25" s="153"/>
      <c r="E25" s="153"/>
      <c r="F25" s="153"/>
      <c r="G25" s="153"/>
      <c r="H25" s="153"/>
      <c r="I25" s="153"/>
      <c r="J25" s="153"/>
      <c r="K25" s="153"/>
      <c r="L25" s="153"/>
      <c r="M25" s="153"/>
      <c r="N25" s="153"/>
      <c r="O25" s="153"/>
      <c r="P25" s="153"/>
      <c r="Q25" s="153"/>
      <c r="R25" s="153"/>
      <c r="S25" s="153"/>
      <c r="T25" s="153"/>
      <c r="U25" s="153"/>
      <c r="V25" s="153"/>
    </row>
    <row r="26" spans="1:22" x14ac:dyDescent="0.2">
      <c r="A26" s="15"/>
      <c r="B26" s="15"/>
      <c r="C26" s="15"/>
      <c r="D26" s="153"/>
      <c r="E26" s="153"/>
      <c r="F26" s="153"/>
      <c r="G26" s="153"/>
      <c r="H26" s="153"/>
      <c r="I26" s="153"/>
      <c r="J26" s="153"/>
      <c r="K26" s="153"/>
      <c r="L26" s="153"/>
      <c r="M26" s="153"/>
      <c r="N26" s="153"/>
      <c r="O26" s="153"/>
      <c r="P26" s="153"/>
      <c r="Q26" s="153"/>
      <c r="R26" s="153"/>
      <c r="S26" s="153"/>
      <c r="T26" s="153"/>
      <c r="U26" s="153"/>
      <c r="V26" s="153"/>
    </row>
    <row r="27" spans="1:22" x14ac:dyDescent="0.2">
      <c r="A27" s="15"/>
      <c r="B27" s="15"/>
      <c r="C27" s="15"/>
      <c r="D27" s="153"/>
      <c r="E27" s="153"/>
      <c r="F27" s="153"/>
      <c r="G27" s="153"/>
      <c r="H27" s="153"/>
      <c r="I27" s="153"/>
      <c r="J27" s="153"/>
      <c r="K27" s="153"/>
      <c r="L27" s="153"/>
      <c r="M27" s="153"/>
      <c r="N27" s="153"/>
      <c r="O27" s="153"/>
      <c r="P27" s="153"/>
      <c r="Q27" s="153"/>
      <c r="R27" s="153"/>
      <c r="S27" s="153"/>
      <c r="T27" s="153"/>
      <c r="U27" s="153"/>
      <c r="V27" s="153"/>
    </row>
    <row r="28" spans="1:22" x14ac:dyDescent="0.2">
      <c r="A28" s="15"/>
      <c r="B28" s="15"/>
      <c r="C28" s="15"/>
      <c r="D28" s="153"/>
      <c r="E28" s="153"/>
      <c r="F28" s="153"/>
      <c r="G28" s="153"/>
      <c r="H28" s="153"/>
      <c r="I28" s="153"/>
      <c r="J28" s="153"/>
      <c r="K28" s="153"/>
      <c r="L28" s="153"/>
      <c r="M28" s="153"/>
      <c r="N28" s="153"/>
      <c r="O28" s="153"/>
      <c r="P28" s="153"/>
      <c r="Q28" s="153"/>
      <c r="R28" s="153"/>
      <c r="S28" s="153"/>
      <c r="T28" s="153"/>
      <c r="U28" s="153"/>
      <c r="V28" s="153"/>
    </row>
    <row r="29" spans="1:22" x14ac:dyDescent="0.2">
      <c r="A29" s="15"/>
      <c r="B29" s="15"/>
      <c r="C29" s="15"/>
      <c r="D29" s="153"/>
      <c r="E29" s="153"/>
      <c r="F29" s="153"/>
      <c r="G29" s="153"/>
      <c r="H29" s="153"/>
      <c r="I29" s="153"/>
      <c r="J29" s="153"/>
      <c r="K29" s="153"/>
      <c r="L29" s="153"/>
      <c r="M29" s="153"/>
      <c r="N29" s="153"/>
      <c r="O29" s="153"/>
      <c r="P29" s="153"/>
      <c r="Q29" s="153"/>
      <c r="R29" s="153"/>
      <c r="S29" s="153"/>
      <c r="T29" s="153"/>
      <c r="U29" s="153"/>
      <c r="V29" s="153"/>
    </row>
    <row r="30" spans="1:22" x14ac:dyDescent="0.2">
      <c r="A30" s="15"/>
      <c r="B30" s="15"/>
      <c r="C30" s="15"/>
      <c r="D30" s="153"/>
      <c r="E30" s="153"/>
      <c r="F30" s="153"/>
      <c r="G30" s="153"/>
      <c r="H30" s="153"/>
      <c r="I30" s="153"/>
      <c r="J30" s="153"/>
      <c r="K30" s="153"/>
      <c r="L30" s="153"/>
      <c r="M30" s="153"/>
      <c r="N30" s="153"/>
      <c r="O30" s="153"/>
      <c r="P30" s="153"/>
      <c r="Q30" s="153"/>
      <c r="R30" s="153"/>
      <c r="S30" s="153"/>
      <c r="T30" s="153"/>
      <c r="U30" s="153"/>
      <c r="V30" s="153"/>
    </row>
    <row r="31" spans="1:22" x14ac:dyDescent="0.2">
      <c r="A31" s="15"/>
      <c r="B31" s="15"/>
      <c r="C31" s="15"/>
      <c r="D31" s="153"/>
      <c r="E31" s="153"/>
      <c r="F31" s="153"/>
      <c r="G31" s="153"/>
      <c r="H31" s="153"/>
      <c r="I31" s="153"/>
      <c r="J31" s="153"/>
      <c r="K31" s="153"/>
      <c r="L31" s="153"/>
      <c r="M31" s="153"/>
      <c r="N31" s="153"/>
      <c r="O31" s="153"/>
      <c r="P31" s="153"/>
      <c r="Q31" s="153"/>
      <c r="R31" s="153"/>
      <c r="S31" s="153"/>
      <c r="T31" s="153"/>
      <c r="U31" s="153"/>
      <c r="V31" s="153"/>
    </row>
    <row r="32" spans="1:22" x14ac:dyDescent="0.2">
      <c r="A32" s="15"/>
      <c r="B32" s="15"/>
      <c r="C32" s="15"/>
      <c r="D32" s="153"/>
      <c r="E32" s="153"/>
      <c r="F32" s="153"/>
      <c r="G32" s="153"/>
      <c r="H32" s="153"/>
      <c r="I32" s="153"/>
      <c r="J32" s="153"/>
      <c r="K32" s="153"/>
      <c r="L32" s="153"/>
      <c r="M32" s="153"/>
      <c r="N32" s="153"/>
      <c r="O32" s="153"/>
      <c r="P32" s="153"/>
      <c r="Q32" s="153"/>
      <c r="R32" s="153"/>
      <c r="S32" s="153"/>
      <c r="T32" s="153"/>
      <c r="U32" s="153"/>
      <c r="V32" s="153"/>
    </row>
    <row r="33" spans="1:22" x14ac:dyDescent="0.2">
      <c r="A33" s="15"/>
      <c r="B33" s="15"/>
      <c r="C33" s="15"/>
      <c r="D33" s="153"/>
      <c r="E33" s="153"/>
      <c r="F33" s="153"/>
      <c r="G33" s="153"/>
      <c r="H33" s="153"/>
      <c r="I33" s="153"/>
      <c r="J33" s="153"/>
      <c r="K33" s="153"/>
      <c r="L33" s="153"/>
      <c r="M33" s="153"/>
      <c r="N33" s="153"/>
      <c r="O33" s="153"/>
      <c r="P33" s="153"/>
      <c r="Q33" s="153"/>
      <c r="R33" s="153"/>
      <c r="S33" s="153"/>
      <c r="T33" s="153"/>
      <c r="U33" s="153"/>
      <c r="V33" s="153"/>
    </row>
    <row r="34" spans="1:22" x14ac:dyDescent="0.2">
      <c r="A34" s="15"/>
      <c r="B34" s="15"/>
      <c r="C34" s="15"/>
      <c r="D34" s="153"/>
      <c r="E34" s="153"/>
      <c r="F34" s="153"/>
      <c r="G34" s="153"/>
      <c r="H34" s="153"/>
      <c r="I34" s="153"/>
      <c r="J34" s="153"/>
      <c r="K34" s="153"/>
      <c r="L34" s="153"/>
      <c r="M34" s="153"/>
      <c r="N34" s="153"/>
      <c r="O34" s="153"/>
      <c r="P34" s="153"/>
      <c r="Q34" s="153"/>
      <c r="R34" s="153"/>
      <c r="S34" s="153"/>
      <c r="T34" s="153"/>
      <c r="U34" s="153"/>
      <c r="V34" s="153"/>
    </row>
    <row r="35" spans="1:22" x14ac:dyDescent="0.2">
      <c r="A35" s="15"/>
      <c r="B35" s="15"/>
      <c r="C35" s="15"/>
      <c r="D35" s="153"/>
      <c r="E35" s="153"/>
      <c r="F35" s="153"/>
      <c r="G35" s="153"/>
      <c r="H35" s="153"/>
      <c r="I35" s="153"/>
      <c r="J35" s="153"/>
      <c r="K35" s="153"/>
      <c r="L35" s="153"/>
      <c r="M35" s="153"/>
      <c r="N35" s="153"/>
      <c r="O35" s="153"/>
      <c r="P35" s="153"/>
      <c r="Q35" s="153"/>
      <c r="R35" s="153"/>
      <c r="S35" s="153"/>
      <c r="T35" s="153"/>
      <c r="U35" s="153"/>
      <c r="V35" s="153"/>
    </row>
  </sheetData>
  <sheetProtection formatRows="0" insertRows="0"/>
  <mergeCells count="35">
    <mergeCell ref="A1:V1"/>
    <mergeCell ref="A2:V2"/>
    <mergeCell ref="D3:V3"/>
    <mergeCell ref="D15:V15"/>
    <mergeCell ref="D4:V4"/>
    <mergeCell ref="D5:V5"/>
    <mergeCell ref="D6:V6"/>
    <mergeCell ref="D7:V7"/>
    <mergeCell ref="D8:V8"/>
    <mergeCell ref="D9:V9"/>
    <mergeCell ref="D10:V10"/>
    <mergeCell ref="D11:V11"/>
    <mergeCell ref="D12:V12"/>
    <mergeCell ref="D13:V13"/>
    <mergeCell ref="D14:V14"/>
    <mergeCell ref="D27:V27"/>
    <mergeCell ref="D16:V16"/>
    <mergeCell ref="D17:V17"/>
    <mergeCell ref="D18:V18"/>
    <mergeCell ref="D19:V19"/>
    <mergeCell ref="D20:V20"/>
    <mergeCell ref="D21:V21"/>
    <mergeCell ref="D22:V22"/>
    <mergeCell ref="D23:V23"/>
    <mergeCell ref="D24:V24"/>
    <mergeCell ref="D25:V25"/>
    <mergeCell ref="D26:V26"/>
    <mergeCell ref="D34:V34"/>
    <mergeCell ref="D35:V35"/>
    <mergeCell ref="D28:V28"/>
    <mergeCell ref="D29:V29"/>
    <mergeCell ref="D30:V30"/>
    <mergeCell ref="D31:V31"/>
    <mergeCell ref="D32:V32"/>
    <mergeCell ref="D33:V33"/>
  </mergeCells>
  <dataValidations count="3">
    <dataValidation type="decimal" operator="greaterThanOrEqual" allowBlank="1" showInputMessage="1" showErrorMessage="1" sqref="C4:C35" xr:uid="{00000000-0002-0000-0600-000000000000}">
      <formula1>0</formula1>
    </dataValidation>
    <dataValidation type="list" allowBlank="1" showInputMessage="1" showErrorMessage="1" sqref="A4:A35" xr:uid="{00000000-0002-0000-0600-000001000000}">
      <formula1>Module</formula1>
    </dataValidation>
    <dataValidation type="list" allowBlank="1" showInputMessage="1" showErrorMessage="1" sqref="B4:B35" xr:uid="{00000000-0002-0000-0600-000002000000}">
      <formula1>ADD_Intervention</formula1>
    </dataValidation>
  </dataValidations>
  <pageMargins left="0.7" right="0.7" top="0.75" bottom="0.75" header="0.3" footer="0.3"/>
  <pageSetup paperSize="9"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2:P339"/>
  <sheetViews>
    <sheetView topLeftCell="J1" zoomScale="80" zoomScaleNormal="80" workbookViewId="0">
      <selection activeCell="N11" sqref="N11"/>
    </sheetView>
  </sheetViews>
  <sheetFormatPr baseColWidth="10" defaultColWidth="8.83203125" defaultRowHeight="15" x14ac:dyDescent="0.2"/>
  <cols>
    <col min="1" max="1" width="70.5" customWidth="1"/>
    <col min="2" max="2" width="48.5" customWidth="1"/>
    <col min="3" max="3" width="19.5" customWidth="1"/>
    <col min="4" max="5" width="18.5" customWidth="1"/>
    <col min="6" max="6" width="16.5" customWidth="1"/>
    <col min="7" max="7" width="20.5" customWidth="1"/>
    <col min="8" max="8" width="22.5" customWidth="1"/>
    <col min="9" max="9" width="16.5" bestFit="1" customWidth="1"/>
    <col min="10" max="10" width="14.5" customWidth="1"/>
    <col min="11" max="11" width="50.5" customWidth="1"/>
  </cols>
  <sheetData>
    <row r="2" spans="1:16" x14ac:dyDescent="0.2">
      <c r="A2" s="17" t="s">
        <v>35</v>
      </c>
      <c r="B2" s="28" t="s">
        <v>51</v>
      </c>
      <c r="C2" s="17" t="s">
        <v>52</v>
      </c>
      <c r="D2" s="61" t="s">
        <v>53</v>
      </c>
      <c r="E2" t="s">
        <v>54</v>
      </c>
      <c r="F2" s="30">
        <f>COUNTA(PAAR!D29:D213)-SUMPRODUCT(COUNTIF(PAAR!D29:D213,"--select--"))</f>
        <v>23</v>
      </c>
    </row>
    <row r="3" spans="1:16" x14ac:dyDescent="0.2">
      <c r="A3" s="17" t="s">
        <v>55</v>
      </c>
      <c r="B3" s="115" t="s">
        <v>56</v>
      </c>
      <c r="C3" s="17" t="s">
        <v>39</v>
      </c>
      <c r="D3" s="61" t="s">
        <v>57</v>
      </c>
      <c r="F3" t="s">
        <v>58</v>
      </c>
      <c r="I3" t="str">
        <f>SUBSTITUTE($D3,H4&amp;",",)</f>
        <v xml:space="preserve"> Tuberculosis</v>
      </c>
      <c r="J3" t="str">
        <f>SUBSTITUTE(I3,I4&amp;",",)</f>
        <v xml:space="preserve"> Tuberculosis</v>
      </c>
      <c r="K3" t="str">
        <f>IF(SUBSTITUTE(J3,J4&amp;",",)=I3,"",SUBSTITUTE(J3,J4&amp;",",))</f>
        <v/>
      </c>
      <c r="L3" t="str">
        <f t="shared" ref="L3:P3" si="0">IF(SUBSTITUTE(K3,K4&amp;",",)=J3,"",SUBSTITUTE(K3,K4&amp;",",))</f>
        <v/>
      </c>
      <c r="M3" t="str">
        <f t="shared" si="0"/>
        <v/>
      </c>
      <c r="N3" t="str">
        <f t="shared" si="0"/>
        <v/>
      </c>
      <c r="O3" t="str">
        <f t="shared" si="0"/>
        <v/>
      </c>
      <c r="P3" t="str">
        <f t="shared" si="0"/>
        <v/>
      </c>
    </row>
    <row r="4" spans="1:16" x14ac:dyDescent="0.2">
      <c r="A4" s="17" t="s">
        <v>59</v>
      </c>
      <c r="B4" s="115"/>
      <c r="C4" s="17" t="s">
        <v>60</v>
      </c>
      <c r="D4" s="61" t="s">
        <v>61</v>
      </c>
      <c r="F4" t="s">
        <v>62</v>
      </c>
      <c r="G4" t="s">
        <v>63</v>
      </c>
      <c r="H4" t="str">
        <f>IFERROR(LEFT(D3,FIND(",",D3)-1),D3)</f>
        <v>HIV/AIDS</v>
      </c>
      <c r="I4" t="str">
        <f t="shared" ref="I4:J4" si="1">IF(IFERROR(LEFT(I3,FIND(",",I3)-1),I3)=H4,"",IFERROR(LEFT(I3,FIND(",",I3)-1),I3))</f>
        <v xml:space="preserve"> Tuberculosis</v>
      </c>
      <c r="J4" t="str">
        <f t="shared" si="1"/>
        <v/>
      </c>
      <c r="K4" t="str">
        <f t="shared" ref="K4" si="2">IF(IFERROR(LEFT(K3,FIND(",",K3)-1),K3)=J4,"",IFERROR(LEFT(K3,FIND(",",K3)-1),K3))</f>
        <v/>
      </c>
      <c r="L4" t="str">
        <f t="shared" ref="L4" si="3">IF(IFERROR(LEFT(L3,FIND(",",L3)-1),L3)=K4,"",IFERROR(LEFT(L3,FIND(",",L3)-1),L3))</f>
        <v/>
      </c>
      <c r="M4" t="str">
        <f t="shared" ref="M4" si="4">IF(IFERROR(LEFT(M3,FIND(",",M3)-1),M3)=L4,"",IFERROR(LEFT(M3,FIND(",",M3)-1),M3))</f>
        <v/>
      </c>
      <c r="N4" t="str">
        <f t="shared" ref="N4" si="5">IF(IFERROR(LEFT(N3,FIND(",",N3)-1),N3)=M4,"",IFERROR(LEFT(N3,FIND(",",N3)-1),N3))</f>
        <v/>
      </c>
      <c r="O4" t="str">
        <f t="shared" ref="O4" si="6">IF(IFERROR(LEFT(O3,FIND(",",O3)-1),O3)=N4,"",IFERROR(LEFT(O3,FIND(",",O3)-1),O3))</f>
        <v/>
      </c>
      <c r="P4" t="str">
        <f t="shared" ref="P4" si="7">IF(IFERROR(LEFT(P3,FIND(",",P3)-1),P3)=O4,"",IFERROR(LEFT(P3,FIND(",",P3)-1),P3))</f>
        <v/>
      </c>
    </row>
    <row r="5" spans="1:16" x14ac:dyDescent="0.2">
      <c r="A5" s="25" t="s">
        <v>64</v>
      </c>
      <c r="B5" s="26">
        <f ca="1">INDIRECT("Setup!A14")</f>
        <v>0.99354200000000004</v>
      </c>
      <c r="C5" t="s">
        <v>65</v>
      </c>
      <c r="D5" t="s">
        <v>66</v>
      </c>
      <c r="F5" t="s">
        <v>67</v>
      </c>
    </row>
    <row r="6" spans="1:16" x14ac:dyDescent="0.2">
      <c r="A6" s="25" t="s">
        <v>68</v>
      </c>
      <c r="B6" t="s">
        <v>69</v>
      </c>
      <c r="C6" t="s">
        <v>70</v>
      </c>
    </row>
    <row r="7" spans="1:16" x14ac:dyDescent="0.2">
      <c r="A7" s="25" t="s">
        <v>71</v>
      </c>
      <c r="B7" s="61"/>
      <c r="C7" s="25" t="s">
        <v>34</v>
      </c>
      <c r="D7" s="61" t="s">
        <v>72</v>
      </c>
      <c r="E7" t="s">
        <v>73</v>
      </c>
      <c r="G7" t="s">
        <v>43</v>
      </c>
      <c r="H7" t="b">
        <f>IF(AND(F8="Grant Making",H8="Country Team"),TRUE,FALSE)</f>
        <v>0</v>
      </c>
    </row>
    <row r="8" spans="1:16" x14ac:dyDescent="0.2">
      <c r="A8" s="25" t="s">
        <v>74</v>
      </c>
      <c r="B8" t="str">
        <f xml:space="preserve"> CONCATENATE($D$7,"/",$B$7)</f>
        <v>Geography_131/FundingOpportunity_16/</v>
      </c>
      <c r="C8" s="25" t="s">
        <v>75</v>
      </c>
      <c r="D8" t="s">
        <v>76</v>
      </c>
      <c r="E8" t="s">
        <v>77</v>
      </c>
      <c r="F8" s="61"/>
      <c r="G8" t="s">
        <v>78</v>
      </c>
      <c r="H8" s="61" t="s">
        <v>79</v>
      </c>
    </row>
    <row r="9" spans="1:16" x14ac:dyDescent="0.2">
      <c r="A9" s="24"/>
      <c r="B9" s="22"/>
      <c r="C9" s="22"/>
      <c r="E9" s="24"/>
    </row>
    <row r="10" spans="1:16" x14ac:dyDescent="0.2">
      <c r="A10" s="31" t="s">
        <v>80</v>
      </c>
      <c r="B10" s="31"/>
      <c r="C10" s="31" t="s">
        <v>81</v>
      </c>
      <c r="D10" s="116" t="s">
        <v>82</v>
      </c>
      <c r="E10" s="31" t="s">
        <v>83</v>
      </c>
      <c r="F10" s="31" t="s">
        <v>84</v>
      </c>
      <c r="G10" s="31" t="s">
        <v>85</v>
      </c>
      <c r="H10" s="37" t="s">
        <v>35</v>
      </c>
      <c r="I10" s="117">
        <f>IFERROR(LOOKUP(2,1/(COUNTIF($I$9:I9,$C$11:$C$52)=0),$C$11:$C$52),IF($I$11=I9,"",IF(I9&lt;&gt;"",$I$11,"")))</f>
        <v>0</v>
      </c>
      <c r="J10" s="37" t="s">
        <v>86</v>
      </c>
      <c r="K10" s="37"/>
      <c r="L10" s="37" t="s">
        <v>87</v>
      </c>
      <c r="M10" s="37"/>
      <c r="N10" s="37" t="s">
        <v>88</v>
      </c>
    </row>
    <row r="11" spans="1:16" hidden="1" x14ac:dyDescent="0.2">
      <c r="A11" s="32" t="s">
        <v>89</v>
      </c>
      <c r="B11" s="33"/>
      <c r="C11" s="33" t="str">
        <f>IF(OR(TranslatemoduleName="[Name]",TranslatemoduleName="[Name - FR]",TranslatemoduleName="[Name - ES]" ),"",TranslatemoduleName)</f>
        <v/>
      </c>
      <c r="D11" s="33" t="s">
        <v>90</v>
      </c>
      <c r="E11" s="33" t="str">
        <f>A11</f>
        <v>[Name]</v>
      </c>
      <c r="F11" s="32" t="s">
        <v>91</v>
      </c>
      <c r="G11" s="32" t="s">
        <v>92</v>
      </c>
      <c r="H11" s="37" t="s">
        <v>93</v>
      </c>
      <c r="I11" s="117" t="str">
        <f>IFERROR(LOOKUP(2,1/(COUNTIF($I$9:I10,$C$11:$C$52)=0),$C$11:$C$52),IF($I$11=I10,"",IF(I10&lt;&gt;"",$I$11,"")))</f>
        <v>Payment for results</v>
      </c>
      <c r="J11" s="37" t="s">
        <v>94</v>
      </c>
      <c r="K11" s="37" t="str">
        <f>D11</f>
        <v>[Module-Coverage-Intervention Reference (Name)]</v>
      </c>
      <c r="L11" s="37" t="s">
        <v>95</v>
      </c>
      <c r="M11" s="37"/>
      <c r="N11" s="118" t="s">
        <v>96</v>
      </c>
    </row>
    <row r="12" spans="1:16" x14ac:dyDescent="0.2">
      <c r="A12" s="32" t="s">
        <v>97</v>
      </c>
      <c r="B12" s="33"/>
      <c r="C12" s="33" t="str">
        <f>IF(OR(TranslatemoduleName="[Name]",TranslatemoduleName="[Name - FR]",TranslatemoduleName="[Name - ES]" ),"",TranslatemoduleName)</f>
        <v>Prevention package for men who have sex with men (MSM) and their sexual partners</v>
      </c>
      <c r="D12" s="33" t="s">
        <v>98</v>
      </c>
      <c r="E12" s="33" t="str">
        <f t="shared" ref="E12:E51" si="8">A12</f>
        <v>Prevention package for men who have sex with men (MSM) and their sexual partners</v>
      </c>
      <c r="F12" s="32" t="s">
        <v>99</v>
      </c>
      <c r="G12" s="32" t="s">
        <v>100</v>
      </c>
      <c r="H12" s="37" t="s">
        <v>101</v>
      </c>
      <c r="I12" s="117" t="str">
        <f>IFERROR(LOOKUP(2,1/(COUNTIF($I$9:I11,$C$11:$C$52)=0),$C$11:$C$52),IF($I$11=I11,"",IF(I11&lt;&gt;"",$I$11,"")))</f>
        <v>Program management</v>
      </c>
      <c r="J12" s="37" t="s">
        <v>102</v>
      </c>
      <c r="K12" s="37" t="str">
        <f t="shared" ref="K12:K51" si="9">D12</f>
        <v>MCI-01296</v>
      </c>
      <c r="L12" s="37" t="s">
        <v>22</v>
      </c>
      <c r="M12" s="37"/>
      <c r="N12" s="118">
        <v>1010</v>
      </c>
    </row>
    <row r="13" spans="1:16" x14ac:dyDescent="0.2">
      <c r="A13" s="32" t="s">
        <v>103</v>
      </c>
      <c r="B13" s="33"/>
      <c r="C13" s="33" t="str">
        <f>IF(OR(TranslatemoduleName="[Name]",TranslatemoduleName="[Name - FR]",TranslatemoduleName="[Name - ES]" ),"",TranslatemoduleName)</f>
        <v>Prevention package for sex workers, their clients and other sexual partners</v>
      </c>
      <c r="D13" s="33" t="s">
        <v>104</v>
      </c>
      <c r="E13" s="33" t="str">
        <f t="shared" si="8"/>
        <v>Prevention package for sex workers, their clients and other sexual partners</v>
      </c>
      <c r="F13" s="32" t="s">
        <v>105</v>
      </c>
      <c r="G13" s="32" t="s">
        <v>106</v>
      </c>
      <c r="H13" s="37" t="s">
        <v>101</v>
      </c>
      <c r="I13" s="117" t="str">
        <f>IFERROR(LOOKUP(2,1/(COUNTIF($I$9:I12,$C$11:$C$52)=0),$C$11:$C$52),IF($I$11=I12,"",IF(I12&lt;&gt;"",$I$11,"")))</f>
        <v>RSSH: Monitoring and evaluation systems</v>
      </c>
      <c r="J13" s="37" t="s">
        <v>102</v>
      </c>
      <c r="K13" s="37" t="str">
        <f t="shared" si="9"/>
        <v>MCI-01297</v>
      </c>
      <c r="L13" s="37" t="s">
        <v>22</v>
      </c>
      <c r="M13" s="37"/>
      <c r="N13" s="118">
        <v>1020</v>
      </c>
    </row>
    <row r="14" spans="1:16" x14ac:dyDescent="0.2">
      <c r="A14" s="32" t="s">
        <v>107</v>
      </c>
      <c r="B14" s="33"/>
      <c r="C14" s="33" t="str">
        <f>IF(OR(TranslatemoduleName="[Name]",TranslatemoduleName="[Name - FR]",TranslatemoduleName="[Name - ES]" ),"",TranslatemoduleName)</f>
        <v>Prevention package for transgender people and their sexual partners</v>
      </c>
      <c r="D14" s="33" t="s">
        <v>108</v>
      </c>
      <c r="E14" s="33" t="str">
        <f t="shared" si="8"/>
        <v>Prevention package for transgender people and their sexual partners</v>
      </c>
      <c r="F14" s="32" t="s">
        <v>109</v>
      </c>
      <c r="G14" s="32" t="s">
        <v>110</v>
      </c>
      <c r="H14" s="37" t="s">
        <v>101</v>
      </c>
      <c r="I14" s="117" t="str">
        <f>IFERROR(LOOKUP(2,1/(COUNTIF($I$9:I13,$C$11:$C$52)=0),$C$11:$C$52),IF($I$11=I13,"",IF(I13&lt;&gt;"",$I$11,"")))</f>
        <v>RSSH/PP: Medical oxygen and respiratory care system</v>
      </c>
      <c r="J14" s="37" t="s">
        <v>102</v>
      </c>
      <c r="K14" s="37" t="str">
        <f t="shared" si="9"/>
        <v>MCI-01298</v>
      </c>
      <c r="L14" s="37" t="s">
        <v>22</v>
      </c>
      <c r="M14" s="37"/>
      <c r="N14" s="118">
        <v>1030</v>
      </c>
    </row>
    <row r="15" spans="1:16" x14ac:dyDescent="0.2">
      <c r="A15" s="32" t="s">
        <v>111</v>
      </c>
      <c r="B15" s="33"/>
      <c r="C15" s="33" t="str">
        <f>IF(OR(TranslatemoduleName="[Name]",TranslatemoduleName="[Name - FR]",TranslatemoduleName="[Name - ES]" ),"",TranslatemoduleName)</f>
        <v>Prevention package for people who use drugs (PUD) and their sexual partners</v>
      </c>
      <c r="D15" s="33" t="s">
        <v>112</v>
      </c>
      <c r="E15" s="33" t="str">
        <f t="shared" si="8"/>
        <v>Prevention package for people who use drugs (PUD) and their sexual partners</v>
      </c>
      <c r="F15" s="32" t="s">
        <v>113</v>
      </c>
      <c r="G15" s="32" t="s">
        <v>114</v>
      </c>
      <c r="H15" s="37" t="s">
        <v>101</v>
      </c>
      <c r="I15" s="117" t="str">
        <f>IFERROR(LOOKUP(2,1/(COUNTIF($I$9:I14,$C$11:$C$52)=0),$C$11:$C$52),IF($I$11=I14,"",IF(I14&lt;&gt;"",$I$11,"")))</f>
        <v>RSSH/PP: Laboratory systems (including national and peripheral)</v>
      </c>
      <c r="J15" s="37" t="s">
        <v>102</v>
      </c>
      <c r="K15" s="37" t="str">
        <f t="shared" si="9"/>
        <v>MCI-01299</v>
      </c>
      <c r="L15" s="37" t="s">
        <v>22</v>
      </c>
      <c r="M15" s="37"/>
      <c r="N15" s="118">
        <v>1040</v>
      </c>
    </row>
    <row r="16" spans="1:16" x14ac:dyDescent="0.2">
      <c r="A16" s="32" t="s">
        <v>115</v>
      </c>
      <c r="B16" s="33"/>
      <c r="C16" s="33" t="str">
        <f>IF(OR(TranslatemoduleName="[Name]",TranslatemoduleName="[Name - FR]",TranslatemoduleName="[Name - ES]" ),"",TranslatemoduleName)</f>
        <v>Prevention package for people in prisons and other closed settings</v>
      </c>
      <c r="D16" s="33" t="s">
        <v>116</v>
      </c>
      <c r="E16" s="33" t="str">
        <f t="shared" si="8"/>
        <v>Prevention package for people in prisons and other closed settings</v>
      </c>
      <c r="F16" s="32" t="s">
        <v>117</v>
      </c>
      <c r="G16" s="32" t="s">
        <v>118</v>
      </c>
      <c r="H16" s="37" t="s">
        <v>101</v>
      </c>
      <c r="I16" s="117" t="str">
        <f>IFERROR(LOOKUP(2,1/(COUNTIF($I$9:I15,$C$11:$C$52)=0),$C$11:$C$52),IF($I$11=I15,"",IF(I15&lt;&gt;"",$I$11,"")))</f>
        <v>RSSH/PP: Human resources for health (HRH) and quality of care</v>
      </c>
      <c r="J16" s="37" t="s">
        <v>102</v>
      </c>
      <c r="K16" s="37" t="str">
        <f t="shared" si="9"/>
        <v>MCI-01300</v>
      </c>
      <c r="L16" s="37" t="s">
        <v>22</v>
      </c>
      <c r="M16" s="37"/>
      <c r="N16" s="118">
        <v>1050</v>
      </c>
    </row>
    <row r="17" spans="1:14" x14ac:dyDescent="0.2">
      <c r="A17" s="32" t="s">
        <v>119</v>
      </c>
      <c r="B17" s="33"/>
      <c r="C17" s="33" t="str">
        <f>IF(OR(TranslatemoduleName="[Name]",TranslatemoduleName="[Name - FR]",TranslatemoduleName="[Name - ES]" ),"",TranslatemoduleName)</f>
        <v>Prevention package for other vulnerable populations (OVP)</v>
      </c>
      <c r="D17" s="33" t="s">
        <v>120</v>
      </c>
      <c r="E17" s="33" t="str">
        <f t="shared" si="8"/>
        <v>Prevention package for other vulnerable populations (OVP)</v>
      </c>
      <c r="F17" s="32" t="s">
        <v>121</v>
      </c>
      <c r="G17" s="32" t="s">
        <v>122</v>
      </c>
      <c r="H17" s="37" t="s">
        <v>101</v>
      </c>
      <c r="I17" s="117" t="str">
        <f>IFERROR(LOOKUP(2,1/(COUNTIF($I$9:I16,$C$11:$C$52)=0),$C$11:$C$52),IF($I$11=I16,"",IF(I16&lt;&gt;"",$I$11,"")))</f>
        <v>RSSH: Health products management systems</v>
      </c>
      <c r="J17" s="37" t="s">
        <v>102</v>
      </c>
      <c r="K17" s="37" t="str">
        <f t="shared" si="9"/>
        <v>MCI-01301</v>
      </c>
      <c r="L17" s="37" t="s">
        <v>22</v>
      </c>
      <c r="M17" s="37"/>
      <c r="N17" s="118">
        <v>1060</v>
      </c>
    </row>
    <row r="18" spans="1:14" x14ac:dyDescent="0.2">
      <c r="A18" s="32" t="s">
        <v>123</v>
      </c>
      <c r="B18" s="33"/>
      <c r="C18" s="33" t="str">
        <f>IF(OR(TranslatemoduleName="[Name]",TranslatemoduleName="[Name - FR]",TranslatemoduleName="[Name - ES]" ),"",TranslatemoduleName)</f>
        <v>Prevention package for adolescent girls and young women (AGYW) and male sexual partners in high HIV incidence settings</v>
      </c>
      <c r="D18" s="33" t="s">
        <v>124</v>
      </c>
      <c r="E18" s="33" t="str">
        <f t="shared" si="8"/>
        <v>Prevention package for adolescent girls and young women (AGYW) and male sexual partners in high HIV incidence settings</v>
      </c>
      <c r="F18" s="32" t="s">
        <v>125</v>
      </c>
      <c r="G18" s="32" t="s">
        <v>126</v>
      </c>
      <c r="H18" s="37" t="s">
        <v>101</v>
      </c>
      <c r="I18" s="117" t="str">
        <f>IFERROR(LOOKUP(2,1/(COUNTIF($I$9:I17,$C$11:$C$52)=0),$C$11:$C$52),IF($I$11=I17,"",IF(I17&lt;&gt;"",$I$11,"")))</f>
        <v>RSSH: Health financing systems</v>
      </c>
      <c r="J18" s="37" t="s">
        <v>102</v>
      </c>
      <c r="K18" s="37" t="str">
        <f t="shared" si="9"/>
        <v>MCI-01302</v>
      </c>
      <c r="L18" s="37" t="s">
        <v>22</v>
      </c>
      <c r="M18" s="37"/>
      <c r="N18" s="118">
        <v>1070</v>
      </c>
    </row>
    <row r="19" spans="1:14" x14ac:dyDescent="0.2">
      <c r="A19" s="32" t="s">
        <v>127</v>
      </c>
      <c r="B19" s="33"/>
      <c r="C19" s="33" t="str">
        <f>IF(OR(TranslatemoduleName="[Name]",TranslatemoduleName="[Name - FR]",TranslatemoduleName="[Name - ES]" ),"",TranslatemoduleName)</f>
        <v>Prevention program stewardship</v>
      </c>
      <c r="D19" s="33" t="s">
        <v>128</v>
      </c>
      <c r="E19" s="33" t="str">
        <f t="shared" si="8"/>
        <v>Prevention program stewardship</v>
      </c>
      <c r="F19" s="32" t="s">
        <v>129</v>
      </c>
      <c r="G19" s="32" t="s">
        <v>130</v>
      </c>
      <c r="H19" s="37" t="s">
        <v>101</v>
      </c>
      <c r="I19" s="117" t="str">
        <f>IFERROR(LOOKUP(2,1/(COUNTIF($I$9:I18,$C$11:$C$52)=0),$C$11:$C$52),IF($I$11=I18,"",IF(I18&lt;&gt;"",$I$11,"")))</f>
        <v>RSSH: Community systems strengthening</v>
      </c>
      <c r="J19" s="37" t="s">
        <v>102</v>
      </c>
      <c r="K19" s="37" t="str">
        <f t="shared" si="9"/>
        <v>MCI-01303</v>
      </c>
      <c r="L19" s="37" t="s">
        <v>22</v>
      </c>
      <c r="M19" s="37"/>
      <c r="N19" s="118">
        <v>1080</v>
      </c>
    </row>
    <row r="20" spans="1:14" x14ac:dyDescent="0.2">
      <c r="A20" s="32" t="s">
        <v>131</v>
      </c>
      <c r="B20" s="33"/>
      <c r="C20" s="33" t="str">
        <f>IF(OR(TranslatemoduleName="[Name]",TranslatemoduleName="[Name - FR]",TranslatemoduleName="[Name - ES]" ),"",TranslatemoduleName)</f>
        <v>Elimination of vertical transmission of HIV, syphilis and hepatitis B</v>
      </c>
      <c r="D20" s="33" t="s">
        <v>132</v>
      </c>
      <c r="E20" s="33" t="str">
        <f t="shared" si="8"/>
        <v>Elimination of vertical transmission of HIV, syphilis and hepatitis B</v>
      </c>
      <c r="F20" s="32" t="s">
        <v>133</v>
      </c>
      <c r="G20" s="32" t="s">
        <v>134</v>
      </c>
      <c r="H20" s="37" t="s">
        <v>101</v>
      </c>
      <c r="I20" s="117" t="str">
        <f>IFERROR(LOOKUP(2,1/(COUNTIF($I$9:I19,$C$11:$C$52)=0),$C$11:$C$52),IF($I$11=I19,"",IF(I19&lt;&gt;"",$I$11,"")))</f>
        <v>RSSH: Health sector planning and governance for integrated people-centered services</v>
      </c>
      <c r="J20" s="37" t="s">
        <v>102</v>
      </c>
      <c r="K20" s="37" t="str">
        <f t="shared" si="9"/>
        <v>MCI-01304</v>
      </c>
      <c r="L20" s="37" t="s">
        <v>22</v>
      </c>
      <c r="M20" s="37"/>
      <c r="N20" s="118">
        <v>1090</v>
      </c>
    </row>
    <row r="21" spans="1:14" x14ac:dyDescent="0.2">
      <c r="A21" s="32" t="s">
        <v>135</v>
      </c>
      <c r="B21" s="33"/>
      <c r="C21" s="33" t="str">
        <f>IF(OR(TranslatemoduleName="[Name]",TranslatemoduleName="[Name - FR]",TranslatemoduleName="[Name - ES]" ),"",TranslatemoduleName)</f>
        <v>Differentiated HIV Testing Services</v>
      </c>
      <c r="D21" s="33" t="s">
        <v>136</v>
      </c>
      <c r="E21" s="33" t="str">
        <f t="shared" si="8"/>
        <v>Differentiated HIV Testing Services</v>
      </c>
      <c r="F21" s="32" t="s">
        <v>137</v>
      </c>
      <c r="G21" s="32" t="s">
        <v>138</v>
      </c>
      <c r="H21" s="37" t="s">
        <v>101</v>
      </c>
      <c r="I21" s="117" t="str">
        <f>IFERROR(LOOKUP(2,1/(COUNTIF($I$9:I20,$C$11:$C$52)=0),$C$11:$C$52),IF($I$11=I20,"",IF(I20&lt;&gt;"",$I$11,"")))</f>
        <v>Removing human rights and gender related barriers to TB services</v>
      </c>
      <c r="J21" s="37" t="s">
        <v>102</v>
      </c>
      <c r="K21" s="37" t="str">
        <f t="shared" si="9"/>
        <v>MCI-01305</v>
      </c>
      <c r="L21" s="37" t="s">
        <v>22</v>
      </c>
      <c r="M21" s="37"/>
      <c r="N21" s="118">
        <v>1100</v>
      </c>
    </row>
    <row r="22" spans="1:14" x14ac:dyDescent="0.2">
      <c r="A22" s="32" t="s">
        <v>139</v>
      </c>
      <c r="B22" s="33"/>
      <c r="C22" s="33" t="str">
        <f>IF(OR(TranslatemoduleName="[Name]",TranslatemoduleName="[Name - FR]",TranslatemoduleName="[Name - ES]" ),"",TranslatemoduleName)</f>
        <v>Treatment, care and support</v>
      </c>
      <c r="D22" s="33" t="s">
        <v>140</v>
      </c>
      <c r="E22" s="33" t="str">
        <f t="shared" si="8"/>
        <v>Treatment, care and support</v>
      </c>
      <c r="F22" s="32" t="s">
        <v>141</v>
      </c>
      <c r="G22" s="32" t="s">
        <v>142</v>
      </c>
      <c r="H22" s="37" t="s">
        <v>101</v>
      </c>
      <c r="I22" s="117" t="str">
        <f>IFERROR(LOOKUP(2,1/(COUNTIF($I$9:I21,$C$11:$C$52)=0),$C$11:$C$52),IF($I$11=I21,"",IF(I21&lt;&gt;"",$I$11,"")))</f>
        <v>TB/HIV</v>
      </c>
      <c r="J22" s="37" t="s">
        <v>102</v>
      </c>
      <c r="K22" s="37" t="str">
        <f t="shared" si="9"/>
        <v>MCI-01306</v>
      </c>
      <c r="L22" s="37" t="s">
        <v>22</v>
      </c>
      <c r="M22" s="37"/>
      <c r="N22" s="118">
        <v>1110</v>
      </c>
    </row>
    <row r="23" spans="1:14" x14ac:dyDescent="0.2">
      <c r="A23" s="32" t="s">
        <v>143</v>
      </c>
      <c r="B23" s="33"/>
      <c r="C23" s="33" t="str">
        <f>IF(OR(TranslatemoduleName="[Name]",TranslatemoduleName="[Name - FR]",TranslatemoduleName="[Name - ES]" ),"",TranslatemoduleName)</f>
        <v>Reducing human rights-related barriers to HIV/TB services</v>
      </c>
      <c r="D23" s="33" t="s">
        <v>144</v>
      </c>
      <c r="E23" s="33" t="str">
        <f t="shared" si="8"/>
        <v>Reducing human rights-related barriers to HIV/TB services</v>
      </c>
      <c r="F23" s="32" t="s">
        <v>145</v>
      </c>
      <c r="G23" s="32" t="s">
        <v>146</v>
      </c>
      <c r="H23" s="37" t="s">
        <v>101</v>
      </c>
      <c r="I23" s="117" t="str">
        <f>IFERROR(LOOKUP(2,1/(COUNTIF($I$9:I22,$C$11:$C$52)=0),$C$11:$C$52),IF($I$11=I22,"",IF(I22&lt;&gt;"",$I$11,"")))</f>
        <v>Key and vulnerable populations (KVP) – TB/DR-TB</v>
      </c>
      <c r="J23" s="37" t="s">
        <v>102</v>
      </c>
      <c r="K23" s="37" t="str">
        <f t="shared" si="9"/>
        <v>MCI-01307</v>
      </c>
      <c r="L23" s="37" t="s">
        <v>22</v>
      </c>
      <c r="M23" s="37"/>
      <c r="N23" s="118">
        <v>1130</v>
      </c>
    </row>
    <row r="24" spans="1:14" x14ac:dyDescent="0.2">
      <c r="A24" s="32" t="s">
        <v>147</v>
      </c>
      <c r="B24" s="33"/>
      <c r="C24" s="33" t="str">
        <f>IF(OR(TranslatemoduleName="[Name]",TranslatemoduleName="[Name - FR]",TranslatemoduleName="[Name - ES]" ),"",TranslatemoduleName)</f>
        <v>TB diagnosis, treatment and care</v>
      </c>
      <c r="D24" s="33" t="s">
        <v>148</v>
      </c>
      <c r="E24" s="33" t="str">
        <f t="shared" si="8"/>
        <v>TB diagnosis, treatment and care</v>
      </c>
      <c r="F24" s="32" t="s">
        <v>149</v>
      </c>
      <c r="G24" s="32" t="s">
        <v>150</v>
      </c>
      <c r="H24" s="37" t="s">
        <v>151</v>
      </c>
      <c r="I24" s="117" t="str">
        <f>IFERROR(LOOKUP(2,1/(COUNTIF($I$9:I23,$C$11:$C$52)=0),$C$11:$C$52),IF($I$11=I23,"",IF(I23&lt;&gt;"",$I$11,"")))</f>
        <v>Collaboration with other providers and sectors</v>
      </c>
      <c r="J24" s="37" t="s">
        <v>48</v>
      </c>
      <c r="K24" s="37" t="str">
        <f t="shared" si="9"/>
        <v>MCI-01308</v>
      </c>
      <c r="L24" s="37" t="s">
        <v>22</v>
      </c>
      <c r="M24" s="37"/>
      <c r="N24" s="118">
        <v>2010</v>
      </c>
    </row>
    <row r="25" spans="1:14" x14ac:dyDescent="0.2">
      <c r="A25" s="32" t="s">
        <v>152</v>
      </c>
      <c r="B25" s="33"/>
      <c r="C25" s="33" t="str">
        <f>IF(OR(TranslatemoduleName="[Name]",TranslatemoduleName="[Name - FR]",TranslatemoduleName="[Name - ES]" ),"",TranslatemoduleName)</f>
        <v>Drug-resistant (DR)-TB diagnosis, treatment and care</v>
      </c>
      <c r="D25" s="33" t="s">
        <v>153</v>
      </c>
      <c r="E25" s="33" t="str">
        <f t="shared" si="8"/>
        <v>Drug-resistant (DR)-TB diagnosis, treatment and care</v>
      </c>
      <c r="F25" s="32" t="s">
        <v>154</v>
      </c>
      <c r="G25" s="32" t="s">
        <v>155</v>
      </c>
      <c r="H25" s="37" t="s">
        <v>151</v>
      </c>
      <c r="I25" s="117" t="str">
        <f>IFERROR(LOOKUP(2,1/(COUNTIF($I$9:I24,$C$11:$C$52)=0),$C$11:$C$52),IF($I$11=I24,"",IF(I24&lt;&gt;"",$I$11,"")))</f>
        <v>TB/DR-TB Prevention</v>
      </c>
      <c r="J25" s="37" t="s">
        <v>48</v>
      </c>
      <c r="K25" s="37" t="str">
        <f t="shared" si="9"/>
        <v>MCI-01309</v>
      </c>
      <c r="L25" s="37" t="s">
        <v>22</v>
      </c>
      <c r="M25" s="37"/>
      <c r="N25" s="118">
        <v>2020</v>
      </c>
    </row>
    <row r="26" spans="1:14" x14ac:dyDescent="0.2">
      <c r="A26" s="32" t="s">
        <v>156</v>
      </c>
      <c r="B26" s="33"/>
      <c r="C26" s="33" t="str">
        <f>IF(OR(TranslatemoduleName="[Name]",TranslatemoduleName="[Name - FR]",TranslatemoduleName="[Name - ES]" ),"",TranslatemoduleName)</f>
        <v>TB/DR-TB Prevention</v>
      </c>
      <c r="D26" s="33" t="s">
        <v>157</v>
      </c>
      <c r="E26" s="33" t="str">
        <f t="shared" si="8"/>
        <v>TB/DR-TB Prevention</v>
      </c>
      <c r="F26" s="32" t="s">
        <v>158</v>
      </c>
      <c r="G26" s="32" t="s">
        <v>159</v>
      </c>
      <c r="H26" s="37" t="s">
        <v>151</v>
      </c>
      <c r="I26" s="117" t="str">
        <f>IFERROR(LOOKUP(2,1/(COUNTIF($I$9:I25,$C$11:$C$52)=0),$C$11:$C$52),IF($I$11=I25,"",IF(I25&lt;&gt;"",$I$11,"")))</f>
        <v>Drug-resistant (DR)-TB diagnosis, treatment and care</v>
      </c>
      <c r="J26" s="37" t="s">
        <v>48</v>
      </c>
      <c r="K26" s="37" t="str">
        <f t="shared" si="9"/>
        <v>MCI-01310</v>
      </c>
      <c r="L26" s="37" t="s">
        <v>22</v>
      </c>
      <c r="M26" s="37"/>
      <c r="N26" s="118">
        <v>2030</v>
      </c>
    </row>
    <row r="27" spans="1:14" x14ac:dyDescent="0.2">
      <c r="A27" s="32" t="s">
        <v>160</v>
      </c>
      <c r="B27" s="33"/>
      <c r="C27" s="33" t="str">
        <f>IF(OR(TranslatemoduleName="[Name]",TranslatemoduleName="[Name - FR]",TranslatemoduleName="[Name - ES]" ),"",TranslatemoduleName)</f>
        <v>Collaboration with other providers and sectors</v>
      </c>
      <c r="D27" s="33" t="s">
        <v>161</v>
      </c>
      <c r="E27" s="33" t="str">
        <f t="shared" si="8"/>
        <v>Collaboration with other providers and sectors</v>
      </c>
      <c r="F27" s="32" t="s">
        <v>162</v>
      </c>
      <c r="G27" s="32" t="s">
        <v>163</v>
      </c>
      <c r="H27" s="37" t="s">
        <v>151</v>
      </c>
      <c r="I27" s="117" t="str">
        <f>IFERROR(LOOKUP(2,1/(COUNTIF($I$9:I26,$C$11:$C$52)=0),$C$11:$C$52),IF($I$11=I26,"",IF(I26&lt;&gt;"",$I$11,"")))</f>
        <v>TB diagnosis, treatment and care</v>
      </c>
      <c r="J27" s="37" t="s">
        <v>48</v>
      </c>
      <c r="K27" s="37" t="str">
        <f t="shared" si="9"/>
        <v>MCI-01311</v>
      </c>
      <c r="L27" s="37" t="s">
        <v>22</v>
      </c>
      <c r="M27" s="37"/>
      <c r="N27" s="118">
        <v>2040</v>
      </c>
    </row>
    <row r="28" spans="1:14" x14ac:dyDescent="0.2">
      <c r="A28" s="32" t="s">
        <v>164</v>
      </c>
      <c r="B28" s="33"/>
      <c r="C28" s="33" t="str">
        <f>IF(OR(TranslatemoduleName="[Name]",TranslatemoduleName="[Name - FR]",TranslatemoduleName="[Name - ES]" ),"",TranslatemoduleName)</f>
        <v>Key and vulnerable populations (KVP) – TB/DR-TB</v>
      </c>
      <c r="D28" s="33" t="s">
        <v>165</v>
      </c>
      <c r="E28" s="33" t="str">
        <f t="shared" si="8"/>
        <v>Key and vulnerable populations (KVP) – TB/DR-TB</v>
      </c>
      <c r="F28" s="32" t="s">
        <v>166</v>
      </c>
      <c r="G28" s="32" t="s">
        <v>167</v>
      </c>
      <c r="H28" s="37" t="s">
        <v>151</v>
      </c>
      <c r="I28" s="117" t="str">
        <f>IFERROR(LOOKUP(2,1/(COUNTIF($I$9:I27,$C$11:$C$52)=0),$C$11:$C$52),IF($I$11=I27,"",IF(I27&lt;&gt;"",$I$11,"")))</f>
        <v>Reducing human rights-related barriers to HIV/TB services</v>
      </c>
      <c r="J28" s="37" t="s">
        <v>48</v>
      </c>
      <c r="K28" s="37" t="str">
        <f t="shared" si="9"/>
        <v>MCI-01312</v>
      </c>
      <c r="L28" s="37" t="s">
        <v>22</v>
      </c>
      <c r="M28" s="37"/>
      <c r="N28" s="118">
        <v>2050</v>
      </c>
    </row>
    <row r="29" spans="1:14" x14ac:dyDescent="0.2">
      <c r="A29" s="32" t="s">
        <v>168</v>
      </c>
      <c r="B29" s="33"/>
      <c r="C29" s="33" t="str">
        <f>IF(OR(TranslatemoduleName="[Name]",TranslatemoduleName="[Name - FR]",TranslatemoduleName="[Name - ES]" ),"",TranslatemoduleName)</f>
        <v>TB/HIV</v>
      </c>
      <c r="D29" s="33" t="s">
        <v>169</v>
      </c>
      <c r="E29" s="33" t="str">
        <f t="shared" si="8"/>
        <v>TB/HIV</v>
      </c>
      <c r="F29" s="32" t="s">
        <v>170</v>
      </c>
      <c r="G29" s="32" t="s">
        <v>170</v>
      </c>
      <c r="H29" s="37" t="s">
        <v>101</v>
      </c>
      <c r="I29" s="117" t="str">
        <f>IFERROR(LOOKUP(2,1/(COUNTIF($I$9:I28,$C$11:$C$52)=0),$C$11:$C$52),IF($I$11=I28,"",IF(I28&lt;&gt;"",$I$11,"")))</f>
        <v>Treatment, care and support</v>
      </c>
      <c r="J29" s="37" t="s">
        <v>102</v>
      </c>
      <c r="K29" s="37" t="str">
        <f t="shared" si="9"/>
        <v>MCI-01313</v>
      </c>
      <c r="L29" s="37" t="s">
        <v>22</v>
      </c>
      <c r="M29" s="37"/>
      <c r="N29" s="118">
        <v>2510</v>
      </c>
    </row>
    <row r="30" spans="1:14" x14ac:dyDescent="0.2">
      <c r="A30" s="32" t="s">
        <v>168</v>
      </c>
      <c r="B30" s="33"/>
      <c r="C30" s="33" t="str">
        <f>IF(OR(TranslatemoduleName="[Name]",TranslatemoduleName="[Name - FR]",TranslatemoduleName="[Name - ES]" ),"",TranslatemoduleName)</f>
        <v>TB/HIV</v>
      </c>
      <c r="D30" s="33" t="s">
        <v>169</v>
      </c>
      <c r="E30" s="33" t="str">
        <f t="shared" si="8"/>
        <v>TB/HIV</v>
      </c>
      <c r="F30" s="32" t="s">
        <v>170</v>
      </c>
      <c r="G30" s="32" t="s">
        <v>170</v>
      </c>
      <c r="H30" s="37" t="s">
        <v>151</v>
      </c>
      <c r="I30" s="117" t="str">
        <f>IFERROR(LOOKUP(2,1/(COUNTIF($I$9:I29,$C$11:$C$52)=0),$C$11:$C$52),IF($I$11=I29,"",IF(I29&lt;&gt;"",$I$11,"")))</f>
        <v>Differentiated HIV Testing Services</v>
      </c>
      <c r="J30" s="37" t="s">
        <v>48</v>
      </c>
      <c r="K30" s="37" t="str">
        <f t="shared" si="9"/>
        <v>MCI-01313</v>
      </c>
      <c r="L30" s="37" t="s">
        <v>22</v>
      </c>
      <c r="M30" s="37"/>
      <c r="N30" s="118">
        <v>2510</v>
      </c>
    </row>
    <row r="31" spans="1:14" x14ac:dyDescent="0.2">
      <c r="A31" s="32" t="s">
        <v>171</v>
      </c>
      <c r="B31" s="33"/>
      <c r="C31" s="33" t="str">
        <f>IF(OR(TranslatemoduleName="[Name]",TranslatemoduleName="[Name - FR]",TranslatemoduleName="[Name - ES]" ),"",TranslatemoduleName)</f>
        <v>Removing human rights and gender related barriers to TB services</v>
      </c>
      <c r="D31" s="33" t="s">
        <v>172</v>
      </c>
      <c r="E31" s="33" t="str">
        <f t="shared" si="8"/>
        <v>Removing human rights and gender related barriers to TB services</v>
      </c>
      <c r="F31" s="32" t="s">
        <v>173</v>
      </c>
      <c r="G31" s="32" t="s">
        <v>174</v>
      </c>
      <c r="H31" s="37" t="s">
        <v>151</v>
      </c>
      <c r="I31" s="117" t="str">
        <f>IFERROR(LOOKUP(2,1/(COUNTIF($I$9:I30,$C$11:$C$52)=0),$C$11:$C$52),IF($I$11=I30,"",IF(I30&lt;&gt;"",$I$11,"")))</f>
        <v>Elimination of vertical transmission of HIV, syphilis and hepatitis B</v>
      </c>
      <c r="J31" s="37" t="s">
        <v>48</v>
      </c>
      <c r="K31" s="37" t="str">
        <f t="shared" si="9"/>
        <v>MCI-01314</v>
      </c>
      <c r="L31" s="37" t="s">
        <v>22</v>
      </c>
      <c r="M31" s="37"/>
      <c r="N31" s="118">
        <v>2520</v>
      </c>
    </row>
    <row r="32" spans="1:14" x14ac:dyDescent="0.2">
      <c r="A32" s="32" t="s">
        <v>175</v>
      </c>
      <c r="B32" s="33"/>
      <c r="C32" s="33" t="str">
        <f>IF(OR(TranslatemoduleName="[Name]",TranslatemoduleName="[Name - FR]",TranslatemoduleName="[Name - ES]" ),"",TranslatemoduleName)</f>
        <v>RSSH: Health sector planning and governance for integrated people-centered services</v>
      </c>
      <c r="D32" s="33" t="s">
        <v>176</v>
      </c>
      <c r="E32" s="33" t="str">
        <f t="shared" si="8"/>
        <v>RSSH: Health sector planning and governance for integrated people-centered services</v>
      </c>
      <c r="F32" s="32" t="s">
        <v>177</v>
      </c>
      <c r="G32" s="32" t="s">
        <v>178</v>
      </c>
      <c r="H32" s="37" t="s">
        <v>101</v>
      </c>
      <c r="I32" s="117" t="str">
        <f>IFERROR(LOOKUP(2,1/(COUNTIF($I$9:I31,$C$11:$C$52)=0),$C$11:$C$52),IF($I$11=I31,"",IF(I31&lt;&gt;"",$I$11,"")))</f>
        <v>Prevention program stewardship</v>
      </c>
      <c r="J32" s="37" t="s">
        <v>102</v>
      </c>
      <c r="K32" s="37" t="str">
        <f t="shared" si="9"/>
        <v>MCI-01320</v>
      </c>
      <c r="L32" s="37" t="s">
        <v>22</v>
      </c>
      <c r="M32" s="37"/>
      <c r="N32" s="118">
        <v>6010</v>
      </c>
    </row>
    <row r="33" spans="1:14" x14ac:dyDescent="0.2">
      <c r="A33" s="32" t="s">
        <v>175</v>
      </c>
      <c r="B33" s="33"/>
      <c r="C33" s="33" t="str">
        <f>IF(OR(TranslatemoduleName="[Name]",TranslatemoduleName="[Name - FR]",TranslatemoduleName="[Name - ES]" ),"",TranslatemoduleName)</f>
        <v>RSSH: Health sector planning and governance for integrated people-centered services</v>
      </c>
      <c r="D33" s="33" t="s">
        <v>176</v>
      </c>
      <c r="E33" s="33" t="str">
        <f t="shared" si="8"/>
        <v>RSSH: Health sector planning and governance for integrated people-centered services</v>
      </c>
      <c r="F33" s="32" t="s">
        <v>177</v>
      </c>
      <c r="G33" s="32" t="s">
        <v>178</v>
      </c>
      <c r="H33" s="37" t="s">
        <v>151</v>
      </c>
      <c r="I33" s="117" t="str">
        <f>IFERROR(LOOKUP(2,1/(COUNTIF($I$9:I32,$C$11:$C$52)=0),$C$11:$C$52),IF($I$11=I32,"",IF(I32&lt;&gt;"",$I$11,"")))</f>
        <v>Prevention package for adolescent girls and young women (AGYW) and male sexual partners in high HIV incidence settings</v>
      </c>
      <c r="J33" s="37" t="s">
        <v>48</v>
      </c>
      <c r="K33" s="37" t="str">
        <f t="shared" si="9"/>
        <v>MCI-01320</v>
      </c>
      <c r="L33" s="37" t="s">
        <v>22</v>
      </c>
      <c r="M33" s="37"/>
      <c r="N33" s="118">
        <v>6010</v>
      </c>
    </row>
    <row r="34" spans="1:14" x14ac:dyDescent="0.2">
      <c r="A34" s="32" t="s">
        <v>179</v>
      </c>
      <c r="B34" s="33"/>
      <c r="C34" s="33" t="str">
        <f>IF(OR(TranslatemoduleName="[Name]",TranslatemoduleName="[Name - FR]",TranslatemoduleName="[Name - ES]" ),"",TranslatemoduleName)</f>
        <v>RSSH: Community systems strengthening</v>
      </c>
      <c r="D34" s="33" t="s">
        <v>180</v>
      </c>
      <c r="E34" s="33" t="str">
        <f t="shared" si="8"/>
        <v>RSSH: Community systems strengthening</v>
      </c>
      <c r="F34" s="32" t="s">
        <v>181</v>
      </c>
      <c r="G34" s="32" t="s">
        <v>182</v>
      </c>
      <c r="H34" s="37" t="s">
        <v>101</v>
      </c>
      <c r="I34" s="117" t="str">
        <f>IFERROR(LOOKUP(2,1/(COUNTIF($I$9:I33,$C$11:$C$52)=0),$C$11:$C$52),IF($I$11=I33,"",IF(I33&lt;&gt;"",$I$11,"")))</f>
        <v>Prevention package for other vulnerable populations (OVP)</v>
      </c>
      <c r="J34" s="37" t="s">
        <v>102</v>
      </c>
      <c r="K34" s="37" t="str">
        <f t="shared" si="9"/>
        <v>MCI-01321</v>
      </c>
      <c r="L34" s="37" t="s">
        <v>22</v>
      </c>
      <c r="M34" s="37"/>
      <c r="N34" s="118">
        <v>6020</v>
      </c>
    </row>
    <row r="35" spans="1:14" x14ac:dyDescent="0.2">
      <c r="A35" s="32" t="s">
        <v>179</v>
      </c>
      <c r="B35" s="33"/>
      <c r="C35" s="33" t="str">
        <f>IF(OR(TranslatemoduleName="[Name]",TranslatemoduleName="[Name - FR]",TranslatemoduleName="[Name - ES]" ),"",TranslatemoduleName)</f>
        <v>RSSH: Community systems strengthening</v>
      </c>
      <c r="D35" s="33" t="s">
        <v>180</v>
      </c>
      <c r="E35" s="33" t="str">
        <f t="shared" si="8"/>
        <v>RSSH: Community systems strengthening</v>
      </c>
      <c r="F35" s="32" t="s">
        <v>181</v>
      </c>
      <c r="G35" s="32" t="s">
        <v>182</v>
      </c>
      <c r="H35" s="37" t="s">
        <v>151</v>
      </c>
      <c r="I35" s="117" t="str">
        <f>IFERROR(LOOKUP(2,1/(COUNTIF($I$9:I34,$C$11:$C$52)=0),$C$11:$C$52),IF($I$11=I34,"",IF(I34&lt;&gt;"",$I$11,"")))</f>
        <v>Prevention package for people in prisons and other closed settings</v>
      </c>
      <c r="J35" s="37" t="s">
        <v>48</v>
      </c>
      <c r="K35" s="37" t="str">
        <f t="shared" si="9"/>
        <v>MCI-01321</v>
      </c>
      <c r="L35" s="37" t="s">
        <v>22</v>
      </c>
      <c r="M35" s="37"/>
      <c r="N35" s="118">
        <v>6020</v>
      </c>
    </row>
    <row r="36" spans="1:14" x14ac:dyDescent="0.2">
      <c r="A36" s="32" t="s">
        <v>183</v>
      </c>
      <c r="B36" s="33"/>
      <c r="C36" s="33" t="str">
        <f>IF(OR(TranslatemoduleName="[Name]",TranslatemoduleName="[Name - FR]",TranslatemoduleName="[Name - ES]" ),"",TranslatemoduleName)</f>
        <v>RSSH: Health financing systems</v>
      </c>
      <c r="D36" s="33" t="s">
        <v>184</v>
      </c>
      <c r="E36" s="33" t="str">
        <f t="shared" si="8"/>
        <v>RSSH: Health financing systems</v>
      </c>
      <c r="F36" s="32" t="s">
        <v>185</v>
      </c>
      <c r="G36" s="32" t="s">
        <v>186</v>
      </c>
      <c r="H36" s="37" t="s">
        <v>101</v>
      </c>
      <c r="I36" s="117" t="str">
        <f>IFERROR(LOOKUP(2,1/(COUNTIF($I$9:I35,$C$11:$C$52)=0),$C$11:$C$52),IF($I$11=I35,"",IF(I35&lt;&gt;"",$I$11,"")))</f>
        <v>Prevention package for people who use drugs (PUD) and their sexual partners</v>
      </c>
      <c r="J36" s="37" t="s">
        <v>102</v>
      </c>
      <c r="K36" s="37" t="str">
        <f t="shared" si="9"/>
        <v>MCI-01322</v>
      </c>
      <c r="L36" s="37" t="s">
        <v>22</v>
      </c>
      <c r="M36" s="37"/>
      <c r="N36" s="118">
        <v>6030</v>
      </c>
    </row>
    <row r="37" spans="1:14" x14ac:dyDescent="0.2">
      <c r="A37" s="32" t="s">
        <v>183</v>
      </c>
      <c r="B37" s="33"/>
      <c r="C37" s="33" t="str">
        <f>IF(OR(TranslatemoduleName="[Name]",TranslatemoduleName="[Name - FR]",TranslatemoduleName="[Name - ES]" ),"",TranslatemoduleName)</f>
        <v>RSSH: Health financing systems</v>
      </c>
      <c r="D37" s="33" t="s">
        <v>184</v>
      </c>
      <c r="E37" s="33" t="str">
        <f t="shared" si="8"/>
        <v>RSSH: Health financing systems</v>
      </c>
      <c r="F37" s="32" t="s">
        <v>185</v>
      </c>
      <c r="G37" s="32" t="s">
        <v>186</v>
      </c>
      <c r="H37" s="37" t="s">
        <v>151</v>
      </c>
      <c r="I37" s="117" t="str">
        <f>IFERROR(LOOKUP(2,1/(COUNTIF($I$9:I36,$C$11:$C$52)=0),$C$11:$C$52),IF($I$11=I36,"",IF(I36&lt;&gt;"",$I$11,"")))</f>
        <v>Prevention package for transgender people and their sexual partners</v>
      </c>
      <c r="J37" s="37" t="s">
        <v>48</v>
      </c>
      <c r="K37" s="37" t="str">
        <f t="shared" si="9"/>
        <v>MCI-01322</v>
      </c>
      <c r="L37" s="37" t="s">
        <v>22</v>
      </c>
      <c r="M37" s="37"/>
      <c r="N37" s="118">
        <v>6030</v>
      </c>
    </row>
    <row r="38" spans="1:14" x14ac:dyDescent="0.2">
      <c r="A38" s="32" t="s">
        <v>187</v>
      </c>
      <c r="B38" s="33"/>
      <c r="C38" s="33" t="str">
        <f>IF(OR(TranslatemoduleName="[Name]",TranslatemoduleName="[Name - FR]",TranslatemoduleName="[Name - ES]" ),"",TranslatemoduleName)</f>
        <v>RSSH: Health products management systems</v>
      </c>
      <c r="D38" s="33" t="s">
        <v>188</v>
      </c>
      <c r="E38" s="33" t="str">
        <f t="shared" si="8"/>
        <v>RSSH: Health products management systems</v>
      </c>
      <c r="F38" s="32" t="s">
        <v>189</v>
      </c>
      <c r="G38" s="32" t="s">
        <v>190</v>
      </c>
      <c r="H38" s="37" t="s">
        <v>101</v>
      </c>
      <c r="I38" s="117" t="str">
        <f>IFERROR(LOOKUP(2,1/(COUNTIF($I$9:I37,$C$11:$C$52)=0),$C$11:$C$52),IF($I$11=I37,"",IF(I37&lt;&gt;"",$I$11,"")))</f>
        <v>Prevention package for sex workers, their clients and other sexual partners</v>
      </c>
      <c r="J38" s="37" t="s">
        <v>102</v>
      </c>
      <c r="K38" s="37" t="str">
        <f t="shared" si="9"/>
        <v>MCI-01323</v>
      </c>
      <c r="L38" s="37" t="s">
        <v>22</v>
      </c>
      <c r="M38" s="37"/>
      <c r="N38" s="118">
        <v>6040</v>
      </c>
    </row>
    <row r="39" spans="1:14" x14ac:dyDescent="0.2">
      <c r="A39" s="32" t="s">
        <v>187</v>
      </c>
      <c r="B39" s="33"/>
      <c r="C39" s="33" t="str">
        <f>IF(OR(TranslatemoduleName="[Name]",TranslatemoduleName="[Name - FR]",TranslatemoduleName="[Name - ES]" ),"",TranslatemoduleName)</f>
        <v>RSSH: Health products management systems</v>
      </c>
      <c r="D39" s="33" t="s">
        <v>188</v>
      </c>
      <c r="E39" s="33" t="str">
        <f t="shared" si="8"/>
        <v>RSSH: Health products management systems</v>
      </c>
      <c r="F39" s="32" t="s">
        <v>189</v>
      </c>
      <c r="G39" s="32" t="s">
        <v>190</v>
      </c>
      <c r="H39" s="37" t="s">
        <v>151</v>
      </c>
      <c r="I39" s="117" t="str">
        <f>IFERROR(LOOKUP(2,1/(COUNTIF($I$9:I38,$C$11:$C$52)=0),$C$11:$C$52),IF($I$11=I38,"",IF(I38&lt;&gt;"",$I$11,"")))</f>
        <v>Prevention package for men who have sex with men (MSM) and their sexual partners</v>
      </c>
      <c r="J39" s="37" t="s">
        <v>48</v>
      </c>
      <c r="K39" s="37" t="str">
        <f t="shared" si="9"/>
        <v>MCI-01323</v>
      </c>
      <c r="L39" s="37" t="s">
        <v>22</v>
      </c>
      <c r="M39" s="37"/>
      <c r="N39" s="118">
        <v>6040</v>
      </c>
    </row>
    <row r="40" spans="1:14" x14ac:dyDescent="0.2">
      <c r="A40" s="32" t="s">
        <v>191</v>
      </c>
      <c r="B40" s="33"/>
      <c r="C40" s="33" t="str">
        <f>IF(OR(TranslatemoduleName="[Name]",TranslatemoduleName="[Name - FR]",TranslatemoduleName="[Name - ES]" ),"",TranslatemoduleName)</f>
        <v>RSSH/PP: Human resources for health (HRH) and quality of care</v>
      </c>
      <c r="D40" s="33" t="s">
        <v>192</v>
      </c>
      <c r="E40" s="33" t="str">
        <f t="shared" si="8"/>
        <v>RSSH/PP: Human resources for health (HRH) and quality of care</v>
      </c>
      <c r="F40" s="32" t="s">
        <v>193</v>
      </c>
      <c r="G40" s="32" t="s">
        <v>194</v>
      </c>
      <c r="H40" s="37" t="s">
        <v>101</v>
      </c>
      <c r="I40" s="117" t="str">
        <f>IFERROR(LOOKUP(2,1/(COUNTIF($I$9:I39,$C$11:$C$52)=0),$C$11:$C$52),IF($I$11=I39,"",IF(I39&lt;&gt;"",$I$11,"")))</f>
        <v>Payment for results</v>
      </c>
      <c r="J40" s="37" t="s">
        <v>102</v>
      </c>
      <c r="K40" s="37" t="str">
        <f t="shared" si="9"/>
        <v>MCI-01324</v>
      </c>
      <c r="L40" s="37" t="s">
        <v>22</v>
      </c>
      <c r="M40" s="37"/>
      <c r="N40" s="118">
        <v>6050</v>
      </c>
    </row>
    <row r="41" spans="1:14" x14ac:dyDescent="0.2">
      <c r="A41" s="32" t="s">
        <v>191</v>
      </c>
      <c r="B41" s="33"/>
      <c r="C41" s="33" t="str">
        <f>IF(OR(TranslatemoduleName="[Name]",TranslatemoduleName="[Name - FR]",TranslatemoduleName="[Name - ES]" ),"",TranslatemoduleName)</f>
        <v>RSSH/PP: Human resources for health (HRH) and quality of care</v>
      </c>
      <c r="D41" s="33" t="s">
        <v>192</v>
      </c>
      <c r="E41" s="33" t="str">
        <f t="shared" si="8"/>
        <v>RSSH/PP: Human resources for health (HRH) and quality of care</v>
      </c>
      <c r="F41" s="32" t="s">
        <v>193</v>
      </c>
      <c r="G41" s="32" t="s">
        <v>194</v>
      </c>
      <c r="H41" s="37" t="s">
        <v>151</v>
      </c>
      <c r="I41" s="117" t="str">
        <f>IFERROR(LOOKUP(2,1/(COUNTIF($I$9:I40,$C$11:$C$52)=0),$C$11:$C$52),IF($I$11=I40,"",IF(I40&lt;&gt;"",$I$11,"")))</f>
        <v/>
      </c>
      <c r="J41" s="37" t="s">
        <v>48</v>
      </c>
      <c r="K41" s="37" t="str">
        <f t="shared" si="9"/>
        <v>MCI-01324</v>
      </c>
      <c r="L41" s="37" t="s">
        <v>22</v>
      </c>
      <c r="M41" s="37"/>
      <c r="N41" s="118">
        <v>6050</v>
      </c>
    </row>
    <row r="42" spans="1:14" x14ac:dyDescent="0.2">
      <c r="A42" s="32" t="s">
        <v>195</v>
      </c>
      <c r="B42" s="33"/>
      <c r="C42" s="33" t="str">
        <f>IF(OR(TranslatemoduleName="[Name]",TranslatemoduleName="[Name - FR]",TranslatemoduleName="[Name - ES]" ),"",TranslatemoduleName)</f>
        <v>RSSH/PP: Laboratory systems (including national and peripheral)</v>
      </c>
      <c r="D42" s="33" t="s">
        <v>196</v>
      </c>
      <c r="E42" s="33" t="str">
        <f t="shared" si="8"/>
        <v>RSSH/PP: Laboratory systems (including national and peripheral)</v>
      </c>
      <c r="F42" s="32" t="s">
        <v>197</v>
      </c>
      <c r="G42" s="32" t="s">
        <v>198</v>
      </c>
      <c r="H42" s="37" t="s">
        <v>101</v>
      </c>
      <c r="I42" s="117" t="str">
        <f>IFERROR(LOOKUP(2,1/(COUNTIF($I$9:I41,$C$11:$C$52)=0),$C$11:$C$52),IF($I$11=I41,"",IF(I41&lt;&gt;"",$I$11,"")))</f>
        <v/>
      </c>
      <c r="J42" s="37" t="s">
        <v>102</v>
      </c>
      <c r="K42" s="37" t="str">
        <f t="shared" si="9"/>
        <v>MCI-01325</v>
      </c>
      <c r="L42" s="37" t="s">
        <v>22</v>
      </c>
      <c r="M42" s="37"/>
      <c r="N42" s="118">
        <v>6060</v>
      </c>
    </row>
    <row r="43" spans="1:14" x14ac:dyDescent="0.2">
      <c r="A43" s="32" t="s">
        <v>195</v>
      </c>
      <c r="B43" s="33"/>
      <c r="C43" s="33" t="str">
        <f>IF(OR(TranslatemoduleName="[Name]",TranslatemoduleName="[Name - FR]",TranslatemoduleName="[Name - ES]" ),"",TranslatemoduleName)</f>
        <v>RSSH/PP: Laboratory systems (including national and peripheral)</v>
      </c>
      <c r="D43" s="33" t="s">
        <v>196</v>
      </c>
      <c r="E43" s="33" t="str">
        <f t="shared" si="8"/>
        <v>RSSH/PP: Laboratory systems (including national and peripheral)</v>
      </c>
      <c r="F43" s="32" t="s">
        <v>197</v>
      </c>
      <c r="G43" s="32" t="s">
        <v>198</v>
      </c>
      <c r="H43" s="37" t="s">
        <v>151</v>
      </c>
      <c r="I43" s="117" t="str">
        <f>IFERROR(LOOKUP(2,1/(COUNTIF($I$9:I42,$C$11:$C$52)=0),$C$11:$C$52),IF($I$11=I42,"",IF(I42&lt;&gt;"",$I$11,"")))</f>
        <v/>
      </c>
      <c r="J43" s="37" t="s">
        <v>48</v>
      </c>
      <c r="K43" s="37" t="str">
        <f t="shared" si="9"/>
        <v>MCI-01325</v>
      </c>
      <c r="L43" s="37" t="s">
        <v>22</v>
      </c>
      <c r="M43" s="37"/>
      <c r="N43" s="118">
        <v>6060</v>
      </c>
    </row>
    <row r="44" spans="1:14" x14ac:dyDescent="0.2">
      <c r="A44" s="32" t="s">
        <v>199</v>
      </c>
      <c r="B44" s="33"/>
      <c r="C44" s="33" t="str">
        <f>IF(OR(TranslatemoduleName="[Name]",TranslatemoduleName="[Name - FR]",TranslatemoduleName="[Name - ES]" ),"",TranslatemoduleName)</f>
        <v>RSSH/PP: Medical oxygen and respiratory care system</v>
      </c>
      <c r="D44" s="33" t="s">
        <v>200</v>
      </c>
      <c r="E44" s="33" t="str">
        <f t="shared" si="8"/>
        <v>RSSH/PP: Medical oxygen and respiratory care system</v>
      </c>
      <c r="F44" s="32" t="s">
        <v>201</v>
      </c>
      <c r="G44" s="32" t="s">
        <v>202</v>
      </c>
      <c r="H44" s="37" t="s">
        <v>101</v>
      </c>
      <c r="I44" s="117" t="str">
        <f>IFERROR(LOOKUP(2,1/(COUNTIF($I$9:I43,$C$11:$C$52)=0),$C$11:$C$52),IF($I$11=I43,"",IF(I43&lt;&gt;"",$I$11,"")))</f>
        <v/>
      </c>
      <c r="J44" s="37" t="s">
        <v>102</v>
      </c>
      <c r="K44" s="37" t="str">
        <f t="shared" si="9"/>
        <v>MCI-01326</v>
      </c>
      <c r="L44" s="37" t="s">
        <v>22</v>
      </c>
      <c r="M44" s="37"/>
      <c r="N44" s="118">
        <v>6070</v>
      </c>
    </row>
    <row r="45" spans="1:14" x14ac:dyDescent="0.2">
      <c r="A45" s="32" t="s">
        <v>199</v>
      </c>
      <c r="B45" s="33"/>
      <c r="C45" s="33" t="str">
        <f>IF(OR(TranslatemoduleName="[Name]",TranslatemoduleName="[Name - FR]",TranslatemoduleName="[Name - ES]" ),"",TranslatemoduleName)</f>
        <v>RSSH/PP: Medical oxygen and respiratory care system</v>
      </c>
      <c r="D45" s="33" t="s">
        <v>200</v>
      </c>
      <c r="E45" s="33" t="str">
        <f t="shared" si="8"/>
        <v>RSSH/PP: Medical oxygen and respiratory care system</v>
      </c>
      <c r="F45" s="32" t="s">
        <v>201</v>
      </c>
      <c r="G45" s="32" t="s">
        <v>202</v>
      </c>
      <c r="H45" s="37" t="s">
        <v>151</v>
      </c>
      <c r="I45" s="117" t="str">
        <f>IFERROR(LOOKUP(2,1/(COUNTIF($I$9:I44,$C$11:$C$52)=0),$C$11:$C$52),IF($I$11=I44,"",IF(I44&lt;&gt;"",$I$11,"")))</f>
        <v/>
      </c>
      <c r="J45" s="37" t="s">
        <v>48</v>
      </c>
      <c r="K45" s="37" t="str">
        <f t="shared" si="9"/>
        <v>MCI-01326</v>
      </c>
      <c r="L45" s="37" t="s">
        <v>22</v>
      </c>
      <c r="M45" s="37"/>
      <c r="N45" s="118">
        <v>6070</v>
      </c>
    </row>
    <row r="46" spans="1:14" x14ac:dyDescent="0.2">
      <c r="A46" s="32" t="s">
        <v>203</v>
      </c>
      <c r="B46" s="33"/>
      <c r="C46" s="33" t="str">
        <f>IF(OR(TranslatemoduleName="[Name]",TranslatemoduleName="[Name - FR]",TranslatemoduleName="[Name - ES]" ),"",TranslatemoduleName)</f>
        <v>RSSH: Monitoring and evaluation systems</v>
      </c>
      <c r="D46" s="33" t="s">
        <v>204</v>
      </c>
      <c r="E46" s="33" t="str">
        <f t="shared" si="8"/>
        <v>RSSH: Monitoring and evaluation systems</v>
      </c>
      <c r="F46" s="32" t="s">
        <v>205</v>
      </c>
      <c r="G46" s="32" t="s">
        <v>206</v>
      </c>
      <c r="H46" s="37" t="s">
        <v>101</v>
      </c>
      <c r="I46" s="117" t="str">
        <f>IFERROR(LOOKUP(2,1/(COUNTIF($I$9:I45,$C$11:$C$52)=0),$C$11:$C$52),IF($I$11=I45,"",IF(I45&lt;&gt;"",$I$11,"")))</f>
        <v/>
      </c>
      <c r="J46" s="37" t="s">
        <v>102</v>
      </c>
      <c r="K46" s="37" t="str">
        <f t="shared" si="9"/>
        <v>MCI-01327</v>
      </c>
      <c r="L46" s="37" t="s">
        <v>22</v>
      </c>
      <c r="M46" s="37"/>
      <c r="N46" s="118">
        <v>6080</v>
      </c>
    </row>
    <row r="47" spans="1:14" x14ac:dyDescent="0.2">
      <c r="A47" s="32" t="s">
        <v>203</v>
      </c>
      <c r="B47" s="33"/>
      <c r="C47" s="33" t="str">
        <f>IF(OR(TranslatemoduleName="[Name]",TranslatemoduleName="[Name - FR]",TranslatemoduleName="[Name - ES]" ),"",TranslatemoduleName)</f>
        <v>RSSH: Monitoring and evaluation systems</v>
      </c>
      <c r="D47" s="33" t="s">
        <v>204</v>
      </c>
      <c r="E47" s="33" t="str">
        <f t="shared" si="8"/>
        <v>RSSH: Monitoring and evaluation systems</v>
      </c>
      <c r="F47" s="32" t="s">
        <v>205</v>
      </c>
      <c r="G47" s="32" t="s">
        <v>206</v>
      </c>
      <c r="H47" s="37" t="s">
        <v>151</v>
      </c>
      <c r="I47" s="117" t="str">
        <f>IFERROR(LOOKUP(2,1/(COUNTIF($I$9:I46,$C$11:$C$52)=0),$C$11:$C$52),IF($I$11=I46,"",IF(I46&lt;&gt;"",$I$11,"")))</f>
        <v/>
      </c>
      <c r="J47" s="37" t="s">
        <v>48</v>
      </c>
      <c r="K47" s="37" t="str">
        <f t="shared" si="9"/>
        <v>MCI-01327</v>
      </c>
      <c r="L47" s="37" t="s">
        <v>22</v>
      </c>
      <c r="M47" s="37"/>
      <c r="N47" s="118">
        <v>6080</v>
      </c>
    </row>
    <row r="48" spans="1:14" x14ac:dyDescent="0.2">
      <c r="A48" s="32" t="s">
        <v>207</v>
      </c>
      <c r="B48" s="33"/>
      <c r="C48" s="33" t="str">
        <f>IF(OR(TranslatemoduleName="[Name]",TranslatemoduleName="[Name - FR]",TranslatemoduleName="[Name - ES]" ),"",TranslatemoduleName)</f>
        <v>Program management</v>
      </c>
      <c r="D48" s="33" t="s">
        <v>208</v>
      </c>
      <c r="E48" s="33" t="str">
        <f t="shared" si="8"/>
        <v>Program management</v>
      </c>
      <c r="F48" s="32" t="s">
        <v>209</v>
      </c>
      <c r="G48" s="32" t="s">
        <v>210</v>
      </c>
      <c r="H48" s="37" t="s">
        <v>101</v>
      </c>
      <c r="I48" s="117" t="str">
        <f>IFERROR(LOOKUP(2,1/(COUNTIF($I$9:I47,$C$11:$C$52)=0),$C$11:$C$52),IF($I$11=I47,"",IF(I47&lt;&gt;"",$I$11,"")))</f>
        <v/>
      </c>
      <c r="J48" s="37" t="s">
        <v>102</v>
      </c>
      <c r="K48" s="37" t="str">
        <f t="shared" si="9"/>
        <v>MCI-01318</v>
      </c>
      <c r="L48" s="37" t="s">
        <v>22</v>
      </c>
      <c r="M48" s="37"/>
      <c r="N48" s="118">
        <v>9000</v>
      </c>
    </row>
    <row r="49" spans="1:14" x14ac:dyDescent="0.2">
      <c r="A49" s="32" t="s">
        <v>207</v>
      </c>
      <c r="B49" s="33"/>
      <c r="C49" s="33" t="str">
        <f>IF(OR(TranslatemoduleName="[Name]",TranslatemoduleName="[Name - FR]",TranslatemoduleName="[Name - ES]" ),"",TranslatemoduleName)</f>
        <v>Program management</v>
      </c>
      <c r="D49" s="33" t="s">
        <v>208</v>
      </c>
      <c r="E49" s="33" t="str">
        <f t="shared" si="8"/>
        <v>Program management</v>
      </c>
      <c r="F49" s="32" t="s">
        <v>209</v>
      </c>
      <c r="G49" s="32" t="s">
        <v>210</v>
      </c>
      <c r="H49" s="37" t="s">
        <v>151</v>
      </c>
      <c r="I49" s="117" t="str">
        <f>IFERROR(LOOKUP(2,1/(COUNTIF($I$9:I48,$C$11:$C$52)=0),$C$11:$C$52),IF($I$11=I48,"",IF(I48&lt;&gt;"",$I$11,"")))</f>
        <v/>
      </c>
      <c r="J49" s="37" t="s">
        <v>48</v>
      </c>
      <c r="K49" s="37" t="str">
        <f t="shared" si="9"/>
        <v>MCI-01318</v>
      </c>
      <c r="L49" s="37" t="s">
        <v>22</v>
      </c>
      <c r="M49" s="37"/>
      <c r="N49" s="118">
        <v>9000</v>
      </c>
    </row>
    <row r="50" spans="1:14" x14ac:dyDescent="0.2">
      <c r="A50" s="32" t="s">
        <v>211</v>
      </c>
      <c r="B50" s="33"/>
      <c r="C50" s="33" t="str">
        <f>IF(OR(TranslatemoduleName="[Name]",TranslatemoduleName="[Name - FR]",TranslatemoduleName="[Name - ES]" ),"",TranslatemoduleName)</f>
        <v>Payment for results</v>
      </c>
      <c r="D50" s="33" t="s">
        <v>212</v>
      </c>
      <c r="E50" s="33" t="str">
        <f t="shared" si="8"/>
        <v>Payment for results</v>
      </c>
      <c r="F50" s="32" t="s">
        <v>213</v>
      </c>
      <c r="G50" s="32" t="s">
        <v>214</v>
      </c>
      <c r="H50" s="37" t="s">
        <v>101</v>
      </c>
      <c r="I50" s="117" t="str">
        <f>IFERROR(LOOKUP(2,1/(COUNTIF($I$9:I49,$C$11:$C$52)=0),$C$11:$C$52),IF($I$11=I49,"",IF(I49&lt;&gt;"",$I$11,"")))</f>
        <v/>
      </c>
      <c r="J50" s="37" t="s">
        <v>102</v>
      </c>
      <c r="K50" s="37" t="str">
        <f t="shared" si="9"/>
        <v>MCI-01319</v>
      </c>
      <c r="L50" s="37" t="s">
        <v>22</v>
      </c>
      <c r="M50" s="37"/>
      <c r="N50" s="118">
        <v>9500</v>
      </c>
    </row>
    <row r="51" spans="1:14" x14ac:dyDescent="0.2">
      <c r="A51" s="32" t="s">
        <v>211</v>
      </c>
      <c r="B51" s="33"/>
      <c r="C51" s="33" t="str">
        <f>IF(OR(TranslatemoduleName="[Name]",TranslatemoduleName="[Name - FR]",TranslatemoduleName="[Name - ES]" ),"",TranslatemoduleName)</f>
        <v>Payment for results</v>
      </c>
      <c r="D51" s="33" t="s">
        <v>212</v>
      </c>
      <c r="E51" s="33" t="str">
        <f t="shared" si="8"/>
        <v>Payment for results</v>
      </c>
      <c r="F51" s="32" t="s">
        <v>213</v>
      </c>
      <c r="G51" s="32" t="s">
        <v>214</v>
      </c>
      <c r="H51" s="37" t="s">
        <v>151</v>
      </c>
      <c r="I51" s="117" t="str">
        <f>IFERROR(LOOKUP(2,1/(COUNTIF($I$9:I50,$C$11:$C$52)=0),$C$11:$C$52),IF($I$11=I50,"",IF(I50&lt;&gt;"",$I$11,"")))</f>
        <v/>
      </c>
      <c r="J51" s="37" t="s">
        <v>48</v>
      </c>
      <c r="K51" s="37" t="str">
        <f t="shared" si="9"/>
        <v>MCI-01319</v>
      </c>
      <c r="L51" s="37" t="s">
        <v>22</v>
      </c>
      <c r="M51" s="37"/>
      <c r="N51" s="118">
        <v>9500</v>
      </c>
    </row>
    <row r="52" spans="1:14" x14ac:dyDescent="0.2">
      <c r="A52" s="35"/>
      <c r="B52" s="37"/>
      <c r="C52" s="37"/>
      <c r="D52" s="33"/>
      <c r="E52" s="37"/>
      <c r="F52" s="35"/>
      <c r="G52" s="35"/>
      <c r="I52" s="38"/>
    </row>
    <row r="53" spans="1:14" x14ac:dyDescent="0.2">
      <c r="A53" s="37" t="str">
        <f>IF(B3="",B4,B3)</f>
        <v>Kyrgyzstan</v>
      </c>
      <c r="B53" s="37"/>
      <c r="C53" s="37"/>
      <c r="D53" s="33"/>
      <c r="E53" s="37"/>
      <c r="F53" s="35"/>
      <c r="G53" s="35"/>
      <c r="I53" s="38"/>
    </row>
    <row r="54" spans="1:14" x14ac:dyDescent="0.2">
      <c r="A54" s="35"/>
      <c r="B54" s="37"/>
      <c r="C54" s="37"/>
      <c r="D54" s="33"/>
      <c r="E54" s="37"/>
      <c r="F54" s="35"/>
      <c r="G54" s="35"/>
      <c r="I54" s="38"/>
    </row>
    <row r="55" spans="1:14" x14ac:dyDescent="0.2">
      <c r="A55" s="35"/>
      <c r="B55" s="37"/>
      <c r="C55" s="37"/>
      <c r="D55" s="33"/>
      <c r="E55" s="37"/>
      <c r="F55" s="35"/>
      <c r="G55" s="35"/>
      <c r="I55" s="38"/>
    </row>
    <row r="56" spans="1:14" x14ac:dyDescent="0.2">
      <c r="A56" s="35"/>
      <c r="B56" s="37"/>
      <c r="C56" s="37"/>
      <c r="D56" s="33"/>
      <c r="E56" s="37"/>
      <c r="F56" s="35"/>
      <c r="G56" s="35"/>
      <c r="I56" s="38"/>
    </row>
    <row r="57" spans="1:14" x14ac:dyDescent="0.2">
      <c r="A57" s="35"/>
      <c r="B57" s="37"/>
      <c r="C57" s="37"/>
      <c r="D57" s="33"/>
      <c r="E57" s="37"/>
      <c r="F57" s="35"/>
      <c r="G57" s="35"/>
      <c r="I57" s="38"/>
    </row>
    <row r="58" spans="1:14" x14ac:dyDescent="0.2">
      <c r="A58" s="35"/>
      <c r="B58" s="37"/>
      <c r="C58" s="37"/>
      <c r="D58" s="33"/>
      <c r="E58" s="37"/>
      <c r="F58" s="35"/>
      <c r="G58" s="35"/>
      <c r="I58" s="38"/>
    </row>
    <row r="59" spans="1:14" x14ac:dyDescent="0.2">
      <c r="A59" s="35"/>
      <c r="B59" s="37"/>
      <c r="C59" s="37"/>
      <c r="D59" s="33"/>
      <c r="E59" s="37"/>
      <c r="F59" s="35"/>
      <c r="G59" s="35"/>
      <c r="I59" s="38"/>
    </row>
    <row r="60" spans="1:14" x14ac:dyDescent="0.2">
      <c r="A60" s="35"/>
      <c r="B60" s="37"/>
      <c r="C60" s="37"/>
      <c r="D60" s="33"/>
      <c r="E60" s="37"/>
      <c r="F60" s="35"/>
      <c r="G60" s="35"/>
      <c r="I60" s="38"/>
    </row>
    <row r="61" spans="1:14" x14ac:dyDescent="0.2">
      <c r="A61" s="35"/>
      <c r="B61" s="37"/>
      <c r="C61" s="37"/>
      <c r="D61" s="33"/>
      <c r="E61" s="37"/>
      <c r="F61" s="35"/>
      <c r="G61" s="35"/>
      <c r="I61" s="38"/>
    </row>
    <row r="62" spans="1:14" x14ac:dyDescent="0.2">
      <c r="A62" s="35"/>
      <c r="B62" s="37"/>
      <c r="C62" s="37"/>
      <c r="D62" s="33"/>
      <c r="E62" s="37"/>
      <c r="F62" s="35"/>
      <c r="G62" s="35"/>
      <c r="I62" s="38"/>
    </row>
    <row r="63" spans="1:14" x14ac:dyDescent="0.2">
      <c r="A63" s="35"/>
      <c r="B63" s="37"/>
      <c r="C63" s="37"/>
      <c r="D63" s="33"/>
      <c r="E63" s="37"/>
      <c r="F63" s="35"/>
      <c r="G63" s="35"/>
      <c r="I63" s="38"/>
    </row>
    <row r="64" spans="1:14" x14ac:dyDescent="0.2">
      <c r="D64" s="39"/>
      <c r="I64" s="38"/>
    </row>
    <row r="65" spans="1:9" x14ac:dyDescent="0.2">
      <c r="I65" s="38"/>
    </row>
    <row r="66" spans="1:9" x14ac:dyDescent="0.2">
      <c r="I66" s="38"/>
    </row>
    <row r="67" spans="1:9" x14ac:dyDescent="0.2">
      <c r="I67" s="38"/>
    </row>
    <row r="68" spans="1:9" x14ac:dyDescent="0.2">
      <c r="I68" s="38"/>
    </row>
    <row r="69" spans="1:9" x14ac:dyDescent="0.2">
      <c r="I69" s="38"/>
    </row>
    <row r="70" spans="1:9" ht="84" customHeight="1" x14ac:dyDescent="0.2">
      <c r="A70" s="22"/>
      <c r="B70" s="22"/>
      <c r="C70" s="22"/>
      <c r="E70" s="24"/>
      <c r="I70" s="38"/>
    </row>
    <row r="71" spans="1:9" x14ac:dyDescent="0.2">
      <c r="I71" s="38"/>
    </row>
    <row r="72" spans="1:9" x14ac:dyDescent="0.2">
      <c r="I72" s="38"/>
    </row>
    <row r="73" spans="1:9" x14ac:dyDescent="0.2">
      <c r="I73" s="38"/>
    </row>
    <row r="74" spans="1:9" x14ac:dyDescent="0.2">
      <c r="I74" s="38"/>
    </row>
    <row r="75" spans="1:9" x14ac:dyDescent="0.2">
      <c r="I75" s="38"/>
    </row>
    <row r="76" spans="1:9" x14ac:dyDescent="0.2">
      <c r="I76" s="38"/>
    </row>
    <row r="77" spans="1:9" x14ac:dyDescent="0.2">
      <c r="I77" s="38"/>
    </row>
    <row r="78" spans="1:9" x14ac:dyDescent="0.2">
      <c r="I78" s="38"/>
    </row>
    <row r="79" spans="1:9" x14ac:dyDescent="0.2">
      <c r="I79" s="38"/>
    </row>
    <row r="80" spans="1:9" x14ac:dyDescent="0.2">
      <c r="I80" s="38"/>
    </row>
    <row r="81" spans="9:9" x14ac:dyDescent="0.2">
      <c r="I81" s="38"/>
    </row>
    <row r="82" spans="9:9" x14ac:dyDescent="0.2">
      <c r="I82" s="38"/>
    </row>
    <row r="83" spans="9:9" x14ac:dyDescent="0.2">
      <c r="I83" s="38"/>
    </row>
    <row r="84" spans="9:9" x14ac:dyDescent="0.2">
      <c r="I84" s="38"/>
    </row>
    <row r="85" spans="9:9" x14ac:dyDescent="0.2">
      <c r="I85" s="38"/>
    </row>
    <row r="86" spans="9:9" x14ac:dyDescent="0.2">
      <c r="I86" s="38"/>
    </row>
    <row r="87" spans="9:9" x14ac:dyDescent="0.2">
      <c r="I87" s="38"/>
    </row>
    <row r="88" spans="9:9" x14ac:dyDescent="0.2">
      <c r="I88" s="38"/>
    </row>
    <row r="89" spans="9:9" x14ac:dyDescent="0.2">
      <c r="I89" s="38"/>
    </row>
    <row r="90" spans="9:9" x14ac:dyDescent="0.2">
      <c r="I90" s="38"/>
    </row>
    <row r="91" spans="9:9" x14ac:dyDescent="0.2">
      <c r="I91" s="38"/>
    </row>
    <row r="92" spans="9:9" x14ac:dyDescent="0.2">
      <c r="I92" s="38"/>
    </row>
    <row r="93" spans="9:9" x14ac:dyDescent="0.2">
      <c r="I93" s="38"/>
    </row>
    <row r="94" spans="9:9" x14ac:dyDescent="0.2">
      <c r="I94" s="38"/>
    </row>
    <row r="95" spans="9:9" x14ac:dyDescent="0.2">
      <c r="I95" s="38"/>
    </row>
    <row r="96" spans="9:9" x14ac:dyDescent="0.2">
      <c r="I96" s="38"/>
    </row>
    <row r="97" spans="9:9" x14ac:dyDescent="0.2">
      <c r="I97" s="38"/>
    </row>
    <row r="98" spans="9:9" x14ac:dyDescent="0.2">
      <c r="I98" s="38"/>
    </row>
    <row r="99" spans="9:9" x14ac:dyDescent="0.2">
      <c r="I99" s="38"/>
    </row>
    <row r="100" spans="9:9" x14ac:dyDescent="0.2">
      <c r="I100" s="38"/>
    </row>
    <row r="101" spans="9:9" x14ac:dyDescent="0.2">
      <c r="I101" s="38"/>
    </row>
    <row r="102" spans="9:9" x14ac:dyDescent="0.2">
      <c r="I102" s="38"/>
    </row>
    <row r="103" spans="9:9" x14ac:dyDescent="0.2">
      <c r="I103" s="38"/>
    </row>
    <row r="104" spans="9:9" x14ac:dyDescent="0.2">
      <c r="I104" s="38"/>
    </row>
    <row r="105" spans="9:9" x14ac:dyDescent="0.2">
      <c r="I105" s="38"/>
    </row>
    <row r="106" spans="9:9" x14ac:dyDescent="0.2">
      <c r="I106" s="38"/>
    </row>
    <row r="107" spans="9:9" x14ac:dyDescent="0.2">
      <c r="I107" s="38"/>
    </row>
    <row r="108" spans="9:9" x14ac:dyDescent="0.2">
      <c r="I108" s="38"/>
    </row>
    <row r="109" spans="9:9" x14ac:dyDescent="0.2">
      <c r="I109" s="38"/>
    </row>
    <row r="110" spans="9:9" x14ac:dyDescent="0.2">
      <c r="I110" s="38"/>
    </row>
    <row r="111" spans="9:9" x14ac:dyDescent="0.2">
      <c r="I111" s="38"/>
    </row>
    <row r="112" spans="9:9" x14ac:dyDescent="0.2">
      <c r="I112" s="38"/>
    </row>
    <row r="113" spans="9:9" x14ac:dyDescent="0.2">
      <c r="I113" s="38"/>
    </row>
    <row r="114" spans="9:9" x14ac:dyDescent="0.2">
      <c r="I114" s="38"/>
    </row>
    <row r="115" spans="9:9" x14ac:dyDescent="0.2">
      <c r="I115" s="38"/>
    </row>
    <row r="116" spans="9:9" x14ac:dyDescent="0.2">
      <c r="I116" s="38"/>
    </row>
    <row r="117" spans="9:9" x14ac:dyDescent="0.2">
      <c r="I117" s="38"/>
    </row>
    <row r="118" spans="9:9" x14ac:dyDescent="0.2">
      <c r="I118" s="38"/>
    </row>
    <row r="119" spans="9:9" x14ac:dyDescent="0.2">
      <c r="I119" s="38"/>
    </row>
    <row r="120" spans="9:9" x14ac:dyDescent="0.2">
      <c r="I120" s="38"/>
    </row>
    <row r="121" spans="9:9" x14ac:dyDescent="0.2">
      <c r="I121" s="38"/>
    </row>
    <row r="122" spans="9:9" x14ac:dyDescent="0.2">
      <c r="I122" s="38"/>
    </row>
    <row r="123" spans="9:9" x14ac:dyDescent="0.2">
      <c r="I123" s="38"/>
    </row>
    <row r="124" spans="9:9" x14ac:dyDescent="0.2">
      <c r="I124" s="38"/>
    </row>
    <row r="125" spans="9:9" x14ac:dyDescent="0.2">
      <c r="I125" s="38"/>
    </row>
    <row r="126" spans="9:9" x14ac:dyDescent="0.2">
      <c r="I126" s="38"/>
    </row>
    <row r="127" spans="9:9" x14ac:dyDescent="0.2">
      <c r="I127" s="38"/>
    </row>
    <row r="128" spans="9:9" x14ac:dyDescent="0.2">
      <c r="I128" s="38"/>
    </row>
    <row r="129" spans="9:9" x14ac:dyDescent="0.2">
      <c r="I129" s="38"/>
    </row>
    <row r="130" spans="9:9" x14ac:dyDescent="0.2">
      <c r="I130" s="38"/>
    </row>
    <row r="131" spans="9:9" x14ac:dyDescent="0.2">
      <c r="I131" s="38"/>
    </row>
    <row r="132" spans="9:9" x14ac:dyDescent="0.2">
      <c r="I132" s="38"/>
    </row>
    <row r="133" spans="9:9" x14ac:dyDescent="0.2">
      <c r="I133" s="38"/>
    </row>
    <row r="134" spans="9:9" x14ac:dyDescent="0.2">
      <c r="I134" s="38"/>
    </row>
    <row r="135" spans="9:9" x14ac:dyDescent="0.2">
      <c r="I135" s="38"/>
    </row>
    <row r="136" spans="9:9" x14ac:dyDescent="0.2">
      <c r="I136" s="38"/>
    </row>
    <row r="137" spans="9:9" x14ac:dyDescent="0.2">
      <c r="I137" s="38"/>
    </row>
    <row r="138" spans="9:9" x14ac:dyDescent="0.2">
      <c r="I138" s="38"/>
    </row>
    <row r="139" spans="9:9" x14ac:dyDescent="0.2">
      <c r="I139" s="38"/>
    </row>
    <row r="140" spans="9:9" x14ac:dyDescent="0.2">
      <c r="I140" s="38"/>
    </row>
    <row r="141" spans="9:9" x14ac:dyDescent="0.2">
      <c r="I141" s="38"/>
    </row>
    <row r="142" spans="9:9" x14ac:dyDescent="0.2">
      <c r="I142" s="38"/>
    </row>
    <row r="143" spans="9:9" x14ac:dyDescent="0.2">
      <c r="I143" s="38"/>
    </row>
    <row r="144" spans="9:9" x14ac:dyDescent="0.2">
      <c r="I144" s="38"/>
    </row>
    <row r="145" spans="9:9" x14ac:dyDescent="0.2">
      <c r="I145" s="38"/>
    </row>
    <row r="146" spans="9:9" x14ac:dyDescent="0.2">
      <c r="I146" s="38"/>
    </row>
    <row r="147" spans="9:9" x14ac:dyDescent="0.2">
      <c r="I147" s="38"/>
    </row>
    <row r="148" spans="9:9" x14ac:dyDescent="0.2">
      <c r="I148" s="38"/>
    </row>
    <row r="149" spans="9:9" x14ac:dyDescent="0.2">
      <c r="I149" s="38"/>
    </row>
    <row r="150" spans="9:9" x14ac:dyDescent="0.2">
      <c r="I150" s="38"/>
    </row>
    <row r="151" spans="9:9" x14ac:dyDescent="0.2">
      <c r="I151" s="38"/>
    </row>
    <row r="152" spans="9:9" x14ac:dyDescent="0.2">
      <c r="I152" s="38"/>
    </row>
    <row r="153" spans="9:9" x14ac:dyDescent="0.2">
      <c r="I153" s="38"/>
    </row>
    <row r="154" spans="9:9" x14ac:dyDescent="0.2">
      <c r="I154" s="38"/>
    </row>
    <row r="155" spans="9:9" x14ac:dyDescent="0.2">
      <c r="I155" s="38"/>
    </row>
    <row r="156" spans="9:9" x14ac:dyDescent="0.2">
      <c r="I156" s="38"/>
    </row>
    <row r="157" spans="9:9" x14ac:dyDescent="0.2">
      <c r="I157" s="38"/>
    </row>
    <row r="158" spans="9:9" x14ac:dyDescent="0.2">
      <c r="I158" s="38"/>
    </row>
    <row r="159" spans="9:9" x14ac:dyDescent="0.2">
      <c r="I159" s="38"/>
    </row>
    <row r="160" spans="9:9" x14ac:dyDescent="0.2">
      <c r="I160" s="38"/>
    </row>
    <row r="161" spans="9:9" x14ac:dyDescent="0.2">
      <c r="I161" s="38"/>
    </row>
    <row r="162" spans="9:9" x14ac:dyDescent="0.2">
      <c r="I162" s="38"/>
    </row>
    <row r="163" spans="9:9" x14ac:dyDescent="0.2">
      <c r="I163" s="38"/>
    </row>
    <row r="164" spans="9:9" x14ac:dyDescent="0.2">
      <c r="I164" s="38"/>
    </row>
    <row r="165" spans="9:9" x14ac:dyDescent="0.2">
      <c r="I165" s="38"/>
    </row>
    <row r="166" spans="9:9" x14ac:dyDescent="0.2">
      <c r="I166" s="38"/>
    </row>
    <row r="167" spans="9:9" x14ac:dyDescent="0.2">
      <c r="I167" s="38"/>
    </row>
    <row r="168" spans="9:9" x14ac:dyDescent="0.2">
      <c r="I168" s="38"/>
    </row>
    <row r="169" spans="9:9" x14ac:dyDescent="0.2">
      <c r="I169" s="38"/>
    </row>
    <row r="170" spans="9:9" x14ac:dyDescent="0.2">
      <c r="I170" s="38"/>
    </row>
    <row r="171" spans="9:9" x14ac:dyDescent="0.2">
      <c r="I171" s="38"/>
    </row>
    <row r="172" spans="9:9" x14ac:dyDescent="0.2">
      <c r="I172" s="38"/>
    </row>
    <row r="173" spans="9:9" x14ac:dyDescent="0.2">
      <c r="I173" s="38"/>
    </row>
    <row r="174" spans="9:9" x14ac:dyDescent="0.2">
      <c r="I174" s="38"/>
    </row>
    <row r="175" spans="9:9" x14ac:dyDescent="0.2">
      <c r="I175" s="38"/>
    </row>
    <row r="176" spans="9:9" x14ac:dyDescent="0.2">
      <c r="I176" s="38"/>
    </row>
    <row r="177" spans="9:9" x14ac:dyDescent="0.2">
      <c r="I177" s="38"/>
    </row>
    <row r="178" spans="9:9" x14ac:dyDescent="0.2">
      <c r="I178" s="38"/>
    </row>
    <row r="179" spans="9:9" x14ac:dyDescent="0.2">
      <c r="I179" s="38"/>
    </row>
    <row r="180" spans="9:9" x14ac:dyDescent="0.2">
      <c r="I180" s="38"/>
    </row>
    <row r="181" spans="9:9" x14ac:dyDescent="0.2">
      <c r="I181" s="38"/>
    </row>
    <row r="182" spans="9:9" x14ac:dyDescent="0.2">
      <c r="I182" s="38"/>
    </row>
    <row r="183" spans="9:9" x14ac:dyDescent="0.2">
      <c r="I183" s="38"/>
    </row>
    <row r="184" spans="9:9" x14ac:dyDescent="0.2">
      <c r="I184" s="38"/>
    </row>
    <row r="185" spans="9:9" x14ac:dyDescent="0.2">
      <c r="I185" s="38"/>
    </row>
    <row r="186" spans="9:9" x14ac:dyDescent="0.2">
      <c r="I186" s="38"/>
    </row>
    <row r="187" spans="9:9" x14ac:dyDescent="0.2">
      <c r="I187" s="38"/>
    </row>
    <row r="188" spans="9:9" x14ac:dyDescent="0.2">
      <c r="I188" s="38"/>
    </row>
    <row r="189" spans="9:9" x14ac:dyDescent="0.2">
      <c r="I189" s="38"/>
    </row>
    <row r="190" spans="9:9" x14ac:dyDescent="0.2">
      <c r="I190" s="38"/>
    </row>
    <row r="191" spans="9:9" x14ac:dyDescent="0.2">
      <c r="I191" s="38"/>
    </row>
    <row r="192" spans="9:9" x14ac:dyDescent="0.2">
      <c r="I192" s="38"/>
    </row>
    <row r="193" spans="9:9" x14ac:dyDescent="0.2">
      <c r="I193" s="38"/>
    </row>
    <row r="194" spans="9:9" x14ac:dyDescent="0.2">
      <c r="I194" s="38"/>
    </row>
    <row r="195" spans="9:9" x14ac:dyDescent="0.2">
      <c r="I195" s="38"/>
    </row>
    <row r="196" spans="9:9" x14ac:dyDescent="0.2">
      <c r="I196" s="38"/>
    </row>
    <row r="197" spans="9:9" x14ac:dyDescent="0.2">
      <c r="I197" s="38"/>
    </row>
    <row r="198" spans="9:9" x14ac:dyDescent="0.2">
      <c r="I198" s="38"/>
    </row>
    <row r="199" spans="9:9" x14ac:dyDescent="0.2">
      <c r="I199" s="38"/>
    </row>
    <row r="200" spans="9:9" x14ac:dyDescent="0.2">
      <c r="I200" s="38"/>
    </row>
    <row r="201" spans="9:9" x14ac:dyDescent="0.2">
      <c r="I201" s="38"/>
    </row>
    <row r="202" spans="9:9" x14ac:dyDescent="0.2">
      <c r="I202" s="38"/>
    </row>
    <row r="203" spans="9:9" x14ac:dyDescent="0.2">
      <c r="I203" s="38"/>
    </row>
    <row r="204" spans="9:9" x14ac:dyDescent="0.2">
      <c r="I204" s="38"/>
    </row>
    <row r="205" spans="9:9" x14ac:dyDescent="0.2">
      <c r="I205" s="38"/>
    </row>
    <row r="206" spans="9:9" x14ac:dyDescent="0.2">
      <c r="I206" s="38"/>
    </row>
    <row r="207" spans="9:9" x14ac:dyDescent="0.2">
      <c r="I207" s="38"/>
    </row>
    <row r="208" spans="9:9" x14ac:dyDescent="0.2">
      <c r="I208" s="38"/>
    </row>
    <row r="209" spans="9:9" x14ac:dyDescent="0.2">
      <c r="I209" s="38"/>
    </row>
    <row r="210" spans="9:9" x14ac:dyDescent="0.2">
      <c r="I210" s="38"/>
    </row>
    <row r="211" spans="9:9" x14ac:dyDescent="0.2">
      <c r="I211" s="38"/>
    </row>
    <row r="212" spans="9:9" x14ac:dyDescent="0.2">
      <c r="I212" s="38"/>
    </row>
    <row r="213" spans="9:9" x14ac:dyDescent="0.2">
      <c r="I213" s="38"/>
    </row>
    <row r="214" spans="9:9" x14ac:dyDescent="0.2">
      <c r="I214" s="38"/>
    </row>
    <row r="215" spans="9:9" x14ac:dyDescent="0.2">
      <c r="I215" s="38"/>
    </row>
    <row r="216" spans="9:9" x14ac:dyDescent="0.2">
      <c r="I216" s="38"/>
    </row>
    <row r="217" spans="9:9" x14ac:dyDescent="0.2">
      <c r="I217" s="38"/>
    </row>
    <row r="218" spans="9:9" x14ac:dyDescent="0.2">
      <c r="I218" s="38"/>
    </row>
    <row r="219" spans="9:9" x14ac:dyDescent="0.2">
      <c r="I219" s="38"/>
    </row>
    <row r="220" spans="9:9" x14ac:dyDescent="0.2">
      <c r="I220" s="38"/>
    </row>
    <row r="221" spans="9:9" x14ac:dyDescent="0.2">
      <c r="I221" s="38"/>
    </row>
    <row r="222" spans="9:9" x14ac:dyDescent="0.2">
      <c r="I222" s="38"/>
    </row>
    <row r="223" spans="9:9" x14ac:dyDescent="0.2">
      <c r="I223" s="38"/>
    </row>
    <row r="224" spans="9:9" x14ac:dyDescent="0.2">
      <c r="I224" s="38"/>
    </row>
    <row r="225" spans="9:9" x14ac:dyDescent="0.2">
      <c r="I225" s="38"/>
    </row>
    <row r="226" spans="9:9" x14ac:dyDescent="0.2">
      <c r="I226" s="38"/>
    </row>
    <row r="227" spans="9:9" x14ac:dyDescent="0.2">
      <c r="I227" s="38"/>
    </row>
    <row r="228" spans="9:9" x14ac:dyDescent="0.2">
      <c r="I228" s="38"/>
    </row>
    <row r="229" spans="9:9" x14ac:dyDescent="0.2">
      <c r="I229" s="38"/>
    </row>
    <row r="230" spans="9:9" x14ac:dyDescent="0.2">
      <c r="I230" s="38"/>
    </row>
    <row r="231" spans="9:9" x14ac:dyDescent="0.2">
      <c r="I231" s="38"/>
    </row>
    <row r="232" spans="9:9" x14ac:dyDescent="0.2">
      <c r="I232" s="38"/>
    </row>
    <row r="233" spans="9:9" x14ac:dyDescent="0.2">
      <c r="I233" s="38"/>
    </row>
    <row r="234" spans="9:9" x14ac:dyDescent="0.2">
      <c r="I234" s="38"/>
    </row>
    <row r="235" spans="9:9" x14ac:dyDescent="0.2">
      <c r="I235" s="38"/>
    </row>
    <row r="236" spans="9:9" x14ac:dyDescent="0.2">
      <c r="I236" s="38"/>
    </row>
    <row r="237" spans="9:9" x14ac:dyDescent="0.2">
      <c r="I237" s="38"/>
    </row>
    <row r="238" spans="9:9" x14ac:dyDescent="0.2">
      <c r="I238" s="38"/>
    </row>
    <row r="239" spans="9:9" x14ac:dyDescent="0.2">
      <c r="I239" s="38"/>
    </row>
    <row r="240" spans="9:9" x14ac:dyDescent="0.2">
      <c r="I240" s="38"/>
    </row>
    <row r="241" spans="9:9" x14ac:dyDescent="0.2">
      <c r="I241" s="38"/>
    </row>
    <row r="242" spans="9:9" x14ac:dyDescent="0.2">
      <c r="I242" s="38"/>
    </row>
    <row r="243" spans="9:9" x14ac:dyDescent="0.2">
      <c r="I243" s="38"/>
    </row>
    <row r="244" spans="9:9" x14ac:dyDescent="0.2">
      <c r="I244" s="38"/>
    </row>
    <row r="245" spans="9:9" x14ac:dyDescent="0.2">
      <c r="I245" s="38"/>
    </row>
    <row r="246" spans="9:9" x14ac:dyDescent="0.2">
      <c r="I246" s="38"/>
    </row>
    <row r="247" spans="9:9" x14ac:dyDescent="0.2">
      <c r="I247" s="38"/>
    </row>
    <row r="248" spans="9:9" x14ac:dyDescent="0.2">
      <c r="I248" s="38"/>
    </row>
    <row r="249" spans="9:9" x14ac:dyDescent="0.2">
      <c r="I249" s="38"/>
    </row>
    <row r="250" spans="9:9" x14ac:dyDescent="0.2">
      <c r="I250" s="38"/>
    </row>
    <row r="251" spans="9:9" x14ac:dyDescent="0.2">
      <c r="I251" s="38"/>
    </row>
    <row r="252" spans="9:9" x14ac:dyDescent="0.2">
      <c r="I252" s="38"/>
    </row>
    <row r="253" spans="9:9" x14ac:dyDescent="0.2">
      <c r="I253" s="38"/>
    </row>
    <row r="254" spans="9:9" x14ac:dyDescent="0.2">
      <c r="I254" s="38"/>
    </row>
    <row r="255" spans="9:9" x14ac:dyDescent="0.2">
      <c r="I255" s="38"/>
    </row>
    <row r="256" spans="9:9" x14ac:dyDescent="0.2">
      <c r="I256" s="38"/>
    </row>
    <row r="257" spans="9:9" x14ac:dyDescent="0.2">
      <c r="I257" s="38"/>
    </row>
    <row r="258" spans="9:9" x14ac:dyDescent="0.2">
      <c r="I258" s="38"/>
    </row>
    <row r="259" spans="9:9" x14ac:dyDescent="0.2">
      <c r="I259" s="38"/>
    </row>
    <row r="260" spans="9:9" x14ac:dyDescent="0.2">
      <c r="I260" s="38"/>
    </row>
    <row r="261" spans="9:9" x14ac:dyDescent="0.2">
      <c r="I261" s="38"/>
    </row>
    <row r="262" spans="9:9" x14ac:dyDescent="0.2">
      <c r="I262" s="38"/>
    </row>
    <row r="263" spans="9:9" x14ac:dyDescent="0.2">
      <c r="I263" s="38"/>
    </row>
    <row r="264" spans="9:9" x14ac:dyDescent="0.2">
      <c r="I264" s="38"/>
    </row>
    <row r="265" spans="9:9" x14ac:dyDescent="0.2">
      <c r="I265" s="38"/>
    </row>
    <row r="266" spans="9:9" x14ac:dyDescent="0.2">
      <c r="I266" s="38"/>
    </row>
    <row r="267" spans="9:9" x14ac:dyDescent="0.2">
      <c r="I267" s="38"/>
    </row>
    <row r="268" spans="9:9" x14ac:dyDescent="0.2">
      <c r="I268" s="38"/>
    </row>
    <row r="269" spans="9:9" x14ac:dyDescent="0.2">
      <c r="I269" s="38"/>
    </row>
    <row r="270" spans="9:9" x14ac:dyDescent="0.2">
      <c r="I270" s="38"/>
    </row>
    <row r="271" spans="9:9" x14ac:dyDescent="0.2">
      <c r="I271" s="38"/>
    </row>
    <row r="272" spans="9:9" x14ac:dyDescent="0.2">
      <c r="I272" s="38"/>
    </row>
    <row r="273" spans="9:9" x14ac:dyDescent="0.2">
      <c r="I273" s="38"/>
    </row>
    <row r="274" spans="9:9" x14ac:dyDescent="0.2">
      <c r="I274" s="38"/>
    </row>
    <row r="275" spans="9:9" x14ac:dyDescent="0.2">
      <c r="I275" s="38"/>
    </row>
    <row r="276" spans="9:9" x14ac:dyDescent="0.2">
      <c r="I276" s="38"/>
    </row>
    <row r="277" spans="9:9" x14ac:dyDescent="0.2">
      <c r="I277" s="38"/>
    </row>
    <row r="278" spans="9:9" x14ac:dyDescent="0.2">
      <c r="I278" s="38"/>
    </row>
    <row r="279" spans="9:9" x14ac:dyDescent="0.2">
      <c r="I279" s="38"/>
    </row>
    <row r="280" spans="9:9" x14ac:dyDescent="0.2">
      <c r="I280" s="38"/>
    </row>
    <row r="281" spans="9:9" x14ac:dyDescent="0.2">
      <c r="I281" s="38"/>
    </row>
    <row r="282" spans="9:9" x14ac:dyDescent="0.2">
      <c r="I282" s="38"/>
    </row>
    <row r="283" spans="9:9" x14ac:dyDescent="0.2">
      <c r="I283" s="38"/>
    </row>
    <row r="284" spans="9:9" x14ac:dyDescent="0.2">
      <c r="I284" s="38"/>
    </row>
    <row r="285" spans="9:9" x14ac:dyDescent="0.2">
      <c r="I285" s="38"/>
    </row>
    <row r="286" spans="9:9" x14ac:dyDescent="0.2">
      <c r="I286" s="38"/>
    </row>
    <row r="287" spans="9:9" x14ac:dyDescent="0.2">
      <c r="I287" s="38"/>
    </row>
    <row r="288" spans="9:9" x14ac:dyDescent="0.2">
      <c r="I288" s="38"/>
    </row>
    <row r="289" spans="9:9" x14ac:dyDescent="0.2">
      <c r="I289" s="38"/>
    </row>
    <row r="290" spans="9:9" x14ac:dyDescent="0.2">
      <c r="I290" s="38"/>
    </row>
    <row r="291" spans="9:9" x14ac:dyDescent="0.2">
      <c r="I291" s="38"/>
    </row>
    <row r="292" spans="9:9" x14ac:dyDescent="0.2">
      <c r="I292" s="38"/>
    </row>
    <row r="293" spans="9:9" x14ac:dyDescent="0.2">
      <c r="I293" s="38"/>
    </row>
    <row r="294" spans="9:9" x14ac:dyDescent="0.2">
      <c r="I294" s="38"/>
    </row>
    <row r="295" spans="9:9" x14ac:dyDescent="0.2">
      <c r="I295" s="38"/>
    </row>
    <row r="296" spans="9:9" x14ac:dyDescent="0.2">
      <c r="I296" s="38"/>
    </row>
    <row r="297" spans="9:9" x14ac:dyDescent="0.2">
      <c r="I297" s="38"/>
    </row>
    <row r="298" spans="9:9" x14ac:dyDescent="0.2">
      <c r="I298" s="38"/>
    </row>
    <row r="299" spans="9:9" x14ac:dyDescent="0.2">
      <c r="I299" s="38"/>
    </row>
    <row r="300" spans="9:9" x14ac:dyDescent="0.2">
      <c r="I300" s="38"/>
    </row>
    <row r="301" spans="9:9" x14ac:dyDescent="0.2">
      <c r="I301" s="38"/>
    </row>
    <row r="302" spans="9:9" x14ac:dyDescent="0.2">
      <c r="I302" s="38"/>
    </row>
    <row r="303" spans="9:9" x14ac:dyDescent="0.2">
      <c r="I303" s="38"/>
    </row>
    <row r="304" spans="9:9" x14ac:dyDescent="0.2">
      <c r="I304" s="38"/>
    </row>
    <row r="305" spans="9:9" x14ac:dyDescent="0.2">
      <c r="I305" s="38"/>
    </row>
    <row r="306" spans="9:9" x14ac:dyDescent="0.2">
      <c r="I306" s="38"/>
    </row>
    <row r="307" spans="9:9" x14ac:dyDescent="0.2">
      <c r="I307" s="38"/>
    </row>
    <row r="308" spans="9:9" x14ac:dyDescent="0.2">
      <c r="I308" s="38"/>
    </row>
    <row r="309" spans="9:9" x14ac:dyDescent="0.2">
      <c r="I309" s="38"/>
    </row>
    <row r="310" spans="9:9" x14ac:dyDescent="0.2">
      <c r="I310" s="38"/>
    </row>
    <row r="311" spans="9:9" x14ac:dyDescent="0.2">
      <c r="I311" s="38"/>
    </row>
    <row r="312" spans="9:9" x14ac:dyDescent="0.2">
      <c r="I312" s="38"/>
    </row>
    <row r="313" spans="9:9" x14ac:dyDescent="0.2">
      <c r="I313" s="38"/>
    </row>
    <row r="314" spans="9:9" x14ac:dyDescent="0.2">
      <c r="I314" s="38"/>
    </row>
    <row r="315" spans="9:9" x14ac:dyDescent="0.2">
      <c r="I315" s="38"/>
    </row>
    <row r="316" spans="9:9" x14ac:dyDescent="0.2">
      <c r="I316" s="38"/>
    </row>
    <row r="317" spans="9:9" x14ac:dyDescent="0.2">
      <c r="I317" s="38"/>
    </row>
    <row r="318" spans="9:9" x14ac:dyDescent="0.2">
      <c r="I318" s="38"/>
    </row>
    <row r="319" spans="9:9" x14ac:dyDescent="0.2">
      <c r="I319" s="38"/>
    </row>
    <row r="320" spans="9:9" x14ac:dyDescent="0.2">
      <c r="I320" s="38"/>
    </row>
    <row r="321" spans="9:9" x14ac:dyDescent="0.2">
      <c r="I321" s="38"/>
    </row>
    <row r="322" spans="9:9" x14ac:dyDescent="0.2">
      <c r="I322" s="38"/>
    </row>
    <row r="323" spans="9:9" x14ac:dyDescent="0.2">
      <c r="I323" s="38"/>
    </row>
    <row r="324" spans="9:9" x14ac:dyDescent="0.2">
      <c r="I324" s="38"/>
    </row>
    <row r="325" spans="9:9" x14ac:dyDescent="0.2">
      <c r="I325" s="38"/>
    </row>
    <row r="326" spans="9:9" x14ac:dyDescent="0.2">
      <c r="I326" s="38"/>
    </row>
    <row r="327" spans="9:9" x14ac:dyDescent="0.2">
      <c r="I327" s="38"/>
    </row>
    <row r="328" spans="9:9" x14ac:dyDescent="0.2">
      <c r="I328" s="38"/>
    </row>
    <row r="329" spans="9:9" x14ac:dyDescent="0.2">
      <c r="I329" s="38"/>
    </row>
    <row r="330" spans="9:9" x14ac:dyDescent="0.2">
      <c r="I330" s="38"/>
    </row>
    <row r="331" spans="9:9" x14ac:dyDescent="0.2">
      <c r="I331" s="38"/>
    </row>
    <row r="332" spans="9:9" x14ac:dyDescent="0.2">
      <c r="I332" s="38"/>
    </row>
    <row r="333" spans="9:9" x14ac:dyDescent="0.2">
      <c r="I333" s="38"/>
    </row>
    <row r="334" spans="9:9" x14ac:dyDescent="0.2">
      <c r="I334" s="38"/>
    </row>
    <row r="335" spans="9:9" x14ac:dyDescent="0.2">
      <c r="I335" s="38"/>
    </row>
    <row r="336" spans="9:9" x14ac:dyDescent="0.2">
      <c r="I336" s="38"/>
    </row>
    <row r="337" spans="9:9" x14ac:dyDescent="0.2">
      <c r="I337" s="38"/>
    </row>
    <row r="338" spans="9:9" x14ac:dyDescent="0.2">
      <c r="I338" s="38"/>
    </row>
    <row r="339" spans="9:9" x14ac:dyDescent="0.2">
      <c r="I339" s="38"/>
    </row>
  </sheetData>
  <dataValidations count="4">
    <dataValidation type="custom" allowBlank="1" showInputMessage="1" showErrorMessage="1" errorTitle="X-Author for Excel" error="Id and Lookup fields are not editable." promptTitle="X-Author for Excel" sqref="D11:D63 H11:H51 D8 D5:D6 B6 B2" xr:uid="{00000000-0002-0000-0700-000000000000}">
      <formula1>""</formula1>
    </dataValidation>
    <dataValidation type="list" allowBlank="1" showInputMessage="1" showErrorMessage="1" errorTitle="X-Author for Excel" error="Please select a value from the drop-down." promptTitle="X-Author for Excel" sqref="D4" xr:uid="{00000000-0002-0000-0700-000001000000}">
      <formula1>IF(IFERROR(ROWS(INDIRECT(SUBSTITUTE("AIM_Funding_Request__c.AIM_Funding_Request_Currency__c"," ","_"))),-1) &lt; 0, XAE_Invalid_PLData,INDIRECT(SUBSTITUTE("AIM_Funding_Request__c.AIM_Funding_Request_Currency__c"," ","_")))</formula1>
    </dataValidation>
    <dataValidation type="list" allowBlank="1" showInputMessage="1" showErrorMessage="1" errorTitle="X-Author for Excel" error="Please select a value from the drop-down." promptTitle="X-Author for Excel" sqref="F8" xr:uid="{00000000-0002-0000-0700-000002000000}">
      <formula1>IF(IFERROR(ROWS(INDIRECT(SUBSTITUTE("AIM_Funding_Request__c.AIM_TRP_Review_Outcome__c"," ","_"))),-1) &lt; 0, XAE_Invalid_PLData,INDIRECT(SUBSTITUTE("AIM_Funding_Request__c.AIM_TRP_Review_Outcome__c"," ","_")))</formula1>
    </dataValidation>
    <dataValidation type="decimal" allowBlank="1" showInputMessage="1" showErrorMessage="1" errorTitle="X-Author for Excel" error="Please enter a valid numeric value. Valid range for Sort Order is -999999 to 999999." promptTitle="X-Author for Excel" sqref="N11:N51" xr:uid="{00000000-0002-0000-0700-000003000000}">
      <formula1>-999999</formula1>
      <formula2>999999</formula2>
    </dataValidation>
  </dataValidation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B11:O177"/>
  <sheetViews>
    <sheetView workbookViewId="0">
      <selection activeCell="E12" sqref="E12"/>
    </sheetView>
  </sheetViews>
  <sheetFormatPr baseColWidth="10" defaultColWidth="8.83203125" defaultRowHeight="15" x14ac:dyDescent="0.2"/>
  <cols>
    <col min="3" max="3" width="13.5" customWidth="1"/>
  </cols>
  <sheetData>
    <row r="11" spans="2:15" ht="29" x14ac:dyDescent="0.2">
      <c r="B11" s="31" t="s">
        <v>215</v>
      </c>
      <c r="C11" s="31" t="s">
        <v>216</v>
      </c>
      <c r="D11" s="31"/>
      <c r="E11" s="31" t="s">
        <v>215</v>
      </c>
      <c r="F11" s="34" t="s">
        <v>217</v>
      </c>
      <c r="G11" s="34" t="s">
        <v>35</v>
      </c>
      <c r="H11" s="31"/>
      <c r="I11" s="31" t="s">
        <v>84</v>
      </c>
      <c r="J11" s="31" t="s">
        <v>218</v>
      </c>
      <c r="K11" s="31" t="s">
        <v>71</v>
      </c>
      <c r="L11" s="37"/>
      <c r="M11" s="37">
        <f>IFERROR(LOOKUP(2,1/(COUNTIF($M$10:M10,$E$12:$E$322)=0),$E$12:$E$322),IF($M$12=M10,"",IF(M10&lt;&gt;"",$M$12,"")))</f>
        <v>0</v>
      </c>
      <c r="N11" s="37" t="s">
        <v>219</v>
      </c>
      <c r="O11" s="37" t="s">
        <v>88</v>
      </c>
    </row>
    <row r="12" spans="2:15" hidden="1" x14ac:dyDescent="0.2">
      <c r="B12" s="35" t="s">
        <v>89</v>
      </c>
      <c r="C12" s="33" t="s">
        <v>220</v>
      </c>
      <c r="D12" s="32"/>
      <c r="E12" s="37" t="str">
        <f>IF(OR(TranslatemoduleName="[Name - FR]",TranslatemoduleName="[Name - ES]"),"",IF(InterventionsTranslate="[Name]","",InterventionsTranslate))</f>
        <v/>
      </c>
      <c r="F12" s="32" t="s">
        <v>221</v>
      </c>
      <c r="G12" s="33" t="s">
        <v>93</v>
      </c>
      <c r="H12" s="32"/>
      <c r="I12" s="32" t="s">
        <v>91</v>
      </c>
      <c r="J12" s="32" t="s">
        <v>92</v>
      </c>
      <c r="K12" s="35" t="s">
        <v>222</v>
      </c>
      <c r="L12" s="37" t="str">
        <f>F12</f>
        <v>[Name ID]</v>
      </c>
      <c r="M12" s="37" t="str">
        <f>IFERROR(LOOKUP(2,1/(COUNTIF($M$10:M11,$E$12:$E$322)=0),$E$12:$E$322),IF($M$12=M11,"",IF(M11&lt;&gt;"",$M$12,"")))</f>
        <v>Operational Research</v>
      </c>
      <c r="N12" s="37" t="s">
        <v>223</v>
      </c>
      <c r="O12" s="35" t="s">
        <v>96</v>
      </c>
    </row>
    <row r="13" spans="2:15" x14ac:dyDescent="0.2">
      <c r="B13" s="35" t="s">
        <v>224</v>
      </c>
      <c r="C13" s="33" t="s">
        <v>98</v>
      </c>
      <c r="D13" s="32"/>
      <c r="E13" s="37" t="str">
        <f>IF(OR(TranslatemoduleName="[Name - FR]",TranslatemoduleName="[Name - ES]"),"",IF(InterventionsTranslate="[Name]","",InterventionsTranslate))</f>
        <v>Condom and lubricant programing for MSM</v>
      </c>
      <c r="F13" s="32" t="s">
        <v>225</v>
      </c>
      <c r="G13" s="33" t="s">
        <v>226</v>
      </c>
      <c r="H13" s="32"/>
      <c r="I13" s="32" t="s">
        <v>227</v>
      </c>
      <c r="J13" s="32" t="s">
        <v>228</v>
      </c>
      <c r="K13" s="35" t="s">
        <v>229</v>
      </c>
      <c r="L13" s="37" t="str">
        <f t="shared" ref="L13:L76" si="0">F13</f>
        <v>MCI-01459</v>
      </c>
      <c r="M13" s="37" t="str">
        <f>IFERROR(LOOKUP(2,1/(COUNTIF($M$10:M12,$E$12:$E$322)=0),$E$12:$E$322),IF($M$12=M12,"",IF(M12&lt;&gt;"",$M$12,"")))</f>
        <v>Civil registration and vital statistics</v>
      </c>
      <c r="N13" s="37" t="b">
        <v>1</v>
      </c>
      <c r="O13" s="35">
        <v>1010</v>
      </c>
    </row>
    <row r="14" spans="2:15" x14ac:dyDescent="0.2">
      <c r="B14" s="35" t="s">
        <v>230</v>
      </c>
      <c r="C14" s="33" t="s">
        <v>98</v>
      </c>
      <c r="D14" s="32"/>
      <c r="E14" s="37" t="str">
        <f>IF(OR(TranslatemoduleName="[Name - FR]",TranslatemoduleName="[Name - ES]"),"",IF(InterventionsTranslate="[Name]","",InterventionsTranslate))</f>
        <v>Pre-exposure prophylaxis (PrEP) programing for MSM</v>
      </c>
      <c r="F14" s="32" t="s">
        <v>231</v>
      </c>
      <c r="G14" s="33" t="s">
        <v>226</v>
      </c>
      <c r="H14" s="32"/>
      <c r="I14" s="32" t="s">
        <v>232</v>
      </c>
      <c r="J14" s="32" t="s">
        <v>233</v>
      </c>
      <c r="K14" s="35" t="s">
        <v>234</v>
      </c>
      <c r="L14" s="37" t="str">
        <f t="shared" si="0"/>
        <v>MCI-01460</v>
      </c>
      <c r="M14" s="37" t="str">
        <f>IFERROR(LOOKUP(2,1/(COUNTIF($M$10:M13,$E$12:$E$322)=0),$E$12:$E$322),IF($M$12=M13,"",IF(M13&lt;&gt;"",$M$12,"")))</f>
        <v>Administrative data sources</v>
      </c>
      <c r="N14" s="37" t="b">
        <v>1</v>
      </c>
      <c r="O14" s="35">
        <v>1020</v>
      </c>
    </row>
    <row r="15" spans="2:15" x14ac:dyDescent="0.2">
      <c r="B15" s="35" t="s">
        <v>235</v>
      </c>
      <c r="C15" s="33" t="s">
        <v>98</v>
      </c>
      <c r="D15" s="32"/>
      <c r="E15" s="37" t="str">
        <f>IF(OR(TranslatemoduleName="[Name - FR]",TranslatemoduleName="[Name - ES]"),"",IF(InterventionsTranslate="[Name]","",InterventionsTranslate))</f>
        <v>HIV prevention communication, information and demand creation for MSM</v>
      </c>
      <c r="F15" s="32" t="s">
        <v>236</v>
      </c>
      <c r="G15" s="33" t="s">
        <v>226</v>
      </c>
      <c r="H15" s="32"/>
      <c r="I15" s="32" t="s">
        <v>237</v>
      </c>
      <c r="J15" s="32" t="s">
        <v>238</v>
      </c>
      <c r="K15" s="35" t="s">
        <v>239</v>
      </c>
      <c r="L15" s="37" t="str">
        <f t="shared" si="0"/>
        <v>MCI-01461</v>
      </c>
      <c r="M15" s="37" t="str">
        <f>IFERROR(LOOKUP(2,1/(COUNTIF($M$10:M14,$E$12:$E$322)=0),$E$12:$E$322),IF($M$12=M14,"",IF(M14&lt;&gt;"",$M$12,"")))</f>
        <v>Analyses, evaluations, reviews and data use</v>
      </c>
      <c r="N15" s="37" t="b">
        <v>1</v>
      </c>
      <c r="O15" s="35">
        <v>1030</v>
      </c>
    </row>
    <row r="16" spans="2:15" x14ac:dyDescent="0.2">
      <c r="B16" s="35" t="s">
        <v>240</v>
      </c>
      <c r="C16" s="33" t="s">
        <v>98</v>
      </c>
      <c r="D16" s="32"/>
      <c r="E16" s="37" t="str">
        <f>IF(OR(TranslatemoduleName="[Name - FR]",TranslatemoduleName="[Name - ES]"),"",IF(InterventionsTranslate="[Name]","",InterventionsTranslate))</f>
        <v>Community empowerment for MSM</v>
      </c>
      <c r="F16" s="32" t="s">
        <v>241</v>
      </c>
      <c r="G16" s="33" t="s">
        <v>226</v>
      </c>
      <c r="H16" s="32"/>
      <c r="I16" s="32" t="s">
        <v>242</v>
      </c>
      <c r="J16" s="32" t="s">
        <v>243</v>
      </c>
      <c r="K16" s="35" t="s">
        <v>244</v>
      </c>
      <c r="L16" s="37" t="str">
        <f t="shared" si="0"/>
        <v>MCI-01462</v>
      </c>
      <c r="M16" s="37" t="str">
        <f>IFERROR(LOOKUP(2,1/(COUNTIF($M$10:M15,$E$12:$E$322)=0),$E$12:$E$322),IF($M$12=M15,"",IF(M15&lt;&gt;"",$M$12,"")))</f>
        <v>Data quality</v>
      </c>
      <c r="N16" s="37" t="b">
        <v>1</v>
      </c>
      <c r="O16" s="35">
        <v>1040</v>
      </c>
    </row>
    <row r="17" spans="2:15" x14ac:dyDescent="0.2">
      <c r="B17" s="35" t="s">
        <v>245</v>
      </c>
      <c r="C17" s="33" t="s">
        <v>98</v>
      </c>
      <c r="D17" s="32"/>
      <c r="E17" s="37" t="str">
        <f>IF(OR(TranslatemoduleName="[Name - FR]",TranslatemoduleName="[Name - ES]"),"",IF(InterventionsTranslate="[Name]","",InterventionsTranslate))</f>
        <v>Sexual and reproductive health services, including STIs, hepatitis, post-violence care for MSM</v>
      </c>
      <c r="F17" s="32" t="s">
        <v>246</v>
      </c>
      <c r="G17" s="33" t="s">
        <v>226</v>
      </c>
      <c r="H17" s="32"/>
      <c r="I17" s="32" t="s">
        <v>247</v>
      </c>
      <c r="J17" s="32" t="s">
        <v>248</v>
      </c>
      <c r="K17" s="35" t="s">
        <v>249</v>
      </c>
      <c r="L17" s="37" t="str">
        <f t="shared" si="0"/>
        <v>MCI-01463</v>
      </c>
      <c r="M17" s="37" t="str">
        <f>IFERROR(LOOKUP(2,1/(COUNTIF($M$10:M16,$E$12:$E$322)=0),$E$12:$E$322),IF($M$12=M16,"",IF(M16&lt;&gt;"",$M$12,"")))</f>
        <v>Surveys</v>
      </c>
      <c r="N17" s="37" t="b">
        <v>1</v>
      </c>
      <c r="O17" s="35">
        <v>1050</v>
      </c>
    </row>
    <row r="18" spans="2:15" x14ac:dyDescent="0.2">
      <c r="B18" s="35" t="s">
        <v>250</v>
      </c>
      <c r="C18" s="33" t="s">
        <v>98</v>
      </c>
      <c r="D18" s="32"/>
      <c r="E18" s="37" t="str">
        <f>IF(OR(TranslatemoduleName="[Name - FR]",TranslatemoduleName="[Name - ES]"),"",IF(InterventionsTranslate="[Name]","",InterventionsTranslate))</f>
        <v>Removing human rights-related barriers to prevention for MSM</v>
      </c>
      <c r="F18" s="32" t="s">
        <v>251</v>
      </c>
      <c r="G18" s="33" t="s">
        <v>226</v>
      </c>
      <c r="H18" s="32"/>
      <c r="I18" s="32" t="s">
        <v>252</v>
      </c>
      <c r="J18" s="32" t="s">
        <v>253</v>
      </c>
      <c r="K18" s="35" t="s">
        <v>254</v>
      </c>
      <c r="L18" s="37" t="str">
        <f t="shared" si="0"/>
        <v>MCI-01464</v>
      </c>
      <c r="M18" s="37" t="str">
        <f>IFERROR(LOOKUP(2,1/(COUNTIF($M$10:M17,$E$12:$E$322)=0),$E$12:$E$322),IF($M$12=M17,"",IF(M17&lt;&gt;"",$M$12,"")))</f>
        <v>RSSH/PP: Surveillance for priority epidemic-prone diseases and events</v>
      </c>
      <c r="N18" s="37" t="b">
        <v>1</v>
      </c>
      <c r="O18" s="35">
        <v>1060</v>
      </c>
    </row>
    <row r="19" spans="2:15" x14ac:dyDescent="0.2">
      <c r="B19" s="35" t="s">
        <v>255</v>
      </c>
      <c r="C19" s="33" t="s">
        <v>104</v>
      </c>
      <c r="D19" s="32"/>
      <c r="E19" s="37" t="str">
        <f>IF(OR(TranslatemoduleName="[Name - FR]",TranslatemoduleName="[Name - ES]"),"",IF(InterventionsTranslate="[Name]","",InterventionsTranslate))</f>
        <v>Condom and lubricant programing for sex workers</v>
      </c>
      <c r="F19" s="32" t="s">
        <v>256</v>
      </c>
      <c r="G19" s="33" t="s">
        <v>257</v>
      </c>
      <c r="H19" s="32"/>
      <c r="I19" s="32" t="s">
        <v>258</v>
      </c>
      <c r="J19" s="32" t="s">
        <v>259</v>
      </c>
      <c r="K19" s="35" t="s">
        <v>260</v>
      </c>
      <c r="L19" s="37" t="str">
        <f t="shared" si="0"/>
        <v>MCI-01328</v>
      </c>
      <c r="M19" s="37" t="str">
        <f>IFERROR(LOOKUP(2,1/(COUNTIF($M$10:M18,$E$12:$E$322)=0),$E$12:$E$322),IF($M$12=M18,"",IF(M18&lt;&gt;"",$M$12,"")))</f>
        <v>Surveillance for HIV, tuberculosis and malaria</v>
      </c>
      <c r="N19" s="37" t="b">
        <v>1</v>
      </c>
      <c r="O19" s="35">
        <v>1070</v>
      </c>
    </row>
    <row r="20" spans="2:15" x14ac:dyDescent="0.2">
      <c r="B20" s="35" t="s">
        <v>261</v>
      </c>
      <c r="C20" s="33" t="s">
        <v>104</v>
      </c>
      <c r="D20" s="32"/>
      <c r="E20" s="37" t="str">
        <f>IF(OR(TranslatemoduleName="[Name - FR]",TranslatemoduleName="[Name - ES]"),"",IF(InterventionsTranslate="[Name]","",InterventionsTranslate))</f>
        <v>Pre-exposure prophylaxis (PrEP) programing for sex workers</v>
      </c>
      <c r="F20" s="32" t="s">
        <v>262</v>
      </c>
      <c r="G20" s="33" t="s">
        <v>257</v>
      </c>
      <c r="H20" s="32"/>
      <c r="I20" s="32" t="s">
        <v>263</v>
      </c>
      <c r="J20" s="32" t="s">
        <v>264</v>
      </c>
      <c r="K20" s="35" t="s">
        <v>265</v>
      </c>
      <c r="L20" s="37" t="str">
        <f t="shared" si="0"/>
        <v>MCI-01329</v>
      </c>
      <c r="M20" s="37" t="str">
        <f>IFERROR(LOOKUP(2,1/(COUNTIF($M$10:M19,$E$12:$E$322)=0),$E$12:$E$322),IF($M$12=M19,"",IF(M19&lt;&gt;"",$M$12,"")))</f>
        <v>Routine reporting</v>
      </c>
      <c r="N20" s="37" t="b">
        <v>1</v>
      </c>
      <c r="O20" s="35">
        <v>1080</v>
      </c>
    </row>
    <row r="21" spans="2:15" x14ac:dyDescent="0.2">
      <c r="B21" s="35" t="s">
        <v>266</v>
      </c>
      <c r="C21" s="33" t="s">
        <v>104</v>
      </c>
      <c r="D21" s="32"/>
      <c r="E21" s="37" t="str">
        <f>IF(OR(TranslatemoduleName="[Name - FR]",TranslatemoduleName="[Name - ES]"),"",IF(InterventionsTranslate="[Name]","",InterventionsTranslate))</f>
        <v>HIV prevention communication, information and demand creation for sex workers</v>
      </c>
      <c r="F21" s="32" t="s">
        <v>267</v>
      </c>
      <c r="G21" s="33" t="s">
        <v>257</v>
      </c>
      <c r="H21" s="32"/>
      <c r="I21" s="32" t="s">
        <v>268</v>
      </c>
      <c r="J21" s="32" t="s">
        <v>269</v>
      </c>
      <c r="K21" s="35" t="s">
        <v>270</v>
      </c>
      <c r="L21" s="37" t="str">
        <f t="shared" si="0"/>
        <v>MCI-01330</v>
      </c>
      <c r="M21" s="37" t="str">
        <f>IFERROR(LOOKUP(2,1/(COUNTIF($M$10:M20,$E$12:$E$322)=0),$E$12:$E$322),IF($M$12=M20,"",IF(M20&lt;&gt;"",$M$12,"")))</f>
        <v>RSSH/PP: Oxygen support systems</v>
      </c>
      <c r="N21" s="37" t="b">
        <v>1</v>
      </c>
      <c r="O21" s="35">
        <v>1090</v>
      </c>
    </row>
    <row r="22" spans="2:15" x14ac:dyDescent="0.2">
      <c r="B22" s="35" t="s">
        <v>271</v>
      </c>
      <c r="C22" s="33" t="s">
        <v>104</v>
      </c>
      <c r="D22" s="32"/>
      <c r="E22" s="37" t="str">
        <f>IF(OR(TranslatemoduleName="[Name - FR]",TranslatemoduleName="[Name - ES]"),"",IF(InterventionsTranslate="[Name]","",InterventionsTranslate))</f>
        <v>Community empowerment for sex workers</v>
      </c>
      <c r="F22" s="32" t="s">
        <v>272</v>
      </c>
      <c r="G22" s="33" t="s">
        <v>257</v>
      </c>
      <c r="H22" s="32"/>
      <c r="I22" s="32" t="s">
        <v>273</v>
      </c>
      <c r="J22" s="32" t="s">
        <v>274</v>
      </c>
      <c r="K22" s="35" t="s">
        <v>275</v>
      </c>
      <c r="L22" s="37" t="str">
        <f t="shared" si="0"/>
        <v>MCI-01331</v>
      </c>
      <c r="M22" s="37" t="str">
        <f>IFERROR(LOOKUP(2,1/(COUNTIF($M$10:M21,$E$12:$E$322)=0),$E$12:$E$322),IF($M$12=M21,"",IF(M21&lt;&gt;"",$M$12,"")))</f>
        <v>RSSH/PP: Oxygen delivery and respiratory care</v>
      </c>
      <c r="N22" s="37" t="b">
        <v>1</v>
      </c>
      <c r="O22" s="35">
        <v>1100</v>
      </c>
    </row>
    <row r="23" spans="2:15" x14ac:dyDescent="0.2">
      <c r="B23" s="35" t="s">
        <v>276</v>
      </c>
      <c r="C23" s="33" t="s">
        <v>104</v>
      </c>
      <c r="D23" s="32"/>
      <c r="E23" s="37" t="str">
        <f>IF(OR(TranslatemoduleName="[Name - FR]",TranslatemoduleName="[Name - ES]"),"",IF(InterventionsTranslate="[Name]","",InterventionsTranslate))</f>
        <v>Sexual and reproductive health services, including STIs, hepatitis, post-violence care for sex workers</v>
      </c>
      <c r="F23" s="32" t="s">
        <v>277</v>
      </c>
      <c r="G23" s="33" t="s">
        <v>257</v>
      </c>
      <c r="H23" s="32"/>
      <c r="I23" s="32" t="s">
        <v>278</v>
      </c>
      <c r="J23" s="32" t="s">
        <v>279</v>
      </c>
      <c r="K23" s="35" t="s">
        <v>280</v>
      </c>
      <c r="L23" s="37" t="str">
        <f t="shared" si="0"/>
        <v>MCI-01332</v>
      </c>
      <c r="M23" s="37" t="str">
        <f>IFERROR(LOOKUP(2,1/(COUNTIF($M$10:M22,$E$12:$E$322)=0),$E$12:$E$322),IF($M$12=M22,"",IF(M22&lt;&gt;"",$M$12,"")))</f>
        <v>RSSH/PP: Oxygen distribution and storage</v>
      </c>
      <c r="N23" s="37" t="b">
        <v>1</v>
      </c>
      <c r="O23" s="35">
        <v>1110</v>
      </c>
    </row>
    <row r="24" spans="2:15" x14ac:dyDescent="0.2">
      <c r="B24" s="35" t="s">
        <v>281</v>
      </c>
      <c r="C24" s="33" t="s">
        <v>104</v>
      </c>
      <c r="D24" s="32"/>
      <c r="E24" s="37" t="str">
        <f>IF(OR(TranslatemoduleName="[Name - FR]",TranslatemoduleName="[Name - ES]"),"",IF(InterventionsTranslate="[Name]","",InterventionsTranslate))</f>
        <v>Removing human rights-related barriers to prevention for sex workers</v>
      </c>
      <c r="F24" s="32" t="s">
        <v>282</v>
      </c>
      <c r="G24" s="33" t="s">
        <v>257</v>
      </c>
      <c r="H24" s="32"/>
      <c r="I24" s="32" t="s">
        <v>283</v>
      </c>
      <c r="J24" s="32" t="s">
        <v>284</v>
      </c>
      <c r="K24" s="35" t="s">
        <v>285</v>
      </c>
      <c r="L24" s="37" t="str">
        <f t="shared" si="0"/>
        <v>MCI-01333</v>
      </c>
      <c r="M24" s="37" t="str">
        <f>IFERROR(LOOKUP(2,1/(COUNTIF($M$10:M23,$E$12:$E$322)=0),$E$12:$E$322),IF($M$12=M23,"",IF(M23&lt;&gt;"",$M$12,"")))</f>
        <v>RSSH/PP: Bulk Oxygen supply</v>
      </c>
      <c r="N24" s="37" t="b">
        <v>1</v>
      </c>
      <c r="O24" s="35">
        <v>1120</v>
      </c>
    </row>
    <row r="25" spans="2:15" x14ac:dyDescent="0.2">
      <c r="B25" s="35" t="s">
        <v>286</v>
      </c>
      <c r="C25" s="33" t="s">
        <v>108</v>
      </c>
      <c r="D25" s="32"/>
      <c r="E25" s="37" t="str">
        <f>IF(OR(TranslatemoduleName="[Name - FR]",TranslatemoduleName="[Name - ES]"),"",IF(InterventionsTranslate="[Name]","",InterventionsTranslate))</f>
        <v>Condom and lubricant programing for transgender people</v>
      </c>
      <c r="F25" s="32" t="s">
        <v>287</v>
      </c>
      <c r="G25" s="33" t="s">
        <v>288</v>
      </c>
      <c r="H25" s="32"/>
      <c r="I25" s="32" t="s">
        <v>289</v>
      </c>
      <c r="J25" s="32" t="s">
        <v>290</v>
      </c>
      <c r="K25" s="35" t="s">
        <v>291</v>
      </c>
      <c r="L25" s="37" t="str">
        <f t="shared" si="0"/>
        <v>MCI-01438</v>
      </c>
      <c r="M25" s="37" t="str">
        <f>IFERROR(LOOKUP(2,1/(COUNTIF($M$10:M24,$E$12:$E$322)=0),$E$12:$E$322),IF($M$12=M24,"",IF(M24&lt;&gt;"",$M$12,"")))</f>
        <v>RSSH/PP: Biosafety and biosecurity, infrastructure and equipment</v>
      </c>
      <c r="N25" s="37" t="b">
        <v>1</v>
      </c>
      <c r="O25" s="35">
        <v>1130</v>
      </c>
    </row>
    <row r="26" spans="2:15" x14ac:dyDescent="0.2">
      <c r="B26" s="35" t="s">
        <v>292</v>
      </c>
      <c r="C26" s="33" t="s">
        <v>108</v>
      </c>
      <c r="D26" s="32"/>
      <c r="E26" s="37" t="str">
        <f>IF(OR(TranslatemoduleName="[Name - FR]",TranslatemoduleName="[Name - ES]"),"",IF(InterventionsTranslate="[Name]","",InterventionsTranslate))</f>
        <v>Pre-exposure prophylaxis (PrEP) programing for transgender people</v>
      </c>
      <c r="F26" s="32" t="s">
        <v>293</v>
      </c>
      <c r="G26" s="33" t="s">
        <v>288</v>
      </c>
      <c r="H26" s="32"/>
      <c r="I26" s="32" t="s">
        <v>294</v>
      </c>
      <c r="J26" s="32" t="s">
        <v>295</v>
      </c>
      <c r="K26" s="35" t="s">
        <v>296</v>
      </c>
      <c r="L26" s="37" t="str">
        <f t="shared" si="0"/>
        <v>MCI-01439</v>
      </c>
      <c r="M26" s="37" t="str">
        <f>IFERROR(LOOKUP(2,1/(COUNTIF($M$10:M25,$E$12:$E$322)=0),$E$12:$E$322),IF($M$12=M25,"",IF(M25&lt;&gt;"",$M$12,"")))</f>
        <v>RSSH/PP: Specimen referral and transport system</v>
      </c>
      <c r="N26" s="37" t="b">
        <v>1</v>
      </c>
      <c r="O26" s="35">
        <v>1140</v>
      </c>
    </row>
    <row r="27" spans="2:15" x14ac:dyDescent="0.2">
      <c r="B27" s="35" t="s">
        <v>297</v>
      </c>
      <c r="C27" s="33" t="s">
        <v>108</v>
      </c>
      <c r="D27" s="32"/>
      <c r="E27" s="37" t="str">
        <f>IF(OR(TranslatemoduleName="[Name - FR]",TranslatemoduleName="[Name - ES]"),"",IF(InterventionsTranslate="[Name]","",InterventionsTranslate))</f>
        <v>HIV prevention communication, information and demand creation for transgender people</v>
      </c>
      <c r="F27" s="32" t="s">
        <v>298</v>
      </c>
      <c r="G27" s="33" t="s">
        <v>288</v>
      </c>
      <c r="H27" s="32"/>
      <c r="I27" s="32" t="s">
        <v>299</v>
      </c>
      <c r="J27" s="32" t="s">
        <v>300</v>
      </c>
      <c r="K27" s="35" t="s">
        <v>301</v>
      </c>
      <c r="L27" s="37" t="str">
        <f t="shared" si="0"/>
        <v>MCI-01440</v>
      </c>
      <c r="M27" s="37" t="str">
        <f>IFERROR(LOOKUP(2,1/(COUNTIF($M$10:M26,$E$12:$E$322)=0),$E$12:$E$322),IF($M$12=M26,"",IF(M26&lt;&gt;"",$M$12,"")))</f>
        <v>RSSH/PP: Laboratory supply chain systems</v>
      </c>
      <c r="N27" s="37" t="b">
        <v>1</v>
      </c>
      <c r="O27" s="35">
        <v>1150</v>
      </c>
    </row>
    <row r="28" spans="2:15" x14ac:dyDescent="0.2">
      <c r="B28" s="35" t="s">
        <v>302</v>
      </c>
      <c r="C28" s="33" t="s">
        <v>108</v>
      </c>
      <c r="D28" s="32"/>
      <c r="E28" s="37" t="str">
        <f>IF(OR(TranslatemoduleName="[Name - FR]",TranslatemoduleName="[Name - ES]"),"",IF(InterventionsTranslate="[Name]","",InterventionsTranslate))</f>
        <v>Community empowerment for transgender people</v>
      </c>
      <c r="F28" s="32" t="s">
        <v>303</v>
      </c>
      <c r="G28" s="33" t="s">
        <v>288</v>
      </c>
      <c r="H28" s="32"/>
      <c r="I28" s="32" t="s">
        <v>304</v>
      </c>
      <c r="J28" s="32" t="s">
        <v>305</v>
      </c>
      <c r="K28" s="35" t="s">
        <v>306</v>
      </c>
      <c r="L28" s="37" t="str">
        <f t="shared" si="0"/>
        <v>MCI-01441</v>
      </c>
      <c r="M28" s="37" t="str">
        <f>IFERROR(LOOKUP(2,1/(COUNTIF($M$10:M27,$E$12:$E$322)=0),$E$12:$E$322),IF($M$12=M27,"",IF(M27&lt;&gt;"",$M$12,"")))</f>
        <v>RSSH/PP: Laboratory-based surveillance</v>
      </c>
      <c r="N28" s="37" t="b">
        <v>1</v>
      </c>
      <c r="O28" s="35">
        <v>1160</v>
      </c>
    </row>
    <row r="29" spans="2:15" x14ac:dyDescent="0.2">
      <c r="B29" s="35" t="s">
        <v>307</v>
      </c>
      <c r="C29" s="33" t="s">
        <v>108</v>
      </c>
      <c r="D29" s="32"/>
      <c r="E29" s="37" t="str">
        <f>IF(OR(TranslatemoduleName="[Name - FR]",TranslatemoduleName="[Name - ES]"),"",IF(InterventionsTranslate="[Name]","",InterventionsTranslate))</f>
        <v>Sexual and reproductive health services, including STIs, hepatitis, post-violence care for transgender people</v>
      </c>
      <c r="F29" s="32" t="s">
        <v>308</v>
      </c>
      <c r="G29" s="33" t="s">
        <v>288</v>
      </c>
      <c r="H29" s="32"/>
      <c r="I29" s="32" t="s">
        <v>309</v>
      </c>
      <c r="J29" s="32" t="s">
        <v>310</v>
      </c>
      <c r="K29" s="35" t="s">
        <v>311</v>
      </c>
      <c r="L29" s="37" t="str">
        <f t="shared" si="0"/>
        <v>MCI-01442</v>
      </c>
      <c r="M29" s="37" t="str">
        <f>IFERROR(LOOKUP(2,1/(COUNTIF($M$10:M28,$E$12:$E$322)=0),$E$12:$E$322),IF($M$12=M28,"",IF(M28&lt;&gt;"",$M$12,"")))</f>
        <v>RSSH/PP: Network optimization and geospatial analysis</v>
      </c>
      <c r="N29" s="37" t="b">
        <v>1</v>
      </c>
      <c r="O29" s="35">
        <v>1170</v>
      </c>
    </row>
    <row r="30" spans="2:15" x14ac:dyDescent="0.2">
      <c r="B30" s="35" t="s">
        <v>312</v>
      </c>
      <c r="C30" s="33" t="s">
        <v>108</v>
      </c>
      <c r="D30" s="32"/>
      <c r="E30" s="37" t="str">
        <f>IF(OR(TranslatemoduleName="[Name - FR]",TranslatemoduleName="[Name - ES]"),"",IF(InterventionsTranslate="[Name]","",InterventionsTranslate))</f>
        <v>Removing human rights-related barriers to prevention for transgender people</v>
      </c>
      <c r="F30" s="32" t="s">
        <v>313</v>
      </c>
      <c r="G30" s="33" t="s">
        <v>288</v>
      </c>
      <c r="H30" s="32"/>
      <c r="I30" s="32" t="s">
        <v>314</v>
      </c>
      <c r="J30" s="32" t="s">
        <v>315</v>
      </c>
      <c r="K30" s="35" t="s">
        <v>316</v>
      </c>
      <c r="L30" s="37" t="str">
        <f t="shared" si="0"/>
        <v>MCI-01443</v>
      </c>
      <c r="M30" s="37" t="str">
        <f>IFERROR(LOOKUP(2,1/(COUNTIF($M$10:M29,$E$12:$E$322)=0),$E$12:$E$322),IF($M$12=M29,"",IF(M29&lt;&gt;"",$M$12,"")))</f>
        <v>RSSH/PP: Laboratory Information systems</v>
      </c>
      <c r="N30" s="37" t="b">
        <v>1</v>
      </c>
      <c r="O30" s="35">
        <v>1180</v>
      </c>
    </row>
    <row r="31" spans="2:15" x14ac:dyDescent="0.2">
      <c r="B31" s="35" t="s">
        <v>317</v>
      </c>
      <c r="C31" s="33" t="s">
        <v>112</v>
      </c>
      <c r="D31" s="32"/>
      <c r="E31" s="37" t="str">
        <f>IF(OR(TranslatemoduleName="[Name - FR]",TranslatemoduleName="[Name - ES]"),"",IF(InterventionsTranslate="[Name]","",InterventionsTranslate))</f>
        <v>Needle and syringe programs for PWID</v>
      </c>
      <c r="F31" s="32" t="s">
        <v>318</v>
      </c>
      <c r="G31" s="33" t="s">
        <v>319</v>
      </c>
      <c r="H31" s="32"/>
      <c r="I31" s="32" t="s">
        <v>320</v>
      </c>
      <c r="J31" s="32" t="s">
        <v>321</v>
      </c>
      <c r="K31" s="35" t="s">
        <v>322</v>
      </c>
      <c r="L31" s="37" t="str">
        <f t="shared" si="0"/>
        <v>MCI-01334</v>
      </c>
      <c r="M31" s="37" t="str">
        <f>IFERROR(LOOKUP(2,1/(COUNTIF($M$10:M30,$E$12:$E$322)=0),$E$12:$E$322),IF($M$12=M30,"",IF(M30&lt;&gt;"",$M$12,"")))</f>
        <v>RSSH/PP: Quality management systems and accreditation</v>
      </c>
      <c r="N31" s="37" t="b">
        <v>1</v>
      </c>
      <c r="O31" s="35">
        <v>1190</v>
      </c>
    </row>
    <row r="32" spans="2:15" x14ac:dyDescent="0.2">
      <c r="B32" s="35" t="s">
        <v>323</v>
      </c>
      <c r="C32" s="33" t="s">
        <v>112</v>
      </c>
      <c r="D32" s="32"/>
      <c r="E32" s="37" t="str">
        <f>IF(OR(TranslatemoduleName="[Name - FR]",TranslatemoduleName="[Name - ES]"),"",IF(InterventionsTranslate="[Name]","",InterventionsTranslate))</f>
        <v>Opioid substitution therapy and other medically assisted drug dependence treatment for PWID</v>
      </c>
      <c r="F32" s="32" t="s">
        <v>324</v>
      </c>
      <c r="G32" s="33" t="s">
        <v>319</v>
      </c>
      <c r="H32" s="32"/>
      <c r="I32" s="32" t="s">
        <v>325</v>
      </c>
      <c r="J32" s="32" t="s">
        <v>326</v>
      </c>
      <c r="K32" s="35" t="s">
        <v>327</v>
      </c>
      <c r="L32" s="37" t="str">
        <f t="shared" si="0"/>
        <v>MCI-01335</v>
      </c>
      <c r="M32" s="37" t="str">
        <f>IFERROR(LOOKUP(2,1/(COUNTIF($M$10:M31,$E$12:$E$322)=0),$E$12:$E$322),IF($M$12=M31,"",IF(M31&lt;&gt;"",$M$12,"")))</f>
        <v>RSSH/PP: National laboratory governance and management structures</v>
      </c>
      <c r="N32" s="37" t="b">
        <v>1</v>
      </c>
      <c r="O32" s="35">
        <v>1200</v>
      </c>
    </row>
    <row r="33" spans="2:15" x14ac:dyDescent="0.2">
      <c r="B33" s="35" t="s">
        <v>328</v>
      </c>
      <c r="C33" s="33" t="s">
        <v>112</v>
      </c>
      <c r="D33" s="32"/>
      <c r="E33" s="37" t="str">
        <f>IF(OR(TranslatemoduleName="[Name - FR]",TranslatemoduleName="[Name - ES]"),"",IF(InterventionsTranslate="[Name]","",InterventionsTranslate))</f>
        <v>Overdose prevention and management for PWID</v>
      </c>
      <c r="F33" s="32" t="s">
        <v>329</v>
      </c>
      <c r="G33" s="33" t="s">
        <v>319</v>
      </c>
      <c r="H33" s="32"/>
      <c r="I33" s="32" t="s">
        <v>330</v>
      </c>
      <c r="J33" s="32" t="s">
        <v>331</v>
      </c>
      <c r="K33" s="35" t="s">
        <v>332</v>
      </c>
      <c r="L33" s="37" t="str">
        <f t="shared" si="0"/>
        <v>MCI-01336</v>
      </c>
      <c r="M33" s="37" t="str">
        <f>IFERROR(LOOKUP(2,1/(COUNTIF($M$10:M32,$E$12:$E$322)=0),$E$12:$E$322),IF($M$12=M32,"",IF(M32&lt;&gt;"",$M$12,"")))</f>
        <v>RSSH/PP: Community health workers: Integrated supportive supervision</v>
      </c>
      <c r="N33" s="37" t="b">
        <v>1</v>
      </c>
      <c r="O33" s="35">
        <v>1210</v>
      </c>
    </row>
    <row r="34" spans="2:15" x14ac:dyDescent="0.2">
      <c r="B34" s="35" t="s">
        <v>333</v>
      </c>
      <c r="C34" s="33" t="s">
        <v>112</v>
      </c>
      <c r="D34" s="32"/>
      <c r="E34" s="37" t="str">
        <f>IF(OR(TranslatemoduleName="[Name - FR]",TranslatemoduleName="[Name - ES]"),"",IF(InterventionsTranslate="[Name]","",InterventionsTranslate))</f>
        <v>Condom and lubricant programing for PUD</v>
      </c>
      <c r="F34" s="32" t="s">
        <v>334</v>
      </c>
      <c r="G34" s="33" t="s">
        <v>319</v>
      </c>
      <c r="H34" s="32"/>
      <c r="I34" s="32" t="s">
        <v>335</v>
      </c>
      <c r="J34" s="32" t="s">
        <v>336</v>
      </c>
      <c r="K34" s="35" t="s">
        <v>337</v>
      </c>
      <c r="L34" s="37" t="str">
        <f t="shared" si="0"/>
        <v>MCI-01337</v>
      </c>
      <c r="M34" s="37" t="str">
        <f>IFERROR(LOOKUP(2,1/(COUNTIF($M$10:M33,$E$12:$E$322)=0),$E$12:$E$322),IF($M$12=M33,"",IF(M33&lt;&gt;"",$M$12,"")))</f>
        <v>RSSH/PP: Community health workers: In-service training</v>
      </c>
      <c r="N34" s="37" t="b">
        <v>1</v>
      </c>
      <c r="O34" s="35">
        <v>1220</v>
      </c>
    </row>
    <row r="35" spans="2:15" x14ac:dyDescent="0.2">
      <c r="B35" s="35" t="s">
        <v>338</v>
      </c>
      <c r="C35" s="33" t="s">
        <v>112</v>
      </c>
      <c r="D35" s="32"/>
      <c r="E35" s="37" t="str">
        <f>IF(OR(TranslatemoduleName="[Name - FR]",TranslatemoduleName="[Name - ES]"),"",IF(InterventionsTranslate="[Name]","",InterventionsTranslate))</f>
        <v>Pre-exposure prophylaxis (PrEP) programing for PUD</v>
      </c>
      <c r="F35" s="32" t="s">
        <v>339</v>
      </c>
      <c r="G35" s="33" t="s">
        <v>319</v>
      </c>
      <c r="H35" s="32"/>
      <c r="I35" s="32" t="s">
        <v>340</v>
      </c>
      <c r="J35" s="32" t="s">
        <v>341</v>
      </c>
      <c r="K35" s="35" t="s">
        <v>342</v>
      </c>
      <c r="L35" s="37" t="str">
        <f t="shared" si="0"/>
        <v>MCI-01338</v>
      </c>
      <c r="M35" s="37" t="str">
        <f>IFERROR(LOOKUP(2,1/(COUNTIF($M$10:M34,$E$12:$E$322)=0),$E$12:$E$322),IF($M$12=M34,"",IF(M34&lt;&gt;"",$M$12,"")))</f>
        <v>RSSH/PP: Community health workers: contracting, remuneration and retention</v>
      </c>
      <c r="N35" s="37" t="b">
        <v>1</v>
      </c>
      <c r="O35" s="35">
        <v>1230</v>
      </c>
    </row>
    <row r="36" spans="2:15" x14ac:dyDescent="0.2">
      <c r="B36" s="35" t="s">
        <v>343</v>
      </c>
      <c r="C36" s="33" t="s">
        <v>112</v>
      </c>
      <c r="D36" s="32"/>
      <c r="E36" s="37" t="str">
        <f>IF(OR(TranslatemoduleName="[Name - FR]",TranslatemoduleName="[Name - ES]"),"",IF(InterventionsTranslate="[Name]","",InterventionsTranslate))</f>
        <v>HIV prevention communication, information and demand creation for PUD</v>
      </c>
      <c r="F36" s="32" t="s">
        <v>344</v>
      </c>
      <c r="G36" s="33" t="s">
        <v>319</v>
      </c>
      <c r="H36" s="32"/>
      <c r="I36" s="32" t="s">
        <v>345</v>
      </c>
      <c r="J36" s="32" t="s">
        <v>346</v>
      </c>
      <c r="K36" s="35" t="s">
        <v>347</v>
      </c>
      <c r="L36" s="37" t="str">
        <f t="shared" si="0"/>
        <v>MCI-01339</v>
      </c>
      <c r="M36" s="37" t="str">
        <f>IFERROR(LOOKUP(2,1/(COUNTIF($M$10:M35,$E$12:$E$322)=0),$E$12:$E$322),IF($M$12=M35,"",IF(M35&lt;&gt;"",$M$12,"")))</f>
        <v>RSSH/PP: Community health workers: selection, pre-service training and certification</v>
      </c>
      <c r="N36" s="37" t="b">
        <v>1</v>
      </c>
      <c r="O36" s="35">
        <v>1240</v>
      </c>
    </row>
    <row r="37" spans="2:15" x14ac:dyDescent="0.2">
      <c r="B37" s="35" t="s">
        <v>348</v>
      </c>
      <c r="C37" s="33" t="s">
        <v>112</v>
      </c>
      <c r="D37" s="32"/>
      <c r="E37" s="37" t="str">
        <f>IF(OR(TranslatemoduleName="[Name - FR]",TranslatemoduleName="[Name - ES]"),"",IF(InterventionsTranslate="[Name]","",InterventionsTranslate))</f>
        <v>Community empowerment for PUD</v>
      </c>
      <c r="F37" s="32" t="s">
        <v>349</v>
      </c>
      <c r="G37" s="33" t="s">
        <v>319</v>
      </c>
      <c r="H37" s="32"/>
      <c r="I37" s="32" t="s">
        <v>350</v>
      </c>
      <c r="J37" s="32" t="s">
        <v>351</v>
      </c>
      <c r="K37" s="35" t="s">
        <v>352</v>
      </c>
      <c r="L37" s="37" t="str">
        <f t="shared" si="0"/>
        <v>MCI-01340</v>
      </c>
      <c r="M37" s="37" t="str">
        <f>IFERROR(LOOKUP(2,1/(COUNTIF($M$10:M36,$E$12:$E$322)=0),$E$12:$E$322),IF($M$12=M36,"",IF(M36&lt;&gt;"",$M$12,"")))</f>
        <v>RSSH/PP: Quality improvement and capacity building for quality of care</v>
      </c>
      <c r="N37" s="37" t="b">
        <v>1</v>
      </c>
      <c r="O37" s="35">
        <v>1250</v>
      </c>
    </row>
    <row r="38" spans="2:15" x14ac:dyDescent="0.2">
      <c r="B38" s="35" t="s">
        <v>353</v>
      </c>
      <c r="C38" s="33" t="s">
        <v>112</v>
      </c>
      <c r="D38" s="32"/>
      <c r="E38" s="37" t="str">
        <f>IF(OR(TranslatemoduleName="[Name - FR]",TranslatemoduleName="[Name - ES]"),"",IF(InterventionsTranslate="[Name]","",InterventionsTranslate))</f>
        <v>Sexual and reproductive health services, including STIs, hepatitis, post-violence care for PUD</v>
      </c>
      <c r="F38" s="32" t="s">
        <v>354</v>
      </c>
      <c r="G38" s="33" t="s">
        <v>319</v>
      </c>
      <c r="H38" s="32"/>
      <c r="I38" s="32" t="s">
        <v>355</v>
      </c>
      <c r="J38" s="32" t="s">
        <v>356</v>
      </c>
      <c r="K38" s="35" t="s">
        <v>357</v>
      </c>
      <c r="L38" s="37" t="str">
        <f t="shared" si="0"/>
        <v>MCI-01341</v>
      </c>
      <c r="M38" s="37" t="str">
        <f>IFERROR(LOOKUP(2,1/(COUNTIF($M$10:M37,$E$12:$E$322)=0),$E$12:$E$322),IF($M$12=M37,"",IF(M37&lt;&gt;"",$M$12,"")))</f>
        <v>RSSH/PP: Integrated supportive supervision for health workers (excluding CHWs)</v>
      </c>
      <c r="N38" s="37" t="b">
        <v>1</v>
      </c>
      <c r="O38" s="35">
        <v>1260</v>
      </c>
    </row>
    <row r="39" spans="2:15" x14ac:dyDescent="0.2">
      <c r="B39" s="35" t="s">
        <v>358</v>
      </c>
      <c r="C39" s="33" t="s">
        <v>112</v>
      </c>
      <c r="D39" s="32"/>
      <c r="E39" s="37" t="str">
        <f>IF(OR(TranslatemoduleName="[Name - FR]",TranslatemoduleName="[Name - ES]"),"",IF(InterventionsTranslate="[Name]","",InterventionsTranslate))</f>
        <v>Removing human rights-related barriers to prevention for PUD</v>
      </c>
      <c r="F39" s="32" t="s">
        <v>359</v>
      </c>
      <c r="G39" s="33" t="s">
        <v>319</v>
      </c>
      <c r="H39" s="32"/>
      <c r="I39" s="32" t="s">
        <v>360</v>
      </c>
      <c r="J39" s="32" t="s">
        <v>361</v>
      </c>
      <c r="K39" s="35" t="s">
        <v>362</v>
      </c>
      <c r="L39" s="37" t="str">
        <f t="shared" si="0"/>
        <v>MCI-01342</v>
      </c>
      <c r="M39" s="37" t="str">
        <f>IFERROR(LOOKUP(2,1/(COUNTIF($M$10:M38,$E$12:$E$322)=0),$E$12:$E$322),IF($M$12=M38,"",IF(M38&lt;&gt;"",$M$12,"")))</f>
        <v>RSSH/PP: In-service training (excluding community health workers)</v>
      </c>
      <c r="N39" s="37" t="b">
        <v>1</v>
      </c>
      <c r="O39" s="35">
        <v>1270</v>
      </c>
    </row>
    <row r="40" spans="2:15" x14ac:dyDescent="0.2">
      <c r="B40" s="35" t="s">
        <v>363</v>
      </c>
      <c r="C40" s="33" t="s">
        <v>116</v>
      </c>
      <c r="D40" s="32"/>
      <c r="E40" s="37" t="str">
        <f>IF(OR(TranslatemoduleName="[Name - FR]",TranslatemoduleName="[Name - ES]"),"",IF(InterventionsTranslate="[Name]","",InterventionsTranslate))</f>
        <v>Condom and lubricant programing for prisoners</v>
      </c>
      <c r="F40" s="32" t="s">
        <v>364</v>
      </c>
      <c r="G40" s="33" t="s">
        <v>365</v>
      </c>
      <c r="H40" s="32"/>
      <c r="I40" s="32" t="s">
        <v>366</v>
      </c>
      <c r="J40" s="32" t="s">
        <v>367</v>
      </c>
      <c r="K40" s="35" t="s">
        <v>368</v>
      </c>
      <c r="L40" s="37" t="str">
        <f t="shared" si="0"/>
        <v>MCI-01444</v>
      </c>
      <c r="M40" s="37" t="str">
        <f>IFERROR(LOOKUP(2,1/(COUNTIF($M$10:M39,$E$12:$E$322)=0),$E$12:$E$322),IF($M$12=M39,"",IF(M39&lt;&gt;"",$M$12,"")))</f>
        <v>RSSH/PP: Remuneration and deployment of existing/new staff (excluding community health workers)</v>
      </c>
      <c r="N40" s="37" t="b">
        <v>1</v>
      </c>
      <c r="O40" s="35">
        <v>1280</v>
      </c>
    </row>
    <row r="41" spans="2:15" x14ac:dyDescent="0.2">
      <c r="B41" s="35" t="s">
        <v>369</v>
      </c>
      <c r="C41" s="33" t="s">
        <v>116</v>
      </c>
      <c r="D41" s="32"/>
      <c r="E41" s="37" t="str">
        <f>IF(OR(TranslatemoduleName="[Name - FR]",TranslatemoduleName="[Name - ES]"),"",IF(InterventionsTranslate="[Name]","",InterventionsTranslate))</f>
        <v>Pre-exposure prophylaxis (PrEP) programing for prisoners</v>
      </c>
      <c r="F41" s="32" t="s">
        <v>370</v>
      </c>
      <c r="G41" s="33" t="s">
        <v>365</v>
      </c>
      <c r="H41" s="32"/>
      <c r="I41" s="32" t="s">
        <v>371</v>
      </c>
      <c r="J41" s="32" t="s">
        <v>372</v>
      </c>
      <c r="K41" s="35" t="s">
        <v>373</v>
      </c>
      <c r="L41" s="37" t="str">
        <f t="shared" si="0"/>
        <v>MCI-01445</v>
      </c>
      <c r="M41" s="37" t="str">
        <f>IFERROR(LOOKUP(2,1/(COUNTIF($M$10:M40,$E$12:$E$322)=0),$E$12:$E$322),IF($M$12=M40,"",IF(M40&lt;&gt;"",$M$12,"")))</f>
        <v>RSSH/PP: Education and production of new health workers (excluding community health workers)</v>
      </c>
      <c r="N41" s="37" t="b">
        <v>1</v>
      </c>
      <c r="O41" s="35">
        <v>1290</v>
      </c>
    </row>
    <row r="42" spans="2:15" x14ac:dyDescent="0.2">
      <c r="B42" s="35" t="s">
        <v>374</v>
      </c>
      <c r="C42" s="33" t="s">
        <v>116</v>
      </c>
      <c r="D42" s="32"/>
      <c r="E42" s="37" t="str">
        <f>IF(OR(TranslatemoduleName="[Name - FR]",TranslatemoduleName="[Name - ES]"),"",IF(InterventionsTranslate="[Name]","",InterventionsTranslate))</f>
        <v>HIV prevention communication, information and demand creation for prisoners</v>
      </c>
      <c r="F42" s="32" t="s">
        <v>375</v>
      </c>
      <c r="G42" s="33" t="s">
        <v>365</v>
      </c>
      <c r="H42" s="32"/>
      <c r="I42" s="32" t="s">
        <v>376</v>
      </c>
      <c r="J42" s="32" t="s">
        <v>377</v>
      </c>
      <c r="K42" s="35" t="s">
        <v>378</v>
      </c>
      <c r="L42" s="37" t="str">
        <f t="shared" si="0"/>
        <v>MCI-01446</v>
      </c>
      <c r="M42" s="37" t="str">
        <f>IFERROR(LOOKUP(2,1/(COUNTIF($M$10:M41,$E$12:$E$322)=0),$E$12:$E$322),IF($M$12=M41,"",IF(M41&lt;&gt;"",$M$12,"")))</f>
        <v>RSSH/PP: HRH planning, management and governance including for community health workers (CHWs)</v>
      </c>
      <c r="N42" s="37" t="b">
        <v>1</v>
      </c>
      <c r="O42" s="35">
        <v>1300</v>
      </c>
    </row>
    <row r="43" spans="2:15" x14ac:dyDescent="0.2">
      <c r="B43" s="35" t="s">
        <v>379</v>
      </c>
      <c r="C43" s="33" t="s">
        <v>116</v>
      </c>
      <c r="D43" s="32"/>
      <c r="E43" s="37" t="str">
        <f>IF(OR(TranslatemoduleName="[Name - FR]",TranslatemoduleName="[Name - ES]"),"",IF(InterventionsTranslate="[Name]","",InterventionsTranslate))</f>
        <v>Sexual and reproductive health services, including STIs, hepatitis, post-violence care for prisoners</v>
      </c>
      <c r="F43" s="32" t="s">
        <v>380</v>
      </c>
      <c r="G43" s="33" t="s">
        <v>365</v>
      </c>
      <c r="H43" s="32"/>
      <c r="I43" s="32" t="s">
        <v>381</v>
      </c>
      <c r="J43" s="32" t="s">
        <v>382</v>
      </c>
      <c r="K43" s="35" t="s">
        <v>383</v>
      </c>
      <c r="L43" s="37" t="str">
        <f t="shared" si="0"/>
        <v>MCI-01447</v>
      </c>
      <c r="M43" s="37" t="str">
        <f>IFERROR(LOOKUP(2,1/(COUNTIF($M$10:M42,$E$12:$E$322)=0),$E$12:$E$322),IF($M$12=M42,"",IF(M42&lt;&gt;"",$M$12,"")))</f>
        <v>Augmenting national supply chain system with outsourcing</v>
      </c>
      <c r="N43" s="37" t="b">
        <v>1</v>
      </c>
      <c r="O43" s="35">
        <v>1310</v>
      </c>
    </row>
    <row r="44" spans="2:15" x14ac:dyDescent="0.2">
      <c r="B44" s="35" t="s">
        <v>384</v>
      </c>
      <c r="C44" s="33" t="s">
        <v>116</v>
      </c>
      <c r="D44" s="32"/>
      <c r="E44" s="37" t="str">
        <f>IF(OR(TranslatemoduleName="[Name - FR]",TranslatemoduleName="[Name - ES]"),"",IF(InterventionsTranslate="[Name]","",InterventionsTranslate))</f>
        <v>Harm reduction interventions for drug use for prisoners</v>
      </c>
      <c r="F44" s="32" t="s">
        <v>385</v>
      </c>
      <c r="G44" s="33" t="s">
        <v>365</v>
      </c>
      <c r="H44" s="32"/>
      <c r="I44" s="32" t="s">
        <v>386</v>
      </c>
      <c r="J44" s="32" t="s">
        <v>387</v>
      </c>
      <c r="K44" s="35" t="s">
        <v>388</v>
      </c>
      <c r="L44" s="37" t="str">
        <f t="shared" si="0"/>
        <v>MCI-01448</v>
      </c>
      <c r="M44" s="37" t="str">
        <f>IFERROR(LOOKUP(2,1/(COUNTIF($M$10:M43,$E$12:$E$322)=0),$E$12:$E$322),IF($M$12=M43,"",IF(M43&lt;&gt;"",$M$12,"")))</f>
        <v>Supply chain information systems</v>
      </c>
      <c r="N44" s="37" t="b">
        <v>1</v>
      </c>
      <c r="O44" s="35">
        <v>1320</v>
      </c>
    </row>
    <row r="45" spans="2:15" x14ac:dyDescent="0.2">
      <c r="B45" s="35" t="s">
        <v>389</v>
      </c>
      <c r="C45" s="33" t="s">
        <v>116</v>
      </c>
      <c r="D45" s="32"/>
      <c r="E45" s="37" t="str">
        <f>IF(OR(TranslatemoduleName="[Name - FR]",TranslatemoduleName="[Name - ES]"),"",IF(InterventionsTranslate="[Name]","",InterventionsTranslate))</f>
        <v>Removing human rights-related barriers to prevention for prisoners</v>
      </c>
      <c r="F45" s="32" t="s">
        <v>390</v>
      </c>
      <c r="G45" s="33" t="s">
        <v>365</v>
      </c>
      <c r="H45" s="32"/>
      <c r="I45" s="32" t="s">
        <v>391</v>
      </c>
      <c r="J45" s="32" t="s">
        <v>392</v>
      </c>
      <c r="K45" s="35" t="s">
        <v>393</v>
      </c>
      <c r="L45" s="37" t="str">
        <f t="shared" si="0"/>
        <v>MCI-01449</v>
      </c>
      <c r="M45" s="37" t="str">
        <f>IFERROR(LOOKUP(2,1/(COUNTIF($M$10:M44,$E$12:$E$322)=0),$E$12:$E$322),IF($M$12=M44,"",IF(M44&lt;&gt;"",$M$12,"")))</f>
        <v>Avoidance, reduction and management of health care waste</v>
      </c>
      <c r="N45" s="37" t="b">
        <v>1</v>
      </c>
      <c r="O45" s="35">
        <v>1330</v>
      </c>
    </row>
    <row r="46" spans="2:15" x14ac:dyDescent="0.2">
      <c r="B46" s="35" t="s">
        <v>394</v>
      </c>
      <c r="C46" s="33" t="s">
        <v>120</v>
      </c>
      <c r="D46" s="32"/>
      <c r="E46" s="37" t="str">
        <f>IF(OR(TranslatemoduleName="[Name - FR]",TranslatemoduleName="[Name - ES]"),"",IF(InterventionsTranslate="[Name]","",InterventionsTranslate))</f>
        <v>Condom and lubricant programing for OVP</v>
      </c>
      <c r="F46" s="32" t="s">
        <v>395</v>
      </c>
      <c r="G46" s="33" t="s">
        <v>396</v>
      </c>
      <c r="H46" s="32"/>
      <c r="I46" s="32" t="s">
        <v>397</v>
      </c>
      <c r="J46" s="32" t="s">
        <v>398</v>
      </c>
      <c r="K46" s="35" t="s">
        <v>399</v>
      </c>
      <c r="L46" s="37" t="str">
        <f t="shared" si="0"/>
        <v>MCI-01343</v>
      </c>
      <c r="M46" s="37" t="str">
        <f>IFERROR(LOOKUP(2,1/(COUNTIF($M$10:M45,$E$12:$E$322)=0),$E$12:$E$322),IF($M$12=M45,"",IF(M45&lt;&gt;"",$M$12,"")))</f>
        <v>Regulatory/quality assurance support</v>
      </c>
      <c r="N46" s="37" t="b">
        <v>1</v>
      </c>
      <c r="O46" s="35">
        <v>1340</v>
      </c>
    </row>
    <row r="47" spans="2:15" x14ac:dyDescent="0.2">
      <c r="B47" s="35" t="s">
        <v>400</v>
      </c>
      <c r="C47" s="33" t="s">
        <v>120</v>
      </c>
      <c r="D47" s="32"/>
      <c r="E47" s="37" t="str">
        <f>IF(OR(TranslatemoduleName="[Name - FR]",TranslatemoduleName="[Name - ES]"),"",IF(InterventionsTranslate="[Name]","",InterventionsTranslate))</f>
        <v>Pre-exposure prophylaxis (PrEP) programing for OVP</v>
      </c>
      <c r="F47" s="32" t="s">
        <v>401</v>
      </c>
      <c r="G47" s="33" t="s">
        <v>396</v>
      </c>
      <c r="H47" s="32"/>
      <c r="I47" s="32" t="s">
        <v>402</v>
      </c>
      <c r="J47" s="32" t="s">
        <v>403</v>
      </c>
      <c r="K47" s="35" t="s">
        <v>404</v>
      </c>
      <c r="L47" s="37" t="str">
        <f t="shared" si="0"/>
        <v>MCI-01344</v>
      </c>
      <c r="M47" s="37" t="str">
        <f>IFERROR(LOOKUP(2,1/(COUNTIF($M$10:M46,$E$12:$E$322)=0),$E$12:$E$322),IF($M$12=M46,"",IF(M46&lt;&gt;"",$M$12,"")))</f>
        <v>Planning and procurement capacity</v>
      </c>
      <c r="N47" s="37" t="b">
        <v>1</v>
      </c>
      <c r="O47" s="35">
        <v>1350</v>
      </c>
    </row>
    <row r="48" spans="2:15" x14ac:dyDescent="0.2">
      <c r="B48" s="35" t="s">
        <v>405</v>
      </c>
      <c r="C48" s="33" t="s">
        <v>120</v>
      </c>
      <c r="D48" s="32"/>
      <c r="E48" s="37" t="str">
        <f>IF(OR(TranslatemoduleName="[Name - FR]",TranslatemoduleName="[Name - ES]"),"",IF(InterventionsTranslate="[Name]","",InterventionsTranslate))</f>
        <v>HIV prevention communication, information and demand creation for OVP</v>
      </c>
      <c r="F48" s="32" t="s">
        <v>406</v>
      </c>
      <c r="G48" s="33" t="s">
        <v>396</v>
      </c>
      <c r="H48" s="32"/>
      <c r="I48" s="32" t="s">
        <v>407</v>
      </c>
      <c r="J48" s="32" t="s">
        <v>408</v>
      </c>
      <c r="K48" s="35" t="s">
        <v>409</v>
      </c>
      <c r="L48" s="37" t="str">
        <f t="shared" si="0"/>
        <v>MCI-01345</v>
      </c>
      <c r="M48" s="37" t="str">
        <f>IFERROR(LOOKUP(2,1/(COUNTIF($M$10:M47,$E$12:$E$322)=0),$E$12:$E$322),IF($M$12=M47,"",IF(M47&lt;&gt;"",$M$12,"")))</f>
        <v>Storage and distribution capacity, design &amp; operations</v>
      </c>
      <c r="N48" s="37" t="b">
        <v>1</v>
      </c>
      <c r="O48" s="35">
        <v>1360</v>
      </c>
    </row>
    <row r="49" spans="2:15" x14ac:dyDescent="0.2">
      <c r="B49" s="35" t="s">
        <v>410</v>
      </c>
      <c r="C49" s="33" t="s">
        <v>120</v>
      </c>
      <c r="D49" s="32"/>
      <c r="E49" s="37" t="str">
        <f>IF(OR(TranslatemoduleName="[Name - FR]",TranslatemoduleName="[Name - ES]"),"",IF(InterventionsTranslate="[Name]","",InterventionsTranslate))</f>
        <v>Community empowerment for OVP</v>
      </c>
      <c r="F49" s="32" t="s">
        <v>411</v>
      </c>
      <c r="G49" s="33" t="s">
        <v>396</v>
      </c>
      <c r="H49" s="32"/>
      <c r="I49" s="32" t="s">
        <v>412</v>
      </c>
      <c r="J49" s="32" t="s">
        <v>413</v>
      </c>
      <c r="K49" s="35" t="s">
        <v>414</v>
      </c>
      <c r="L49" s="37" t="str">
        <f t="shared" si="0"/>
        <v>MCI-01346</v>
      </c>
      <c r="M49" s="37" t="str">
        <f>IFERROR(LOOKUP(2,1/(COUNTIF($M$10:M48,$E$12:$E$322)=0),$E$12:$E$322),IF($M$12=M48,"",IF(M48&lt;&gt;"",$M$12,"")))</f>
        <v>Policy, strategy, governance</v>
      </c>
      <c r="N49" s="37" t="b">
        <v>1</v>
      </c>
      <c r="O49" s="35">
        <v>1370</v>
      </c>
    </row>
    <row r="50" spans="2:15" x14ac:dyDescent="0.2">
      <c r="B50" s="35" t="s">
        <v>415</v>
      </c>
      <c r="C50" s="33" t="s">
        <v>120</v>
      </c>
      <c r="D50" s="32"/>
      <c r="E50" s="37" t="str">
        <f>IF(OR(TranslatemoduleName="[Name - FR]",TranslatemoduleName="[Name - ES]"),"",IF(InterventionsTranslate="[Name]","",InterventionsTranslate))</f>
        <v>Sexual and reproductive health services, including STIs, hepatitis, post-violence care for OVP</v>
      </c>
      <c r="F50" s="32" t="s">
        <v>416</v>
      </c>
      <c r="G50" s="33" t="s">
        <v>396</v>
      </c>
      <c r="H50" s="32"/>
      <c r="I50" s="32" t="s">
        <v>417</v>
      </c>
      <c r="J50" s="32" t="s">
        <v>418</v>
      </c>
      <c r="K50" s="35" t="s">
        <v>419</v>
      </c>
      <c r="L50" s="37" t="str">
        <f t="shared" si="0"/>
        <v>MCI-01347</v>
      </c>
      <c r="M50" s="37" t="str">
        <f>IFERROR(LOOKUP(2,1/(COUNTIF($M$10:M49,$E$12:$E$322)=0),$E$12:$E$322),IF($M$12=M49,"",IF(M49&lt;&gt;"",$M$12,"")))</f>
        <v>Blended financing arrangements</v>
      </c>
      <c r="N50" s="37" t="b">
        <v>1</v>
      </c>
      <c r="O50" s="35">
        <v>1380</v>
      </c>
    </row>
    <row r="51" spans="2:15" x14ac:dyDescent="0.2">
      <c r="B51" s="35" t="s">
        <v>420</v>
      </c>
      <c r="C51" s="33" t="s">
        <v>120</v>
      </c>
      <c r="D51" s="32"/>
      <c r="E51" s="37" t="str">
        <f>IF(OR(TranslatemoduleName="[Name - FR]",TranslatemoduleName="[Name - ES]"),"",IF(InterventionsTranslate="[Name]","",InterventionsTranslate))</f>
        <v>Removing human rights-related barriers to prevention for OVP</v>
      </c>
      <c r="F51" s="32" t="s">
        <v>421</v>
      </c>
      <c r="G51" s="33" t="s">
        <v>396</v>
      </c>
      <c r="H51" s="32"/>
      <c r="I51" s="32" t="s">
        <v>422</v>
      </c>
      <c r="J51" s="32" t="s">
        <v>423</v>
      </c>
      <c r="K51" s="35" t="s">
        <v>424</v>
      </c>
      <c r="L51" s="37" t="str">
        <f t="shared" si="0"/>
        <v>MCI-01348</v>
      </c>
      <c r="M51" s="37" t="str">
        <f>IFERROR(LOOKUP(2,1/(COUNTIF($M$10:M50,$E$12:$E$322)=0),$E$12:$E$322),IF($M$12=M50,"",IF(M50&lt;&gt;"",$M$12,"")))</f>
        <v>Health financing data and analytics</v>
      </c>
      <c r="N51" s="37" t="b">
        <v>1</v>
      </c>
      <c r="O51" s="35">
        <v>1390</v>
      </c>
    </row>
    <row r="52" spans="2:15" x14ac:dyDescent="0.2">
      <c r="B52" s="35" t="s">
        <v>425</v>
      </c>
      <c r="C52" s="33" t="s">
        <v>124</v>
      </c>
      <c r="D52" s="32"/>
      <c r="E52" s="37" t="str">
        <f>IF(OR(TranslatemoduleName="[Name - FR]",TranslatemoduleName="[Name - ES]"),"",IF(InterventionsTranslate="[Name]","",InterventionsTranslate))</f>
        <v>Condom and lubricant programing for AGYW in high HIV incidence settings</v>
      </c>
      <c r="F52" s="32" t="s">
        <v>426</v>
      </c>
      <c r="G52" s="33" t="s">
        <v>427</v>
      </c>
      <c r="H52" s="32"/>
      <c r="I52" s="32" t="s">
        <v>428</v>
      </c>
      <c r="J52" s="32" t="s">
        <v>429</v>
      </c>
      <c r="K52" s="35" t="s">
        <v>430</v>
      </c>
      <c r="L52" s="37" t="str">
        <f t="shared" si="0"/>
        <v>MCI-01510</v>
      </c>
      <c r="M52" s="37" t="str">
        <f>IFERROR(LOOKUP(2,1/(COUNTIF($M$10:M51,$E$12:$E$322)=0),$E$12:$E$322),IF($M$12=M51,"",IF(M51&lt;&gt;"",$M$12,"")))</f>
        <v>Social contracting</v>
      </c>
      <c r="N52" s="37" t="b">
        <v>1</v>
      </c>
      <c r="O52" s="35">
        <v>1400</v>
      </c>
    </row>
    <row r="53" spans="2:15" x14ac:dyDescent="0.2">
      <c r="B53" s="35" t="s">
        <v>431</v>
      </c>
      <c r="C53" s="33" t="s">
        <v>124</v>
      </c>
      <c r="D53" s="32"/>
      <c r="E53" s="37" t="str">
        <f>IF(OR(TranslatemoduleName="[Name - FR]",TranslatemoduleName="[Name - ES]"),"",IF(InterventionsTranslate="[Name]","",InterventionsTranslate))</f>
        <v>Condom and lubricant programing for male sexual partners of AGYW in high HIV incidence settings</v>
      </c>
      <c r="F53" s="32" t="s">
        <v>432</v>
      </c>
      <c r="G53" s="33" t="s">
        <v>427</v>
      </c>
      <c r="H53" s="32"/>
      <c r="I53" s="32" t="s">
        <v>433</v>
      </c>
      <c r="J53" s="32" t="s">
        <v>434</v>
      </c>
      <c r="K53" s="35" t="s">
        <v>435</v>
      </c>
      <c r="L53" s="37" t="str">
        <f t="shared" si="0"/>
        <v>MCI-01511</v>
      </c>
      <c r="M53" s="37" t="str">
        <f>IFERROR(LOOKUP(2,1/(COUNTIF($M$10:M52,$E$12:$E$322)=0),$E$12:$E$322),IF($M$12=M52,"",IF(M52&lt;&gt;"",$M$12,"")))</f>
        <v>Community-led advocacy and monitoring of domestic resource mobilization</v>
      </c>
      <c r="N53" s="37" t="b">
        <v>1</v>
      </c>
      <c r="O53" s="35">
        <v>1410</v>
      </c>
    </row>
    <row r="54" spans="2:15" x14ac:dyDescent="0.2">
      <c r="B54" s="35" t="s">
        <v>436</v>
      </c>
      <c r="C54" s="33" t="s">
        <v>124</v>
      </c>
      <c r="D54" s="32"/>
      <c r="E54" s="37" t="str">
        <f>IF(OR(TranslatemoduleName="[Name - FR]",TranslatemoduleName="[Name - ES]"),"",IF(InterventionsTranslate="[Name]","",InterventionsTranslate))</f>
        <v>HIV prevention communication, information and demand creation for AGYW in high HIV incidence settings</v>
      </c>
      <c r="F54" s="32" t="s">
        <v>437</v>
      </c>
      <c r="G54" s="33" t="s">
        <v>427</v>
      </c>
      <c r="H54" s="32"/>
      <c r="I54" s="32" t="s">
        <v>438</v>
      </c>
      <c r="J54" s="32" t="s">
        <v>439</v>
      </c>
      <c r="K54" s="35" t="s">
        <v>440</v>
      </c>
      <c r="L54" s="37" t="str">
        <f t="shared" si="0"/>
        <v>MCI-01512</v>
      </c>
      <c r="M54" s="37" t="str">
        <f>IFERROR(LOOKUP(2,1/(COUNTIF($M$10:M53,$E$12:$E$322)=0),$E$12:$E$322),IF($M$12=M53,"",IF(M53&lt;&gt;"",$M$12,"")))</f>
        <v>Routine financial management systems</v>
      </c>
      <c r="N54" s="37" t="b">
        <v>1</v>
      </c>
      <c r="O54" s="35">
        <v>1420</v>
      </c>
    </row>
    <row r="55" spans="2:15" x14ac:dyDescent="0.2">
      <c r="B55" s="35" t="s">
        <v>441</v>
      </c>
      <c r="C55" s="33" t="s">
        <v>124</v>
      </c>
      <c r="D55" s="32"/>
      <c r="E55" s="37" t="str">
        <f>IF(OR(TranslatemoduleName="[Name - FR]",TranslatemoduleName="[Name - ES]"),"",IF(InterventionsTranslate="[Name]","",InterventionsTranslate))</f>
        <v>HIV prevention communication, information and demand creation for male sexual partners of AGYW in high HIV incidence settings</v>
      </c>
      <c r="F55" s="32" t="s">
        <v>442</v>
      </c>
      <c r="G55" s="33" t="s">
        <v>427</v>
      </c>
      <c r="H55" s="32"/>
      <c r="I55" s="32" t="s">
        <v>443</v>
      </c>
      <c r="J55" s="32" t="s">
        <v>444</v>
      </c>
      <c r="K55" s="35" t="s">
        <v>445</v>
      </c>
      <c r="L55" s="37" t="str">
        <f t="shared" si="0"/>
        <v>MCI-01513</v>
      </c>
      <c r="M55" s="37" t="str">
        <f>IFERROR(LOOKUP(2,1/(COUNTIF($M$10:M54,$E$12:$E$322)=0),$E$12:$E$322),IF($M$12=M54,"",IF(M54&lt;&gt;"",$M$12,"")))</f>
        <v>Public financial management (PFM) systems</v>
      </c>
      <c r="N55" s="37" t="b">
        <v>1</v>
      </c>
      <c r="O55" s="35">
        <v>1430</v>
      </c>
    </row>
    <row r="56" spans="2:15" x14ac:dyDescent="0.2">
      <c r="B56" s="35" t="s">
        <v>446</v>
      </c>
      <c r="C56" s="33" t="s">
        <v>124</v>
      </c>
      <c r="D56" s="32"/>
      <c r="E56" s="37" t="str">
        <f>IF(OR(TranslatemoduleName="[Name - FR]",TranslatemoduleName="[Name - ES]"),"",IF(InterventionsTranslate="[Name]","",InterventionsTranslate))</f>
        <v>Comprehensive sexuality education for adolescent girls and young women (AGYW) and adolescent boys and young men (ABYM)</v>
      </c>
      <c r="F56" s="32" t="s">
        <v>447</v>
      </c>
      <c r="G56" s="33" t="s">
        <v>427</v>
      </c>
      <c r="H56" s="32"/>
      <c r="I56" s="32" t="s">
        <v>448</v>
      </c>
      <c r="J56" s="32" t="s">
        <v>449</v>
      </c>
      <c r="K56" s="35" t="s">
        <v>450</v>
      </c>
      <c r="L56" s="37" t="str">
        <f t="shared" si="0"/>
        <v>MCI-01514</v>
      </c>
      <c r="M56" s="37" t="str">
        <f>IFERROR(LOOKUP(2,1/(COUNTIF($M$10:M55,$E$12:$E$322)=0),$E$12:$E$322),IF($M$12=M55,"",IF(M55&lt;&gt;"",$M$12,"")))</f>
        <v>Health financing strategies and planning</v>
      </c>
      <c r="N56" s="37" t="b">
        <v>1</v>
      </c>
      <c r="O56" s="35">
        <v>1440</v>
      </c>
    </row>
    <row r="57" spans="2:15" x14ac:dyDescent="0.2">
      <c r="B57" s="35" t="s">
        <v>451</v>
      </c>
      <c r="C57" s="33" t="s">
        <v>124</v>
      </c>
      <c r="D57" s="32"/>
      <c r="E57" s="37" t="str">
        <f>IF(OR(TranslatemoduleName="[Name - FR]",TranslatemoduleName="[Name - ES]"),"",IF(InterventionsTranslate="[Name]","",InterventionsTranslate))</f>
        <v>Pre-exposure prophylaxis (PrEP) programing for AGYW in high HIV incidence settings</v>
      </c>
      <c r="F57" s="32" t="s">
        <v>452</v>
      </c>
      <c r="G57" s="33" t="s">
        <v>427</v>
      </c>
      <c r="H57" s="32"/>
      <c r="I57" s="32" t="s">
        <v>453</v>
      </c>
      <c r="J57" s="32" t="s">
        <v>454</v>
      </c>
      <c r="K57" s="35" t="s">
        <v>455</v>
      </c>
      <c r="L57" s="37" t="str">
        <f t="shared" si="0"/>
        <v>MCI-01515</v>
      </c>
      <c r="M57" s="37" t="str">
        <f>IFERROR(LOOKUP(2,1/(COUNTIF($M$10:M56,$E$12:$E$322)=0),$E$12:$E$322),IF($M$12=M56,"",IF(M56&lt;&gt;"",$M$12,"")))</f>
        <v>Capacity building and leadership development</v>
      </c>
      <c r="N57" s="37" t="b">
        <v>1</v>
      </c>
      <c r="O57" s="35">
        <v>1450</v>
      </c>
    </row>
    <row r="58" spans="2:15" x14ac:dyDescent="0.2">
      <c r="B58" s="35" t="s">
        <v>456</v>
      </c>
      <c r="C58" s="33" t="s">
        <v>124</v>
      </c>
      <c r="D58" s="32"/>
      <c r="E58" s="37" t="str">
        <f>IF(OR(TranslatemoduleName="[Name - FR]",TranslatemoduleName="[Name - ES]"),"",IF(InterventionsTranslate="[Name]","",InterventionsTranslate))</f>
        <v>Pre-exposure prophylaxis (PrEP) programing for male sexual partners of AGYW in high HIV incidence settings</v>
      </c>
      <c r="F58" s="32" t="s">
        <v>457</v>
      </c>
      <c r="G58" s="33" t="s">
        <v>427</v>
      </c>
      <c r="H58" s="32"/>
      <c r="I58" s="32" t="s">
        <v>458</v>
      </c>
      <c r="J58" s="32" t="s">
        <v>459</v>
      </c>
      <c r="K58" s="35" t="s">
        <v>460</v>
      </c>
      <c r="L58" s="37" t="str">
        <f t="shared" si="0"/>
        <v>MCI-01516</v>
      </c>
      <c r="M58" s="37" t="str">
        <f>IFERROR(LOOKUP(2,1/(COUNTIF($M$10:M57,$E$12:$E$322)=0),$E$12:$E$322),IF($M$12=M57,"",IF(M57&lt;&gt;"",$M$12,"")))</f>
        <v>Community engagement, linkages and coordination</v>
      </c>
      <c r="N58" s="37" t="b">
        <v>1</v>
      </c>
      <c r="O58" s="35">
        <v>1460</v>
      </c>
    </row>
    <row r="59" spans="2:15" x14ac:dyDescent="0.2">
      <c r="B59" s="35" t="s">
        <v>461</v>
      </c>
      <c r="C59" s="33" t="s">
        <v>124</v>
      </c>
      <c r="D59" s="32"/>
      <c r="E59" s="37" t="str">
        <f>IF(OR(TranslatemoduleName="[Name - FR]",TranslatemoduleName="[Name - ES]"),"",IF(InterventionsTranslate="[Name]","",InterventionsTranslate))</f>
        <v>Sexual and reproductive health services, including STIs, hepatitis, post-violence care for AGYW and male sexual partners in high HIV incidence settings</v>
      </c>
      <c r="F59" s="32" t="s">
        <v>462</v>
      </c>
      <c r="G59" s="33" t="s">
        <v>427</v>
      </c>
      <c r="H59" s="32"/>
      <c r="I59" s="32" t="s">
        <v>463</v>
      </c>
      <c r="J59" s="32" t="s">
        <v>464</v>
      </c>
      <c r="K59" s="35" t="s">
        <v>465</v>
      </c>
      <c r="L59" s="37" t="str">
        <f t="shared" si="0"/>
        <v>MCI-01517</v>
      </c>
      <c r="M59" s="37" t="str">
        <f>IFERROR(LOOKUP(2,1/(COUNTIF($M$10:M58,$E$12:$E$322)=0),$E$12:$E$322),IF($M$12=M58,"",IF(M58&lt;&gt;"",$M$12,"")))</f>
        <v>Community-led research and advocacy</v>
      </c>
      <c r="N59" s="37" t="b">
        <v>1</v>
      </c>
      <c r="O59" s="35">
        <v>1470</v>
      </c>
    </row>
    <row r="60" spans="2:15" x14ac:dyDescent="0.2">
      <c r="B60" s="35" t="s">
        <v>466</v>
      </c>
      <c r="C60" s="33" t="s">
        <v>124</v>
      </c>
      <c r="D60" s="32"/>
      <c r="E60" s="37" t="str">
        <f>IF(OR(TranslatemoduleName="[Name - FR]",TranslatemoduleName="[Name - ES]"),"",IF(InterventionsTranslate="[Name]","",InterventionsTranslate))</f>
        <v>Removing human rights-related barriers to prevention for AGYW in high HIV incidence settings</v>
      </c>
      <c r="F60" s="32" t="s">
        <v>467</v>
      </c>
      <c r="G60" s="33" t="s">
        <v>427</v>
      </c>
      <c r="H60" s="32"/>
      <c r="I60" s="32" t="s">
        <v>468</v>
      </c>
      <c r="J60" s="32" t="s">
        <v>469</v>
      </c>
      <c r="K60" s="35" t="s">
        <v>470</v>
      </c>
      <c r="L60" s="37" t="str">
        <f t="shared" si="0"/>
        <v>MCI-01518</v>
      </c>
      <c r="M60" s="37" t="str">
        <f>IFERROR(LOOKUP(2,1/(COUNTIF($M$10:M59,$E$12:$E$322)=0),$E$12:$E$322),IF($M$12=M59,"",IF(M59&lt;&gt;"",$M$12,"")))</f>
        <v>Community-led monitoring</v>
      </c>
      <c r="N60" s="37" t="b">
        <v>1</v>
      </c>
      <c r="O60" s="35">
        <v>1480</v>
      </c>
    </row>
    <row r="61" spans="2:15" x14ac:dyDescent="0.2">
      <c r="B61" s="35" t="s">
        <v>471</v>
      </c>
      <c r="C61" s="33" t="s">
        <v>124</v>
      </c>
      <c r="D61" s="32"/>
      <c r="E61" s="37" t="str">
        <f>IF(OR(TranslatemoduleName="[Name - FR]",TranslatemoduleName="[Name - ES]"),"",IF(InterventionsTranslate="[Name]","",InterventionsTranslate))</f>
        <v>Social protection interventions for AGYW in high HIV incidence settings</v>
      </c>
      <c r="F61" s="32" t="s">
        <v>472</v>
      </c>
      <c r="G61" s="33" t="s">
        <v>427</v>
      </c>
      <c r="H61" s="32"/>
      <c r="I61" s="32" t="s">
        <v>473</v>
      </c>
      <c r="J61" s="32" t="s">
        <v>474</v>
      </c>
      <c r="K61" s="35" t="s">
        <v>475</v>
      </c>
      <c r="L61" s="37" t="str">
        <f t="shared" si="0"/>
        <v>MCI-01519</v>
      </c>
      <c r="M61" s="37" t="str">
        <f>IFERROR(LOOKUP(2,1/(COUNTIF($M$10:M60,$E$12:$E$322)=0),$E$12:$E$322),IF($M$12=M60,"",IF(M60&lt;&gt;"",$M$12,"")))</f>
        <v>Supporting private sector engagement</v>
      </c>
      <c r="N61" s="37" t="b">
        <v>1</v>
      </c>
      <c r="O61" s="35">
        <v>1490</v>
      </c>
    </row>
    <row r="62" spans="2:15" x14ac:dyDescent="0.2">
      <c r="B62" s="35" t="s">
        <v>476</v>
      </c>
      <c r="C62" s="33" t="s">
        <v>124</v>
      </c>
      <c r="D62" s="32"/>
      <c r="E62" s="37" t="str">
        <f>IF(OR(TranslatemoduleName="[Name - FR]",TranslatemoduleName="[Name - ES]"),"",IF(InterventionsTranslate="[Name]","",InterventionsTranslate))</f>
        <v>Voluntary medical male circumcision</v>
      </c>
      <c r="F62" s="32" t="s">
        <v>477</v>
      </c>
      <c r="G62" s="33" t="s">
        <v>427</v>
      </c>
      <c r="H62" s="32"/>
      <c r="I62" s="32" t="s">
        <v>478</v>
      </c>
      <c r="J62" s="32" t="s">
        <v>479</v>
      </c>
      <c r="K62" s="35" t="s">
        <v>480</v>
      </c>
      <c r="L62" s="37" t="str">
        <f t="shared" si="0"/>
        <v>MCI-01520</v>
      </c>
      <c r="M62" s="37" t="str">
        <f>IFERROR(LOOKUP(2,1/(COUNTIF($M$10:M61,$E$12:$E$322)=0),$E$12:$E$322),IF($M$12=M61,"",IF(M61&lt;&gt;"",$M$12,"")))</f>
        <v>Integration/coordination across disease programs and at the service delivery level</v>
      </c>
      <c r="N62" s="37" t="b">
        <v>1</v>
      </c>
      <c r="O62" s="35">
        <v>1500</v>
      </c>
    </row>
    <row r="63" spans="2:15" x14ac:dyDescent="0.2">
      <c r="B63" s="35" t="s">
        <v>127</v>
      </c>
      <c r="C63" s="33" t="s">
        <v>128</v>
      </c>
      <c r="D63" s="32"/>
      <c r="E63" s="37" t="str">
        <f>IF(OR(TranslatemoduleName="[Name - FR]",TranslatemoduleName="[Name - ES]"),"",IF(InterventionsTranslate="[Name]","",InterventionsTranslate))</f>
        <v>Prevention program stewardship</v>
      </c>
      <c r="F63" s="32" t="s">
        <v>481</v>
      </c>
      <c r="G63" s="33" t="s">
        <v>482</v>
      </c>
      <c r="H63" s="32"/>
      <c r="I63" s="32" t="s">
        <v>129</v>
      </c>
      <c r="J63" s="32" t="s">
        <v>130</v>
      </c>
      <c r="K63" s="35" t="s">
        <v>483</v>
      </c>
      <c r="L63" s="37" t="str">
        <f t="shared" si="0"/>
        <v>MCI-01493</v>
      </c>
      <c r="M63" s="37" t="str">
        <f>IFERROR(LOOKUP(2,1/(COUNTIF($M$10:M62,$E$12:$E$322)=0),$E$12:$E$322),IF($M$12=M62,"",IF(M62&lt;&gt;"",$M$12,"")))</f>
        <v>National health sector strategy, policy &amp; regulations</v>
      </c>
      <c r="N63" s="37" t="b">
        <v>1</v>
      </c>
      <c r="O63" s="35">
        <v>1510</v>
      </c>
    </row>
    <row r="64" spans="2:15" x14ac:dyDescent="0.2">
      <c r="B64" s="35" t="s">
        <v>484</v>
      </c>
      <c r="C64" s="33" t="s">
        <v>132</v>
      </c>
      <c r="D64" s="32"/>
      <c r="E64" s="37" t="str">
        <f>IF(OR(TranslatemoduleName="[Name - FR]",TranslatemoduleName="[Name - ES]"),"",IF(InterventionsTranslate="[Name]","",InterventionsTranslate))</f>
        <v>Integrated testing of pregnant women for HIV, syphilis and hepatitis B</v>
      </c>
      <c r="F64" s="32" t="s">
        <v>485</v>
      </c>
      <c r="G64" s="33" t="s">
        <v>486</v>
      </c>
      <c r="H64" s="32"/>
      <c r="I64" s="32" t="s">
        <v>487</v>
      </c>
      <c r="J64" s="32" t="s">
        <v>488</v>
      </c>
      <c r="K64" s="35" t="s">
        <v>489</v>
      </c>
      <c r="L64" s="37" t="str">
        <f t="shared" si="0"/>
        <v>MCI-01349</v>
      </c>
      <c r="M64" s="37" t="str">
        <f>IFERROR(LOOKUP(2,1/(COUNTIF($M$10:M63,$E$12:$E$322)=0),$E$12:$E$322),IF($M$12=M63,"",IF(M63&lt;&gt;"",$M$12,"")))</f>
        <v>Payment for results</v>
      </c>
      <c r="N64" s="37" t="b">
        <v>1</v>
      </c>
      <c r="O64" s="35">
        <v>1520</v>
      </c>
    </row>
    <row r="65" spans="2:15" x14ac:dyDescent="0.2">
      <c r="B65" s="35" t="s">
        <v>490</v>
      </c>
      <c r="C65" s="33" t="s">
        <v>132</v>
      </c>
      <c r="D65" s="32"/>
      <c r="E65" s="37" t="str">
        <f>IF(OR(TranslatemoduleName="[Name - FR]",TranslatemoduleName="[Name - ES]"),"",IF(InterventionsTranslate="[Name]","",InterventionsTranslate))</f>
        <v>Prevention of incident HIV among pregnant and breastfeeding women</v>
      </c>
      <c r="F65" s="32" t="s">
        <v>491</v>
      </c>
      <c r="G65" s="33" t="s">
        <v>486</v>
      </c>
      <c r="H65" s="32"/>
      <c r="I65" s="32" t="s">
        <v>492</v>
      </c>
      <c r="J65" s="32" t="s">
        <v>493</v>
      </c>
      <c r="K65" s="35" t="s">
        <v>494</v>
      </c>
      <c r="L65" s="37" t="str">
        <f t="shared" si="0"/>
        <v>MCI-01350</v>
      </c>
      <c r="M65" s="37" t="str">
        <f>IFERROR(LOOKUP(2,1/(COUNTIF($M$10:M64,$E$12:$E$322)=0),$E$12:$E$322),IF($M$12=M64,"",IF(M64&lt;&gt;"",$M$12,"")))</f>
        <v>Grant management</v>
      </c>
      <c r="N65" s="37" t="b">
        <v>1</v>
      </c>
      <c r="O65" s="35">
        <v>1530</v>
      </c>
    </row>
    <row r="66" spans="2:15" x14ac:dyDescent="0.2">
      <c r="B66" s="35" t="s">
        <v>495</v>
      </c>
      <c r="C66" s="33" t="s">
        <v>132</v>
      </c>
      <c r="D66" s="32"/>
      <c r="E66" s="37" t="str">
        <f>IF(OR(TranslatemoduleName="[Name - FR]",TranslatemoduleName="[Name - ES]"),"",IF(InterventionsTranslate="[Name]","",InterventionsTranslate))</f>
        <v>Post-natal infant prophylaxis</v>
      </c>
      <c r="F66" s="32" t="s">
        <v>496</v>
      </c>
      <c r="G66" s="33" t="s">
        <v>486</v>
      </c>
      <c r="H66" s="32"/>
      <c r="I66" s="32" t="s">
        <v>497</v>
      </c>
      <c r="J66" s="32" t="s">
        <v>498</v>
      </c>
      <c r="K66" s="35" t="s">
        <v>499</v>
      </c>
      <c r="L66" s="37" t="str">
        <f t="shared" si="0"/>
        <v>MCI-01351</v>
      </c>
      <c r="M66" s="37" t="str">
        <f>IFERROR(LOOKUP(2,1/(COUNTIF($M$10:M65,$E$12:$E$322)=0),$E$12:$E$322),IF($M$12=M65,"",IF(M65&lt;&gt;"",$M$12,"")))</f>
        <v>Coordination and management of national disease control programs</v>
      </c>
      <c r="N66" s="37" t="b">
        <v>1</v>
      </c>
      <c r="O66" s="35">
        <v>1540</v>
      </c>
    </row>
    <row r="67" spans="2:15" x14ac:dyDescent="0.2">
      <c r="B67" s="35" t="s">
        <v>500</v>
      </c>
      <c r="C67" s="33" t="s">
        <v>132</v>
      </c>
      <c r="D67" s="32"/>
      <c r="E67" s="37" t="str">
        <f>IF(OR(TranslatemoduleName="[Name - FR]",TranslatemoduleName="[Name - ES]"),"",IF(InterventionsTranslate="[Name]","",InterventionsTranslate))</f>
        <v>Early infant diagnosis and follow-up HIV testing for exposed infants</v>
      </c>
      <c r="F67" s="32" t="s">
        <v>501</v>
      </c>
      <c r="G67" s="33" t="s">
        <v>486</v>
      </c>
      <c r="H67" s="32"/>
      <c r="I67" s="32" t="s">
        <v>502</v>
      </c>
      <c r="J67" s="32" t="s">
        <v>503</v>
      </c>
      <c r="K67" s="35" t="s">
        <v>504</v>
      </c>
      <c r="L67" s="37" t="str">
        <f t="shared" si="0"/>
        <v>MCI-01352</v>
      </c>
      <c r="M67" s="37" t="str">
        <f>IFERROR(LOOKUP(2,1/(COUNTIF($M$10:M66,$E$12:$E$322)=0),$E$12:$E$322),IF($M$12=M66,"",IF(M66&lt;&gt;"",$M$12,"")))</f>
        <v>Community mobilization and advocacy, including support to TB survivor-led groups</v>
      </c>
      <c r="N67" s="37" t="b">
        <v>1</v>
      </c>
      <c r="O67" s="35">
        <v>1550</v>
      </c>
    </row>
    <row r="68" spans="2:15" x14ac:dyDescent="0.2">
      <c r="B68" s="35" t="s">
        <v>505</v>
      </c>
      <c r="C68" s="33" t="s">
        <v>132</v>
      </c>
      <c r="D68" s="32"/>
      <c r="E68" s="37" t="str">
        <f>IF(OR(TranslatemoduleName="[Name - FR]",TranslatemoduleName="[Name - ES]"),"",IF(InterventionsTranslate="[Name]","",InterventionsTranslate))</f>
        <v>Retention support for pregnant and breastfeeding women (facility and community)</v>
      </c>
      <c r="F68" s="32" t="s">
        <v>506</v>
      </c>
      <c r="G68" s="33" t="s">
        <v>486</v>
      </c>
      <c r="H68" s="32"/>
      <c r="I68" s="32" t="s">
        <v>507</v>
      </c>
      <c r="J68" s="32" t="s">
        <v>508</v>
      </c>
      <c r="K68" s="35" t="s">
        <v>509</v>
      </c>
      <c r="L68" s="37" t="str">
        <f t="shared" si="0"/>
        <v>MCI-01353</v>
      </c>
      <c r="M68" s="37" t="str">
        <f>IFERROR(LOOKUP(2,1/(COUNTIF($M$10:M67,$E$12:$E$322)=0),$E$12:$E$322),IF($M$12=M67,"",IF(M67&lt;&gt;"",$M$12,"")))</f>
        <v>Reducing TB-related gender discrimination, harmful gender norms and violence</v>
      </c>
      <c r="N68" s="37" t="b">
        <v>1</v>
      </c>
      <c r="O68" s="35">
        <v>1560</v>
      </c>
    </row>
    <row r="69" spans="2:15" x14ac:dyDescent="0.2">
      <c r="B69" s="35" t="s">
        <v>510</v>
      </c>
      <c r="C69" s="33" t="s">
        <v>136</v>
      </c>
      <c r="D69" s="32"/>
      <c r="E69" s="37" t="str">
        <f>IF(OR(TranslatemoduleName="[Name - FR]",TranslatemoduleName="[Name - ES]"),"",IF(InterventionsTranslate="[Name]","",InterventionsTranslate))</f>
        <v>Facility-based testing for key population (KP) programs</v>
      </c>
      <c r="F69" s="32" t="s">
        <v>511</v>
      </c>
      <c r="G69" s="33" t="s">
        <v>512</v>
      </c>
      <c r="H69" s="32"/>
      <c r="I69" s="32" t="s">
        <v>513</v>
      </c>
      <c r="J69" s="32" t="s">
        <v>514</v>
      </c>
      <c r="K69" s="35" t="s">
        <v>515</v>
      </c>
      <c r="L69" s="37" t="str">
        <f t="shared" si="0"/>
        <v>MCI-01450</v>
      </c>
      <c r="M69" s="37" t="str">
        <f>IFERROR(LOOKUP(2,1/(COUNTIF($M$10:M68,$E$12:$E$322)=0),$E$12:$E$322),IF($M$12=M68,"",IF(M68&lt;&gt;"",$M$12,"")))</f>
        <v>Addressing needs of people in prisons and other closed settings</v>
      </c>
      <c r="N69" s="37" t="b">
        <v>1</v>
      </c>
      <c r="O69" s="35">
        <v>1570</v>
      </c>
    </row>
    <row r="70" spans="2:15" x14ac:dyDescent="0.2">
      <c r="B70" s="35" t="s">
        <v>516</v>
      </c>
      <c r="C70" s="33" t="s">
        <v>136</v>
      </c>
      <c r="D70" s="32"/>
      <c r="E70" s="37" t="str">
        <f>IF(OR(TranslatemoduleName="[Name - FR]",TranslatemoduleName="[Name - ES]"),"",IF(InterventionsTranslate="[Name]","",InterventionsTranslate))</f>
        <v>Facility-based testing for adolescent girls and young women (AGYW) and their male sexual partners programs</v>
      </c>
      <c r="F70" s="32" t="s">
        <v>517</v>
      </c>
      <c r="G70" s="33" t="s">
        <v>512</v>
      </c>
      <c r="H70" s="32"/>
      <c r="I70" s="32" t="s">
        <v>518</v>
      </c>
      <c r="J70" s="32" t="s">
        <v>519</v>
      </c>
      <c r="K70" s="35" t="s">
        <v>520</v>
      </c>
      <c r="L70" s="37" t="str">
        <f t="shared" si="0"/>
        <v>MCI-01451</v>
      </c>
      <c r="M70" s="37" t="str">
        <f>IFERROR(LOOKUP(2,1/(COUNTIF($M$10:M69,$E$12:$E$322)=0),$E$12:$E$322),IF($M$12=M69,"",IF(M69&lt;&gt;"",$M$12,"")))</f>
        <v>Monitoring and reforming policies, regulations and laws</v>
      </c>
      <c r="N70" s="37" t="b">
        <v>1</v>
      </c>
      <c r="O70" s="35">
        <v>1580</v>
      </c>
    </row>
    <row r="71" spans="2:15" x14ac:dyDescent="0.2">
      <c r="B71" s="35" t="s">
        <v>521</v>
      </c>
      <c r="C71" s="33" t="s">
        <v>136</v>
      </c>
      <c r="D71" s="32"/>
      <c r="E71" s="37" t="str">
        <f>IF(OR(TranslatemoduleName="[Name - FR]",TranslatemoduleName="[Name - ES]"),"",IF(InterventionsTranslate="[Name]","",InterventionsTranslate))</f>
        <v>Facility-based testing outside of key population (KP) and adolescent girls and young women (AGYW) programs</v>
      </c>
      <c r="F71" s="32" t="s">
        <v>522</v>
      </c>
      <c r="G71" s="33" t="s">
        <v>512</v>
      </c>
      <c r="H71" s="32"/>
      <c r="I71" s="32" t="s">
        <v>523</v>
      </c>
      <c r="J71" s="32" t="s">
        <v>524</v>
      </c>
      <c r="K71" s="35" t="s">
        <v>525</v>
      </c>
      <c r="L71" s="37" t="str">
        <f t="shared" si="0"/>
        <v>MCI-01452</v>
      </c>
      <c r="M71" s="37" t="str">
        <f>IFERROR(LOOKUP(2,1/(COUNTIF($M$10:M70,$E$12:$E$322)=0),$E$12:$E$322),IF($M$12=M70,"",IF(M70&lt;&gt;"",$M$12,"")))</f>
        <v>Increasing access to justice (TB)</v>
      </c>
      <c r="N71" s="37" t="b">
        <v>1</v>
      </c>
      <c r="O71" s="35">
        <v>1590</v>
      </c>
    </row>
    <row r="72" spans="2:15" x14ac:dyDescent="0.2">
      <c r="B72" s="35" t="s">
        <v>526</v>
      </c>
      <c r="C72" s="33" t="s">
        <v>136</v>
      </c>
      <c r="D72" s="32"/>
      <c r="E72" s="37" t="str">
        <f>IF(OR(TranslatemoduleName="[Name - FR]",TranslatemoduleName="[Name - ES]"),"",IF(InterventionsTranslate="[Name]","",InterventionsTranslate))</f>
        <v>Community-based testing for KP programs</v>
      </c>
      <c r="F72" s="32" t="s">
        <v>527</v>
      </c>
      <c r="G72" s="33" t="s">
        <v>512</v>
      </c>
      <c r="H72" s="32"/>
      <c r="I72" s="32" t="s">
        <v>528</v>
      </c>
      <c r="J72" s="32" t="s">
        <v>529</v>
      </c>
      <c r="K72" s="35" t="s">
        <v>530</v>
      </c>
      <c r="L72" s="37" t="str">
        <f t="shared" si="0"/>
        <v>MCI-01453</v>
      </c>
      <c r="M72" s="37" t="str">
        <f>IFERROR(LOOKUP(2,1/(COUNTIF($M$10:M71,$E$12:$E$322)=0),$E$12:$E$322),IF($M$12=M71,"",IF(M71&lt;&gt;"",$M$12,"")))</f>
        <v>Legal literacy (“Know Your Rights”) (TB)</v>
      </c>
      <c r="N72" s="37" t="b">
        <v>1</v>
      </c>
      <c r="O72" s="35">
        <v>1600</v>
      </c>
    </row>
    <row r="73" spans="2:15" x14ac:dyDescent="0.2">
      <c r="B73" s="35" t="s">
        <v>531</v>
      </c>
      <c r="C73" s="33" t="s">
        <v>136</v>
      </c>
      <c r="D73" s="32"/>
      <c r="E73" s="37" t="str">
        <f>IF(OR(TranslatemoduleName="[Name - FR]",TranslatemoduleName="[Name - ES]"),"",IF(InterventionsTranslate="[Name]","",InterventionsTranslate))</f>
        <v>Community-based testing for AGYW and their male sexual partners programs</v>
      </c>
      <c r="F73" s="32" t="s">
        <v>532</v>
      </c>
      <c r="G73" s="33" t="s">
        <v>512</v>
      </c>
      <c r="H73" s="32"/>
      <c r="I73" s="32" t="s">
        <v>533</v>
      </c>
      <c r="J73" s="32" t="s">
        <v>534</v>
      </c>
      <c r="K73" s="35" t="s">
        <v>535</v>
      </c>
      <c r="L73" s="37" t="str">
        <f t="shared" si="0"/>
        <v>MCI-01454</v>
      </c>
      <c r="M73" s="37" t="str">
        <f>IFERROR(LOOKUP(2,1/(COUNTIF($M$10:M72,$E$12:$E$322)=0),$E$12:$E$322),IF($M$12=M72,"",IF(M72&lt;&gt;"",$M$12,"")))</f>
        <v>Ensuring people-centered and rights-based law enforcement practices</v>
      </c>
      <c r="N73" s="37" t="b">
        <v>1</v>
      </c>
      <c r="O73" s="35">
        <v>1610</v>
      </c>
    </row>
    <row r="74" spans="2:15" x14ac:dyDescent="0.2">
      <c r="B74" s="35" t="s">
        <v>536</v>
      </c>
      <c r="C74" s="33" t="s">
        <v>136</v>
      </c>
      <c r="D74" s="32"/>
      <c r="E74" s="37" t="str">
        <f>IF(OR(TranslatemoduleName="[Name - FR]",TranslatemoduleName="[Name - ES]"),"",IF(InterventionsTranslate="[Name]","",InterventionsTranslate))</f>
        <v>Community-based testing outside of KP and AGYW programs</v>
      </c>
      <c r="F74" s="32" t="s">
        <v>537</v>
      </c>
      <c r="G74" s="33" t="s">
        <v>512</v>
      </c>
      <c r="H74" s="32"/>
      <c r="I74" s="32" t="s">
        <v>538</v>
      </c>
      <c r="J74" s="32" t="s">
        <v>539</v>
      </c>
      <c r="K74" s="35" t="s">
        <v>540</v>
      </c>
      <c r="L74" s="37" t="str">
        <f t="shared" si="0"/>
        <v>MCI-01455</v>
      </c>
      <c r="M74" s="37" t="str">
        <f>IFERROR(LOOKUP(2,1/(COUNTIF($M$10:M73,$E$12:$E$322)=0),$E$12:$E$322),IF($M$12=M73,"",IF(M73&lt;&gt;"",$M$12,"")))</f>
        <v>Ensuring people-centered and rights-based TB services at health facilities</v>
      </c>
      <c r="N74" s="37" t="b">
        <v>1</v>
      </c>
      <c r="O74" s="35">
        <v>1620</v>
      </c>
    </row>
    <row r="75" spans="2:15" x14ac:dyDescent="0.2">
      <c r="B75" s="35" t="s">
        <v>541</v>
      </c>
      <c r="C75" s="33" t="s">
        <v>136</v>
      </c>
      <c r="D75" s="32"/>
      <c r="E75" s="37" t="str">
        <f>IF(OR(TranslatemoduleName="[Name - FR]",TranslatemoduleName="[Name - ES]"),"",IF(InterventionsTranslate="[Name]","",InterventionsTranslate))</f>
        <v>Self-testing for KP programs</v>
      </c>
      <c r="F75" s="32" t="s">
        <v>542</v>
      </c>
      <c r="G75" s="33" t="s">
        <v>512</v>
      </c>
      <c r="H75" s="32"/>
      <c r="I75" s="32" t="s">
        <v>543</v>
      </c>
      <c r="J75" s="32" t="s">
        <v>544</v>
      </c>
      <c r="K75" s="35" t="s">
        <v>545</v>
      </c>
      <c r="L75" s="37" t="str">
        <f t="shared" si="0"/>
        <v>MCI-01456</v>
      </c>
      <c r="M75" s="37" t="str">
        <f>IFERROR(LOOKUP(2,1/(COUNTIF($M$10:M74,$E$12:$E$322)=0),$E$12:$E$322),IF($M$12=M74,"",IF(M74&lt;&gt;"",$M$12,"")))</f>
        <v>Eliminating TB-related stigma and discrimination</v>
      </c>
      <c r="N75" s="37" t="b">
        <v>1</v>
      </c>
      <c r="O75" s="35">
        <v>1630</v>
      </c>
    </row>
    <row r="76" spans="2:15" x14ac:dyDescent="0.2">
      <c r="B76" s="35" t="s">
        <v>546</v>
      </c>
      <c r="C76" s="33" t="s">
        <v>136</v>
      </c>
      <c r="D76" s="32"/>
      <c r="E76" s="37" t="str">
        <f>IF(OR(TranslatemoduleName="[Name - FR]",TranslatemoduleName="[Name - ES]"),"",IF(InterventionsTranslate="[Name]","",InterventionsTranslate))</f>
        <v>Self-testing for AGYW and their male sexual partners programs</v>
      </c>
      <c r="F76" s="32" t="s">
        <v>547</v>
      </c>
      <c r="G76" s="33" t="s">
        <v>512</v>
      </c>
      <c r="H76" s="32"/>
      <c r="I76" s="32" t="s">
        <v>548</v>
      </c>
      <c r="J76" s="32" t="s">
        <v>549</v>
      </c>
      <c r="K76" s="35" t="s">
        <v>550</v>
      </c>
      <c r="L76" s="37" t="str">
        <f t="shared" si="0"/>
        <v>MCI-01457</v>
      </c>
      <c r="M76" s="37" t="str">
        <f>IFERROR(LOOKUP(2,1/(COUNTIF($M$10:M75,$E$12:$E$322)=0),$E$12:$E$322),IF($M$12=M75,"",IF(M75&lt;&gt;"",$M$12,"")))</f>
        <v>TB/HIV - Key populations</v>
      </c>
      <c r="N76" s="37" t="b">
        <v>1</v>
      </c>
      <c r="O76" s="35">
        <v>1640</v>
      </c>
    </row>
    <row r="77" spans="2:15" x14ac:dyDescent="0.2">
      <c r="B77" s="35" t="s">
        <v>551</v>
      </c>
      <c r="C77" s="33" t="s">
        <v>136</v>
      </c>
      <c r="D77" s="32"/>
      <c r="E77" s="37" t="str">
        <f>IF(OR(TranslatemoduleName="[Name - FR]",TranslatemoduleName="[Name - ES]"),"",IF(InterventionsTranslate="[Name]","",InterventionsTranslate))</f>
        <v>Self-testing outside of KP and AGYW programs</v>
      </c>
      <c r="F77" s="32" t="s">
        <v>552</v>
      </c>
      <c r="G77" s="33" t="s">
        <v>512</v>
      </c>
      <c r="H77" s="32"/>
      <c r="I77" s="32" t="s">
        <v>553</v>
      </c>
      <c r="J77" s="32" t="s">
        <v>554</v>
      </c>
      <c r="K77" s="35" t="s">
        <v>555</v>
      </c>
      <c r="L77" s="37" t="str">
        <f t="shared" ref="L77:L140" si="1">F77</f>
        <v>MCI-01458</v>
      </c>
      <c r="M77" s="37" t="str">
        <f>IFERROR(LOOKUP(2,1/(COUNTIF($M$10:M76,$E$12:$E$322)=0),$E$12:$E$322),IF($M$12=M76,"",IF(M76&lt;&gt;"",$M$12,"")))</f>
        <v>TB/HIV - Community care delivery</v>
      </c>
      <c r="N77" s="37" t="b">
        <v>1</v>
      </c>
      <c r="O77" s="35">
        <v>1650</v>
      </c>
    </row>
    <row r="78" spans="2:15" x14ac:dyDescent="0.2">
      <c r="B78" s="35" t="s">
        <v>556</v>
      </c>
      <c r="C78" s="33" t="s">
        <v>140</v>
      </c>
      <c r="D78" s="32"/>
      <c r="E78" s="37" t="str">
        <f>IF(OR(TranslatemoduleName="[Name - FR]",TranslatemoduleName="[Name - ES]"),"",IF(InterventionsTranslate="[Name]","",InterventionsTranslate))</f>
        <v>HIV treatment and differentiated service delivery - adults (15 and above)</v>
      </c>
      <c r="F78" s="32" t="s">
        <v>557</v>
      </c>
      <c r="G78" s="33" t="s">
        <v>558</v>
      </c>
      <c r="H78" s="32"/>
      <c r="I78" s="32" t="s">
        <v>559</v>
      </c>
      <c r="J78" s="32" t="s">
        <v>560</v>
      </c>
      <c r="K78" s="35" t="s">
        <v>561</v>
      </c>
      <c r="L78" s="37" t="str">
        <f t="shared" si="1"/>
        <v>MCI-01354</v>
      </c>
      <c r="M78" s="37" t="str">
        <f>IFERROR(LOOKUP(2,1/(COUNTIF($M$10:M77,$E$12:$E$322)=0),$E$12:$E$322),IF($M$12=M77,"",IF(M77&lt;&gt;"",$M$12,"")))</f>
        <v>TB/HIV - Prevention</v>
      </c>
      <c r="N78" s="37" t="b">
        <v>1</v>
      </c>
      <c r="O78" s="35">
        <v>1660</v>
      </c>
    </row>
    <row r="79" spans="2:15" x14ac:dyDescent="0.2">
      <c r="B79" s="35" t="s">
        <v>562</v>
      </c>
      <c r="C79" s="33" t="s">
        <v>140</v>
      </c>
      <c r="D79" s="32"/>
      <c r="E79" s="37" t="str">
        <f>IF(OR(TranslatemoduleName="[Name - FR]",TranslatemoduleName="[Name - ES]"),"",IF(InterventionsTranslate="[Name]","",InterventionsTranslate))</f>
        <v>HIV treatment and differentiated service delivery - children (under 15)</v>
      </c>
      <c r="F79" s="32" t="s">
        <v>563</v>
      </c>
      <c r="G79" s="33" t="s">
        <v>558</v>
      </c>
      <c r="H79" s="32"/>
      <c r="I79" s="32" t="s">
        <v>564</v>
      </c>
      <c r="J79" s="32" t="s">
        <v>565</v>
      </c>
      <c r="K79" s="35" t="s">
        <v>566</v>
      </c>
      <c r="L79" s="37" t="str">
        <f t="shared" si="1"/>
        <v>MCI-01355</v>
      </c>
      <c r="M79" s="37" t="str">
        <f>IFERROR(LOOKUP(2,1/(COUNTIF($M$10:M78,$E$12:$E$322)=0),$E$12:$E$322),IF($M$12=M78,"",IF(M78&lt;&gt;"",$M$12,"")))</f>
        <v>TB/HIV - Treatment and care</v>
      </c>
      <c r="N79" s="37" t="b">
        <v>1</v>
      </c>
      <c r="O79" s="35">
        <v>1670</v>
      </c>
    </row>
    <row r="80" spans="2:15" x14ac:dyDescent="0.2">
      <c r="B80" s="35" t="s">
        <v>567</v>
      </c>
      <c r="C80" s="33" t="s">
        <v>140</v>
      </c>
      <c r="D80" s="32"/>
      <c r="E80" s="37" t="str">
        <f>IF(OR(TranslatemoduleName="[Name - FR]",TranslatemoduleName="[Name - ES]"),"",IF(InterventionsTranslate="[Name]","",InterventionsTranslate))</f>
        <v>Treatment monitoring - Drug resistance</v>
      </c>
      <c r="F80" s="32" t="s">
        <v>568</v>
      </c>
      <c r="G80" s="33" t="s">
        <v>558</v>
      </c>
      <c r="H80" s="32"/>
      <c r="I80" s="32" t="s">
        <v>569</v>
      </c>
      <c r="J80" s="32" t="s">
        <v>570</v>
      </c>
      <c r="K80" s="35" t="s">
        <v>571</v>
      </c>
      <c r="L80" s="37" t="str">
        <f t="shared" si="1"/>
        <v>MCI-01356</v>
      </c>
      <c r="M80" s="37" t="str">
        <f>IFERROR(LOOKUP(2,1/(COUNTIF($M$10:M79,$E$12:$E$322)=0),$E$12:$E$322),IF($M$12=M79,"",IF(M79&lt;&gt;"",$M$12,"")))</f>
        <v>TB/HIV - Screening, testing and diagnosis</v>
      </c>
      <c r="N80" s="37" t="b">
        <v>1</v>
      </c>
      <c r="O80" s="35">
        <v>1680</v>
      </c>
    </row>
    <row r="81" spans="2:15" x14ac:dyDescent="0.2">
      <c r="B81" s="35" t="s">
        <v>572</v>
      </c>
      <c r="C81" s="33" t="s">
        <v>140</v>
      </c>
      <c r="D81" s="32"/>
      <c r="E81" s="37" t="str">
        <f>IF(OR(TranslatemoduleName="[Name - FR]",TranslatemoduleName="[Name - ES]"),"",IF(InterventionsTranslate="[Name]","",InterventionsTranslate))</f>
        <v>Treatment monitoring - Viral load and antiretroviral (ARV) toxicity</v>
      </c>
      <c r="F81" s="32" t="s">
        <v>573</v>
      </c>
      <c r="G81" s="33" t="s">
        <v>558</v>
      </c>
      <c r="H81" s="32"/>
      <c r="I81" s="32" t="s">
        <v>574</v>
      </c>
      <c r="J81" s="32" t="s">
        <v>575</v>
      </c>
      <c r="K81" s="35" t="s">
        <v>576</v>
      </c>
      <c r="L81" s="37" t="str">
        <f t="shared" si="1"/>
        <v>MCI-01357</v>
      </c>
      <c r="M81" s="37" t="str">
        <f>IFERROR(LOOKUP(2,1/(COUNTIF($M$10:M80,$E$12:$E$322)=0),$E$12:$E$322),IF($M$12=M80,"",IF(M80&lt;&gt;"",$M$12,"")))</f>
        <v>TB/HIV - Collaborative interventions</v>
      </c>
      <c r="N81" s="37" t="b">
        <v>1</v>
      </c>
      <c r="O81" s="35">
        <v>1690</v>
      </c>
    </row>
    <row r="82" spans="2:15" x14ac:dyDescent="0.2">
      <c r="B82" s="35" t="s">
        <v>577</v>
      </c>
      <c r="C82" s="33" t="s">
        <v>140</v>
      </c>
      <c r="D82" s="32"/>
      <c r="E82" s="37" t="str">
        <f>IF(OR(TranslatemoduleName="[Name - FR]",TranslatemoduleName="[Name - ES]"),"",IF(InterventionsTranslate="[Name]","",InterventionsTranslate))</f>
        <v>Integrated management of common co-infections and co-morbidities (adults and children)</v>
      </c>
      <c r="F82" s="32" t="s">
        <v>578</v>
      </c>
      <c r="G82" s="33" t="s">
        <v>558</v>
      </c>
      <c r="H82" s="32"/>
      <c r="I82" s="32" t="s">
        <v>579</v>
      </c>
      <c r="J82" s="32" t="s">
        <v>580</v>
      </c>
      <c r="K82" s="35" t="s">
        <v>581</v>
      </c>
      <c r="L82" s="37" t="str">
        <f t="shared" si="1"/>
        <v>MCI-01358</v>
      </c>
      <c r="M82" s="37" t="str">
        <f>IFERROR(LOOKUP(2,1/(COUNTIF($M$10:M81,$E$12:$E$322)=0),$E$12:$E$322),IF($M$12=M81,"",IF(M81&lt;&gt;"",$M$12,"")))</f>
        <v>KVP - Others</v>
      </c>
      <c r="N82" s="37" t="b">
        <v>1</v>
      </c>
      <c r="O82" s="35">
        <v>1700</v>
      </c>
    </row>
    <row r="83" spans="2:15" x14ac:dyDescent="0.2">
      <c r="B83" s="35" t="s">
        <v>582</v>
      </c>
      <c r="C83" s="33" t="s">
        <v>140</v>
      </c>
      <c r="D83" s="32"/>
      <c r="E83" s="37" t="str">
        <f>IF(OR(TranslatemoduleName="[Name - FR]",TranslatemoduleName="[Name - ES]"),"",IF(InterventionsTranslate="[Name]","",InterventionsTranslate))</f>
        <v>Diagnosis and management of advanced disease (adults and children)</v>
      </c>
      <c r="F83" s="32" t="s">
        <v>583</v>
      </c>
      <c r="G83" s="33" t="s">
        <v>558</v>
      </c>
      <c r="H83" s="32"/>
      <c r="I83" s="32" t="s">
        <v>584</v>
      </c>
      <c r="J83" s="32" t="s">
        <v>585</v>
      </c>
      <c r="K83" s="35" t="s">
        <v>586</v>
      </c>
      <c r="L83" s="37" t="str">
        <f t="shared" si="1"/>
        <v>MCI-01359</v>
      </c>
      <c r="M83" s="37" t="str">
        <f>IFERROR(LOOKUP(2,1/(COUNTIF($M$10:M82,$E$12:$E$322)=0),$E$12:$E$322),IF($M$12=M82,"",IF(M82&lt;&gt;"",$M$12,"")))</f>
        <v>KVP - Urban poor/slum dwellers</v>
      </c>
      <c r="N83" s="37" t="b">
        <v>1</v>
      </c>
      <c r="O83" s="35">
        <v>1710</v>
      </c>
    </row>
    <row r="84" spans="2:15" x14ac:dyDescent="0.2">
      <c r="B84" s="35" t="s">
        <v>587</v>
      </c>
      <c r="C84" s="33" t="s">
        <v>144</v>
      </c>
      <c r="D84" s="32"/>
      <c r="E84" s="37" t="str">
        <f>IF(OR(TranslatemoduleName="[Name - FR]",TranslatemoduleName="[Name - ES]"),"",IF(InterventionsTranslate="[Name]","",InterventionsTranslate))</f>
        <v>Eliminating stigma and discrimination in all settings</v>
      </c>
      <c r="F84" s="32" t="s">
        <v>588</v>
      </c>
      <c r="G84" s="33" t="s">
        <v>589</v>
      </c>
      <c r="H84" s="32"/>
      <c r="I84" s="32" t="s">
        <v>590</v>
      </c>
      <c r="J84" s="32" t="s">
        <v>591</v>
      </c>
      <c r="K84" s="35" t="s">
        <v>592</v>
      </c>
      <c r="L84" s="37" t="str">
        <f t="shared" si="1"/>
        <v>MCI-01465</v>
      </c>
      <c r="M84" s="37" t="str">
        <f>IFERROR(LOOKUP(2,1/(COUNTIF($M$10:M83,$E$12:$E$322)=0),$E$12:$E$322),IF($M$12=M83,"",IF(M83&lt;&gt;"",$M$12,"")))</f>
        <v>KVP - Miners and mining communities</v>
      </c>
      <c r="N84" s="37" t="b">
        <v>1</v>
      </c>
      <c r="O84" s="35">
        <v>1780</v>
      </c>
    </row>
    <row r="85" spans="2:15" x14ac:dyDescent="0.2">
      <c r="B85" s="35" t="s">
        <v>593</v>
      </c>
      <c r="C85" s="33" t="s">
        <v>144</v>
      </c>
      <c r="D85" s="32"/>
      <c r="E85" s="37" t="str">
        <f>IF(OR(TranslatemoduleName="[Name - FR]",TranslatemoduleName="[Name - ES]"),"",IF(InterventionsTranslate="[Name]","",InterventionsTranslate))</f>
        <v>Legal literacy (“Know Your Rights”) (HIV/TB)</v>
      </c>
      <c r="F85" s="32" t="s">
        <v>594</v>
      </c>
      <c r="G85" s="33" t="s">
        <v>589</v>
      </c>
      <c r="H85" s="32"/>
      <c r="I85" s="32" t="s">
        <v>595</v>
      </c>
      <c r="J85" s="32" t="s">
        <v>596</v>
      </c>
      <c r="K85" s="35" t="s">
        <v>597</v>
      </c>
      <c r="L85" s="37" t="str">
        <f t="shared" si="1"/>
        <v>MCI-01466</v>
      </c>
      <c r="M85" s="37" t="str">
        <f>IFERROR(LOOKUP(2,1/(COUNTIF($M$10:M84,$E$12:$E$322)=0),$E$12:$E$322),IF($M$12=M84,"",IF(M84&lt;&gt;"",$M$12,"")))</f>
        <v>KVP - Mobile population (migrants/refugees/IDPs)</v>
      </c>
      <c r="N85" s="37" t="b">
        <v>1</v>
      </c>
      <c r="O85" s="35">
        <v>1790</v>
      </c>
    </row>
    <row r="86" spans="2:15" x14ac:dyDescent="0.2">
      <c r="B86" s="35" t="s">
        <v>598</v>
      </c>
      <c r="C86" s="33" t="s">
        <v>144</v>
      </c>
      <c r="D86" s="32"/>
      <c r="E86" s="37" t="str">
        <f>IF(OR(TranslatemoduleName="[Name - FR]",TranslatemoduleName="[Name - ES]"),"",IF(InterventionsTranslate="[Name]","",InterventionsTranslate))</f>
        <v>Ensuring nondiscriminatory provision of health care</v>
      </c>
      <c r="F86" s="32" t="s">
        <v>599</v>
      </c>
      <c r="G86" s="33" t="s">
        <v>589</v>
      </c>
      <c r="H86" s="32"/>
      <c r="I86" s="32" t="s">
        <v>600</v>
      </c>
      <c r="J86" s="32" t="s">
        <v>601</v>
      </c>
      <c r="K86" s="35" t="s">
        <v>602</v>
      </c>
      <c r="L86" s="37" t="str">
        <f t="shared" si="1"/>
        <v>MCI-01467</v>
      </c>
      <c r="M86" s="37" t="str">
        <f>IFERROR(LOOKUP(2,1/(COUNTIF($M$10:M85,$E$12:$E$322)=0),$E$12:$E$322),IF($M$12=M85,"",IF(M85&lt;&gt;"",$M$12,"")))</f>
        <v>KVP - People in prisons/jails/detention centers</v>
      </c>
      <c r="N86" s="37" t="b">
        <v>1</v>
      </c>
      <c r="O86" s="35">
        <v>1800</v>
      </c>
    </row>
    <row r="87" spans="2:15" x14ac:dyDescent="0.2">
      <c r="B87" s="35" t="s">
        <v>603</v>
      </c>
      <c r="C87" s="33" t="s">
        <v>144</v>
      </c>
      <c r="D87" s="32"/>
      <c r="E87" s="37" t="str">
        <f>IF(OR(TranslatemoduleName="[Name - FR]",TranslatemoduleName="[Name - ES]"),"",IF(InterventionsTranslate="[Name]","",InterventionsTranslate))</f>
        <v>Increasing access to justice (HIV/TB)</v>
      </c>
      <c r="F87" s="32" t="s">
        <v>604</v>
      </c>
      <c r="G87" s="33" t="s">
        <v>589</v>
      </c>
      <c r="H87" s="32"/>
      <c r="I87" s="32" t="s">
        <v>605</v>
      </c>
      <c r="J87" s="32" t="s">
        <v>606</v>
      </c>
      <c r="K87" s="35" t="s">
        <v>607</v>
      </c>
      <c r="L87" s="37" t="str">
        <f t="shared" si="1"/>
        <v>MCI-01468</v>
      </c>
      <c r="M87" s="37" t="str">
        <f>IFERROR(LOOKUP(2,1/(COUNTIF($M$10:M86,$E$12:$E$322)=0),$E$12:$E$322),IF($M$12=M86,"",IF(M86&lt;&gt;"",$M$12,"")))</f>
        <v>KVP - Children and adolescents</v>
      </c>
      <c r="N87" s="37" t="b">
        <v>1</v>
      </c>
      <c r="O87" s="35">
        <v>1810</v>
      </c>
    </row>
    <row r="88" spans="2:15" x14ac:dyDescent="0.2">
      <c r="B88" s="35" t="s">
        <v>608</v>
      </c>
      <c r="C88" s="33" t="s">
        <v>144</v>
      </c>
      <c r="D88" s="32"/>
      <c r="E88" s="37" t="str">
        <f>IF(OR(TranslatemoduleName="[Name - FR]",TranslatemoduleName="[Name - ES]"),"",IF(InterventionsTranslate="[Name]","",InterventionsTranslate))</f>
        <v>Ensuring rights-based law enforcement practices</v>
      </c>
      <c r="F88" s="32" t="s">
        <v>609</v>
      </c>
      <c r="G88" s="33" t="s">
        <v>589</v>
      </c>
      <c r="H88" s="32"/>
      <c r="I88" s="32" t="s">
        <v>610</v>
      </c>
      <c r="J88" s="32" t="s">
        <v>611</v>
      </c>
      <c r="K88" s="35" t="s">
        <v>612</v>
      </c>
      <c r="L88" s="37" t="str">
        <f t="shared" si="1"/>
        <v>MCI-01469</v>
      </c>
      <c r="M88" s="37" t="str">
        <f>IFERROR(LOOKUP(2,1/(COUNTIF($M$10:M87,$E$12:$E$322)=0),$E$12:$E$322),IF($M$12=M87,"",IF(M87&lt;&gt;"",$M$12,"")))</f>
        <v>Collaboration with other programs/sectors</v>
      </c>
      <c r="N88" s="37" t="b">
        <v>1</v>
      </c>
      <c r="O88" s="35">
        <v>1820</v>
      </c>
    </row>
    <row r="89" spans="2:15" x14ac:dyDescent="0.2">
      <c r="B89" s="35" t="s">
        <v>613</v>
      </c>
      <c r="C89" s="33" t="s">
        <v>144</v>
      </c>
      <c r="D89" s="32"/>
      <c r="E89" s="37" t="str">
        <f>IF(OR(TranslatemoduleName="[Name - FR]",TranslatemoduleName="[Name - ES]"),"",IF(InterventionsTranslate="[Name]","",InterventionsTranslate))</f>
        <v>Improving laws, regulations and polices relating to HIV and HIV/TB</v>
      </c>
      <c r="F89" s="32" t="s">
        <v>614</v>
      </c>
      <c r="G89" s="33" t="s">
        <v>589</v>
      </c>
      <c r="H89" s="32"/>
      <c r="I89" s="32" t="s">
        <v>615</v>
      </c>
      <c r="J89" s="32" t="s">
        <v>616</v>
      </c>
      <c r="K89" s="35" t="s">
        <v>617</v>
      </c>
      <c r="L89" s="37" t="str">
        <f t="shared" si="1"/>
        <v>MCI-01470</v>
      </c>
      <c r="M89" s="37" t="str">
        <f>IFERROR(LOOKUP(2,1/(COUNTIF($M$10:M88,$E$12:$E$322)=0),$E$12:$E$322),IF($M$12=M88,"",IF(M88&lt;&gt;"",$M$12,"")))</f>
        <v>Community-based TB/DR-TB care</v>
      </c>
      <c r="N89" s="37" t="b">
        <v>1</v>
      </c>
      <c r="O89" s="35">
        <v>1830</v>
      </c>
    </row>
    <row r="90" spans="2:15" x14ac:dyDescent="0.2">
      <c r="B90" s="35" t="s">
        <v>618</v>
      </c>
      <c r="C90" s="33" t="s">
        <v>144</v>
      </c>
      <c r="D90" s="32"/>
      <c r="E90" s="37" t="str">
        <f>IF(OR(TranslatemoduleName="[Name - FR]",TranslatemoduleName="[Name - ES]"),"",IF(InterventionsTranslate="[Name]","",InterventionsTranslate))</f>
        <v>Reducing HIV-related gender discrimination, harmful gender norms and violence against women and girls in all their diversity</v>
      </c>
      <c r="F90" s="32" t="s">
        <v>619</v>
      </c>
      <c r="G90" s="33" t="s">
        <v>589</v>
      </c>
      <c r="H90" s="32"/>
      <c r="I90" s="32" t="s">
        <v>620</v>
      </c>
      <c r="J90" s="32" t="s">
        <v>621</v>
      </c>
      <c r="K90" s="35" t="s">
        <v>622</v>
      </c>
      <c r="L90" s="37" t="str">
        <f t="shared" si="1"/>
        <v>MCI-01471</v>
      </c>
      <c r="M90" s="37" t="str">
        <f>IFERROR(LOOKUP(2,1/(COUNTIF($M$10:M89,$E$12:$E$322)=0),$E$12:$E$322),IF($M$12=M89,"",IF(M89&lt;&gt;"",$M$12,"")))</f>
        <v>Private provider engagement in TB/DR-TB care</v>
      </c>
      <c r="N90" s="37" t="b">
        <v>1</v>
      </c>
      <c r="O90" s="35">
        <v>1840</v>
      </c>
    </row>
    <row r="91" spans="2:15" x14ac:dyDescent="0.2">
      <c r="B91" s="35" t="s">
        <v>623</v>
      </c>
      <c r="C91" s="33" t="s">
        <v>144</v>
      </c>
      <c r="D91" s="32"/>
      <c r="E91" s="37" t="str">
        <f>IF(OR(TranslatemoduleName="[Name - FR]",TranslatemoduleName="[Name - ES]"),"",IF(InterventionsTranslate="[Name]","",InterventionsTranslate))</f>
        <v>Community mobilization and advocacy for human rights</v>
      </c>
      <c r="F91" s="32" t="s">
        <v>624</v>
      </c>
      <c r="G91" s="33" t="s">
        <v>589</v>
      </c>
      <c r="H91" s="32"/>
      <c r="I91" s="32" t="s">
        <v>625</v>
      </c>
      <c r="J91" s="32" t="s">
        <v>626</v>
      </c>
      <c r="K91" s="35" t="s">
        <v>627</v>
      </c>
      <c r="L91" s="37" t="str">
        <f t="shared" si="1"/>
        <v>MCI-01472</v>
      </c>
      <c r="M91" s="37" t="str">
        <f>IFERROR(LOOKUP(2,1/(COUNTIF($M$10:M90,$E$12:$E$322)=0),$E$12:$E$322),IF($M$12=M90,"",IF(M90&lt;&gt;"",$M$12,"")))</f>
        <v>Infection prevention and control (IPC)</v>
      </c>
      <c r="N91" s="37" t="b">
        <v>1</v>
      </c>
      <c r="O91" s="35">
        <v>1850</v>
      </c>
    </row>
    <row r="92" spans="2:15" x14ac:dyDescent="0.2">
      <c r="B92" s="35" t="s">
        <v>628</v>
      </c>
      <c r="C92" s="33" t="s">
        <v>148</v>
      </c>
      <c r="D92" s="32"/>
      <c r="E92" s="37" t="str">
        <f>IF(OR(TranslatemoduleName="[Name - FR]",TranslatemoduleName="[Name - ES]"),"",IF(InterventionsTranslate="[Name]","",InterventionsTranslate))</f>
        <v>TB screening and diagnosis</v>
      </c>
      <c r="F92" s="32" t="s">
        <v>629</v>
      </c>
      <c r="G92" s="33" t="s">
        <v>630</v>
      </c>
      <c r="H92" s="32"/>
      <c r="I92" s="32" t="s">
        <v>631</v>
      </c>
      <c r="J92" s="32" t="s">
        <v>632</v>
      </c>
      <c r="K92" s="35" t="s">
        <v>633</v>
      </c>
      <c r="L92" s="37" t="str">
        <f t="shared" si="1"/>
        <v>MCI-01360</v>
      </c>
      <c r="M92" s="37" t="str">
        <f>IFERROR(LOOKUP(2,1/(COUNTIF($M$10:M91,$E$12:$E$322)=0),$E$12:$E$322),IF($M$12=M91,"",IF(M91&lt;&gt;"",$M$12,"")))</f>
        <v>Preventive treatment</v>
      </c>
      <c r="N92" s="37" t="b">
        <v>1</v>
      </c>
      <c r="O92" s="35">
        <v>2010</v>
      </c>
    </row>
    <row r="93" spans="2:15" x14ac:dyDescent="0.2">
      <c r="B93" s="35" t="s">
        <v>634</v>
      </c>
      <c r="C93" s="33" t="s">
        <v>148</v>
      </c>
      <c r="D93" s="32"/>
      <c r="E93" s="37" t="str">
        <f>IF(OR(TranslatemoduleName="[Name - FR]",TranslatemoduleName="[Name - ES]"),"",IF(InterventionsTranslate="[Name]","",InterventionsTranslate))</f>
        <v>TB treatment, care and support</v>
      </c>
      <c r="F93" s="32" t="s">
        <v>635</v>
      </c>
      <c r="G93" s="33" t="s">
        <v>630</v>
      </c>
      <c r="H93" s="32"/>
      <c r="I93" s="32" t="s">
        <v>636</v>
      </c>
      <c r="J93" s="32" t="s">
        <v>637</v>
      </c>
      <c r="K93" s="35" t="s">
        <v>638</v>
      </c>
      <c r="L93" s="37" t="str">
        <f t="shared" si="1"/>
        <v>MCI-01361</v>
      </c>
      <c r="M93" s="37" t="str">
        <f>IFERROR(LOOKUP(2,1/(COUNTIF($M$10:M92,$E$12:$E$322)=0),$E$12:$E$322),IF($M$12=M92,"",IF(M92&lt;&gt;"",$M$12,"")))</f>
        <v>Screening/testing for TB infection</v>
      </c>
      <c r="N93" s="37" t="b">
        <v>1</v>
      </c>
      <c r="O93" s="35">
        <v>2020</v>
      </c>
    </row>
    <row r="94" spans="2:15" x14ac:dyDescent="0.2">
      <c r="B94" s="35" t="s">
        <v>639</v>
      </c>
      <c r="C94" s="33" t="s">
        <v>153</v>
      </c>
      <c r="D94" s="32"/>
      <c r="E94" s="37" t="str">
        <f>IF(OR(TranslatemoduleName="[Name - FR]",TranslatemoduleName="[Name - ES]"),"",IF(InterventionsTranslate="[Name]","",InterventionsTranslate))</f>
        <v>DR-TB diagnosis/drug susceptibility testing (DST)</v>
      </c>
      <c r="F94" s="32" t="s">
        <v>640</v>
      </c>
      <c r="G94" s="33" t="s">
        <v>641</v>
      </c>
      <c r="H94" s="32"/>
      <c r="I94" s="32" t="s">
        <v>642</v>
      </c>
      <c r="J94" s="32" t="s">
        <v>643</v>
      </c>
      <c r="K94" s="35" t="s">
        <v>644</v>
      </c>
      <c r="L94" s="37" t="str">
        <f t="shared" si="1"/>
        <v>MCI-01368</v>
      </c>
      <c r="M94" s="37" t="str">
        <f>IFERROR(LOOKUP(2,1/(COUNTIF($M$10:M93,$E$12:$E$322)=0),$E$12:$E$322),IF($M$12=M93,"",IF(M93&lt;&gt;"",$M$12,"")))</f>
        <v>DR-TB treatment, care and support</v>
      </c>
      <c r="N94" s="37" t="b">
        <v>1</v>
      </c>
      <c r="O94" s="35">
        <v>2030</v>
      </c>
    </row>
    <row r="95" spans="2:15" x14ac:dyDescent="0.2">
      <c r="B95" s="35" t="s">
        <v>645</v>
      </c>
      <c r="C95" s="33" t="s">
        <v>153</v>
      </c>
      <c r="D95" s="32"/>
      <c r="E95" s="37" t="str">
        <f>IF(OR(TranslatemoduleName="[Name - FR]",TranslatemoduleName="[Name - ES]"),"",IF(InterventionsTranslate="[Name]","",InterventionsTranslate))</f>
        <v>DR-TB treatment, care and support</v>
      </c>
      <c r="F95" s="32" t="s">
        <v>646</v>
      </c>
      <c r="G95" s="33" t="s">
        <v>641</v>
      </c>
      <c r="H95" s="32"/>
      <c r="I95" s="32" t="s">
        <v>647</v>
      </c>
      <c r="J95" s="32" t="s">
        <v>648</v>
      </c>
      <c r="K95" s="35" t="s">
        <v>649</v>
      </c>
      <c r="L95" s="37" t="str">
        <f t="shared" si="1"/>
        <v>MCI-01369</v>
      </c>
      <c r="M95" s="37" t="str">
        <f>IFERROR(LOOKUP(2,1/(COUNTIF($M$10:M94,$E$12:$E$322)=0),$E$12:$E$322),IF($M$12=M94,"",IF(M94&lt;&gt;"",$M$12,"")))</f>
        <v>DR-TB diagnosis/drug susceptibility testing (DST)</v>
      </c>
      <c r="N95" s="37" t="b">
        <v>1</v>
      </c>
      <c r="O95" s="35">
        <v>2040</v>
      </c>
    </row>
    <row r="96" spans="2:15" x14ac:dyDescent="0.2">
      <c r="B96" s="35" t="s">
        <v>650</v>
      </c>
      <c r="C96" s="33" t="s">
        <v>157</v>
      </c>
      <c r="D96" s="32"/>
      <c r="E96" s="37" t="str">
        <f>IF(OR(TranslatemoduleName="[Name - FR]",TranslatemoduleName="[Name - ES]"),"",IF(InterventionsTranslate="[Name]","",InterventionsTranslate))</f>
        <v>Screening/testing for TB infection</v>
      </c>
      <c r="F96" s="32" t="s">
        <v>651</v>
      </c>
      <c r="G96" s="33" t="s">
        <v>652</v>
      </c>
      <c r="H96" s="32"/>
      <c r="I96" s="32" t="s">
        <v>653</v>
      </c>
      <c r="J96" s="32" t="s">
        <v>654</v>
      </c>
      <c r="K96" s="35" t="s">
        <v>655</v>
      </c>
      <c r="L96" s="37" t="str">
        <f t="shared" si="1"/>
        <v>MCI-01507</v>
      </c>
      <c r="M96" s="37" t="str">
        <f>IFERROR(LOOKUP(2,1/(COUNTIF($M$10:M95,$E$12:$E$322)=0),$E$12:$E$322),IF($M$12=M95,"",IF(M95&lt;&gt;"",$M$12,"")))</f>
        <v>TB treatment, care and support</v>
      </c>
      <c r="N96" s="37" t="b">
        <v>1</v>
      </c>
      <c r="O96" s="35">
        <v>2050</v>
      </c>
    </row>
    <row r="97" spans="2:15" x14ac:dyDescent="0.2">
      <c r="B97" s="35" t="s">
        <v>656</v>
      </c>
      <c r="C97" s="33" t="s">
        <v>157</v>
      </c>
      <c r="D97" s="32"/>
      <c r="E97" s="37" t="str">
        <f>IF(OR(TranslatemoduleName="[Name - FR]",TranslatemoduleName="[Name - ES]"),"",IF(InterventionsTranslate="[Name]","",InterventionsTranslate))</f>
        <v>Preventive treatment</v>
      </c>
      <c r="F97" s="32" t="s">
        <v>657</v>
      </c>
      <c r="G97" s="33" t="s">
        <v>652</v>
      </c>
      <c r="H97" s="32"/>
      <c r="I97" s="32" t="s">
        <v>658</v>
      </c>
      <c r="J97" s="32" t="s">
        <v>659</v>
      </c>
      <c r="K97" s="35" t="s">
        <v>660</v>
      </c>
      <c r="L97" s="37" t="str">
        <f t="shared" si="1"/>
        <v>MCI-01508</v>
      </c>
      <c r="M97" s="37" t="str">
        <f>IFERROR(LOOKUP(2,1/(COUNTIF($M$10:M96,$E$12:$E$322)=0),$E$12:$E$322),IF($M$12=M96,"",IF(M96&lt;&gt;"",$M$12,"")))</f>
        <v>TB screening and diagnosis</v>
      </c>
      <c r="N97" s="37" t="b">
        <v>1</v>
      </c>
      <c r="O97" s="35">
        <v>2060</v>
      </c>
    </row>
    <row r="98" spans="2:15" x14ac:dyDescent="0.2">
      <c r="B98" s="35" t="s">
        <v>661</v>
      </c>
      <c r="C98" s="33" t="s">
        <v>157</v>
      </c>
      <c r="D98" s="32"/>
      <c r="E98" s="37" t="str">
        <f>IF(OR(TranslatemoduleName="[Name - FR]",TranslatemoduleName="[Name - ES]"),"",IF(InterventionsTranslate="[Name]","",InterventionsTranslate))</f>
        <v>Infection prevention and control (IPC)</v>
      </c>
      <c r="F98" s="32" t="s">
        <v>662</v>
      </c>
      <c r="G98" s="33" t="s">
        <v>652</v>
      </c>
      <c r="H98" s="32"/>
      <c r="I98" s="32" t="s">
        <v>663</v>
      </c>
      <c r="J98" s="32" t="s">
        <v>664</v>
      </c>
      <c r="K98" s="35" t="s">
        <v>665</v>
      </c>
      <c r="L98" s="37" t="str">
        <f t="shared" si="1"/>
        <v>MCI-01509</v>
      </c>
      <c r="M98" s="37" t="str">
        <f>IFERROR(LOOKUP(2,1/(COUNTIF($M$10:M97,$E$12:$E$322)=0),$E$12:$E$322),IF($M$12=M97,"",IF(M97&lt;&gt;"",$M$12,"")))</f>
        <v>Community mobilization and advocacy for human rights</v>
      </c>
      <c r="N98" s="37" t="b">
        <v>1</v>
      </c>
      <c r="O98" s="35">
        <v>2070</v>
      </c>
    </row>
    <row r="99" spans="2:15" x14ac:dyDescent="0.2">
      <c r="B99" s="35" t="s">
        <v>666</v>
      </c>
      <c r="C99" s="33" t="s">
        <v>161</v>
      </c>
      <c r="D99" s="32"/>
      <c r="E99" s="37" t="str">
        <f>IF(OR(TranslatemoduleName="[Name - FR]",TranslatemoduleName="[Name - ES]"),"",IF(InterventionsTranslate="[Name]","",InterventionsTranslate))</f>
        <v>Private provider engagement in TB/DR-TB care</v>
      </c>
      <c r="F99" s="32" t="s">
        <v>667</v>
      </c>
      <c r="G99" s="33" t="s">
        <v>668</v>
      </c>
      <c r="H99" s="32"/>
      <c r="I99" s="32" t="s">
        <v>669</v>
      </c>
      <c r="J99" s="32" t="s">
        <v>670</v>
      </c>
      <c r="K99" s="35" t="s">
        <v>671</v>
      </c>
      <c r="L99" s="37" t="str">
        <f t="shared" si="1"/>
        <v>MCI-01498</v>
      </c>
      <c r="M99" s="37" t="str">
        <f>IFERROR(LOOKUP(2,1/(COUNTIF($M$10:M98,$E$12:$E$322)=0),$E$12:$E$322),IF($M$12=M98,"",IF(M98&lt;&gt;"",$M$12,"")))</f>
        <v>Reducing HIV-related gender discrimination, harmful gender norms and violence against women and girls in all their diversity</v>
      </c>
      <c r="N99" s="37" t="b">
        <v>1</v>
      </c>
      <c r="O99" s="35">
        <v>2080</v>
      </c>
    </row>
    <row r="100" spans="2:15" x14ac:dyDescent="0.2">
      <c r="B100" s="35" t="s">
        <v>672</v>
      </c>
      <c r="C100" s="33" t="s">
        <v>161</v>
      </c>
      <c r="D100" s="32"/>
      <c r="E100" s="37" t="str">
        <f>IF(OR(TranslatemoduleName="[Name - FR]",TranslatemoduleName="[Name - ES]"),"",IF(InterventionsTranslate="[Name]","",InterventionsTranslate))</f>
        <v>Community-based TB/DR-TB care</v>
      </c>
      <c r="F100" s="32" t="s">
        <v>673</v>
      </c>
      <c r="G100" s="33" t="s">
        <v>668</v>
      </c>
      <c r="H100" s="32"/>
      <c r="I100" s="32" t="s">
        <v>674</v>
      </c>
      <c r="J100" s="32" t="s">
        <v>675</v>
      </c>
      <c r="K100" s="35" t="s">
        <v>676</v>
      </c>
      <c r="L100" s="37" t="str">
        <f t="shared" si="1"/>
        <v>MCI-01499</v>
      </c>
      <c r="M100" s="37" t="str">
        <f>IFERROR(LOOKUP(2,1/(COUNTIF($M$10:M99,$E$12:$E$322)=0),$E$12:$E$322),IF($M$12=M99,"",IF(M99&lt;&gt;"",$M$12,"")))</f>
        <v>Improving laws, regulations and polices relating to HIV and HIV/TB</v>
      </c>
      <c r="N100" s="37" t="b">
        <v>1</v>
      </c>
      <c r="O100" s="35">
        <v>2090</v>
      </c>
    </row>
    <row r="101" spans="2:15" x14ac:dyDescent="0.2">
      <c r="B101" s="35" t="s">
        <v>677</v>
      </c>
      <c r="C101" s="33" t="s">
        <v>161</v>
      </c>
      <c r="D101" s="32"/>
      <c r="E101" s="37" t="str">
        <f>IF(OR(TranslatemoduleName="[Name - FR]",TranslatemoduleName="[Name - ES]"),"",IF(InterventionsTranslate="[Name]","",InterventionsTranslate))</f>
        <v>Collaboration with other programs/sectors</v>
      </c>
      <c r="F101" s="32" t="s">
        <v>678</v>
      </c>
      <c r="G101" s="33" t="s">
        <v>668</v>
      </c>
      <c r="H101" s="32"/>
      <c r="I101" s="32" t="s">
        <v>679</v>
      </c>
      <c r="J101" s="32" t="s">
        <v>680</v>
      </c>
      <c r="K101" s="35" t="s">
        <v>681</v>
      </c>
      <c r="L101" s="37" t="str">
        <f t="shared" si="1"/>
        <v>MCI-01500</v>
      </c>
      <c r="M101" s="37" t="str">
        <f>IFERROR(LOOKUP(2,1/(COUNTIF($M$10:M100,$E$12:$E$322)=0),$E$12:$E$322),IF($M$12=M100,"",IF(M100&lt;&gt;"",$M$12,"")))</f>
        <v>Ensuring rights-based law enforcement practices</v>
      </c>
      <c r="N101" s="37" t="b">
        <v>1</v>
      </c>
      <c r="O101" s="35">
        <v>2100</v>
      </c>
    </row>
    <row r="102" spans="2:15" x14ac:dyDescent="0.2">
      <c r="B102" s="35" t="s">
        <v>682</v>
      </c>
      <c r="C102" s="33" t="s">
        <v>165</v>
      </c>
      <c r="D102" s="32"/>
      <c r="E102" s="37" t="str">
        <f>IF(OR(TranslatemoduleName="[Name - FR]",TranslatemoduleName="[Name - ES]"),"",IF(InterventionsTranslate="[Name]","",InterventionsTranslate))</f>
        <v>KVP - Children and adolescents</v>
      </c>
      <c r="F102" s="32" t="s">
        <v>683</v>
      </c>
      <c r="G102" s="33" t="s">
        <v>684</v>
      </c>
      <c r="H102" s="32"/>
      <c r="I102" s="32" t="s">
        <v>685</v>
      </c>
      <c r="J102" s="32" t="s">
        <v>686</v>
      </c>
      <c r="K102" s="35" t="s">
        <v>687</v>
      </c>
      <c r="L102" s="37" t="str">
        <f t="shared" si="1"/>
        <v>MCI-01501</v>
      </c>
      <c r="M102" s="37" t="str">
        <f>IFERROR(LOOKUP(2,1/(COUNTIF($M$10:M101,$E$12:$E$322)=0),$E$12:$E$322),IF($M$12=M101,"",IF(M101&lt;&gt;"",$M$12,"")))</f>
        <v>Increasing access to justice (HIV/TB)</v>
      </c>
      <c r="N102" s="37" t="b">
        <v>1</v>
      </c>
      <c r="O102" s="35">
        <v>2110</v>
      </c>
    </row>
    <row r="103" spans="2:15" x14ac:dyDescent="0.2">
      <c r="B103" s="35" t="s">
        <v>688</v>
      </c>
      <c r="C103" s="33" t="s">
        <v>165</v>
      </c>
      <c r="D103" s="32"/>
      <c r="E103" s="37" t="str">
        <f>IF(OR(TranslatemoduleName="[Name - FR]",TranslatemoduleName="[Name - ES]"),"",IF(InterventionsTranslate="[Name]","",InterventionsTranslate))</f>
        <v>KVP - People in prisons/jails/detention centers</v>
      </c>
      <c r="F103" s="32" t="s">
        <v>689</v>
      </c>
      <c r="G103" s="33" t="s">
        <v>684</v>
      </c>
      <c r="H103" s="32"/>
      <c r="I103" s="32" t="s">
        <v>690</v>
      </c>
      <c r="J103" s="32" t="s">
        <v>691</v>
      </c>
      <c r="K103" s="35" t="s">
        <v>692</v>
      </c>
      <c r="L103" s="37" t="str">
        <f t="shared" si="1"/>
        <v>MCI-01502</v>
      </c>
      <c r="M103" s="37" t="str">
        <f>IFERROR(LOOKUP(2,1/(COUNTIF($M$10:M102,$E$12:$E$322)=0),$E$12:$E$322),IF($M$12=M102,"",IF(M102&lt;&gt;"",$M$12,"")))</f>
        <v>Ensuring nondiscriminatory provision of health care</v>
      </c>
      <c r="N103" s="37" t="b">
        <v>1</v>
      </c>
      <c r="O103" s="35">
        <v>2120</v>
      </c>
    </row>
    <row r="104" spans="2:15" x14ac:dyDescent="0.2">
      <c r="B104" s="35" t="s">
        <v>693</v>
      </c>
      <c r="C104" s="33" t="s">
        <v>165</v>
      </c>
      <c r="D104" s="32"/>
      <c r="E104" s="37" t="str">
        <f>IF(OR(TranslatemoduleName="[Name - FR]",TranslatemoduleName="[Name - ES]"),"",IF(InterventionsTranslate="[Name]","",InterventionsTranslate))</f>
        <v>KVP - Mobile population (migrants/refugees/IDPs)</v>
      </c>
      <c r="F104" s="32" t="s">
        <v>694</v>
      </c>
      <c r="G104" s="33" t="s">
        <v>684</v>
      </c>
      <c r="H104" s="32"/>
      <c r="I104" s="32" t="s">
        <v>695</v>
      </c>
      <c r="J104" s="32" t="s">
        <v>696</v>
      </c>
      <c r="K104" s="35" t="s">
        <v>697</v>
      </c>
      <c r="L104" s="37" t="str">
        <f t="shared" si="1"/>
        <v>MCI-01503</v>
      </c>
      <c r="M104" s="37" t="str">
        <f>IFERROR(LOOKUP(2,1/(COUNTIF($M$10:M103,$E$12:$E$322)=0),$E$12:$E$322),IF($M$12=M103,"",IF(M103&lt;&gt;"",$M$12,"")))</f>
        <v>Legal literacy (“Know Your Rights”) (HIV/TB)</v>
      </c>
      <c r="N104" s="37" t="b">
        <v>1</v>
      </c>
      <c r="O104" s="35">
        <v>2130</v>
      </c>
    </row>
    <row r="105" spans="2:15" x14ac:dyDescent="0.2">
      <c r="B105" s="35" t="s">
        <v>698</v>
      </c>
      <c r="C105" s="33" t="s">
        <v>165</v>
      </c>
      <c r="D105" s="32"/>
      <c r="E105" s="37" t="str">
        <f>IF(OR(TranslatemoduleName="[Name - FR]",TranslatemoduleName="[Name - ES]"),"",IF(InterventionsTranslate="[Name]","",InterventionsTranslate))</f>
        <v>KVP - Miners and mining communities</v>
      </c>
      <c r="F105" s="32" t="s">
        <v>699</v>
      </c>
      <c r="G105" s="33" t="s">
        <v>684</v>
      </c>
      <c r="H105" s="32"/>
      <c r="I105" s="32" t="s">
        <v>700</v>
      </c>
      <c r="J105" s="32" t="s">
        <v>701</v>
      </c>
      <c r="K105" s="35" t="s">
        <v>702</v>
      </c>
      <c r="L105" s="37" t="str">
        <f t="shared" si="1"/>
        <v>MCI-01504</v>
      </c>
      <c r="M105" s="37" t="str">
        <f>IFERROR(LOOKUP(2,1/(COUNTIF($M$10:M104,$E$12:$E$322)=0),$E$12:$E$322),IF($M$12=M104,"",IF(M104&lt;&gt;"",$M$12,"")))</f>
        <v>Eliminating stigma and discrimination in all settings</v>
      </c>
      <c r="N105" s="37" t="b">
        <v>1</v>
      </c>
      <c r="O105" s="35">
        <v>2140</v>
      </c>
    </row>
    <row r="106" spans="2:15" x14ac:dyDescent="0.2">
      <c r="B106" s="35" t="s">
        <v>703</v>
      </c>
      <c r="C106" s="33" t="s">
        <v>165</v>
      </c>
      <c r="D106" s="32"/>
      <c r="E106" s="37" t="str">
        <f>IF(OR(TranslatemoduleName="[Name - FR]",TranslatemoduleName="[Name - ES]"),"",IF(InterventionsTranslate="[Name]","",InterventionsTranslate))</f>
        <v>KVP - Urban poor/slum dwellers</v>
      </c>
      <c r="F106" s="32" t="s">
        <v>704</v>
      </c>
      <c r="G106" s="33" t="s">
        <v>684</v>
      </c>
      <c r="H106" s="32"/>
      <c r="I106" s="32" t="s">
        <v>705</v>
      </c>
      <c r="J106" s="32" t="s">
        <v>706</v>
      </c>
      <c r="K106" s="35" t="s">
        <v>707</v>
      </c>
      <c r="L106" s="37" t="str">
        <f t="shared" si="1"/>
        <v>MCI-01505</v>
      </c>
      <c r="M106" s="37" t="str">
        <f>IFERROR(LOOKUP(2,1/(COUNTIF($M$10:M105,$E$12:$E$322)=0),$E$12:$E$322),IF($M$12=M105,"",IF(M105&lt;&gt;"",$M$12,"")))</f>
        <v>Diagnosis and management of advanced disease (adults and children)</v>
      </c>
      <c r="N106" s="37" t="b">
        <v>1</v>
      </c>
      <c r="O106" s="35">
        <v>2150</v>
      </c>
    </row>
    <row r="107" spans="2:15" x14ac:dyDescent="0.2">
      <c r="B107" s="35" t="s">
        <v>708</v>
      </c>
      <c r="C107" s="33" t="s">
        <v>165</v>
      </c>
      <c r="D107" s="32"/>
      <c r="E107" s="37" t="str">
        <f>IF(OR(TranslatemoduleName="[Name - FR]",TranslatemoduleName="[Name - ES]"),"",IF(InterventionsTranslate="[Name]","",InterventionsTranslate))</f>
        <v>KVP - Others</v>
      </c>
      <c r="F107" s="32" t="s">
        <v>709</v>
      </c>
      <c r="G107" s="33" t="s">
        <v>684</v>
      </c>
      <c r="H107" s="32"/>
      <c r="I107" s="32" t="s">
        <v>710</v>
      </c>
      <c r="J107" s="32" t="s">
        <v>711</v>
      </c>
      <c r="K107" s="35" t="s">
        <v>712</v>
      </c>
      <c r="L107" s="37" t="str">
        <f t="shared" si="1"/>
        <v>MCI-01506</v>
      </c>
      <c r="M107" s="37" t="str">
        <f>IFERROR(LOOKUP(2,1/(COUNTIF($M$10:M106,$E$12:$E$322)=0),$E$12:$E$322),IF($M$12=M106,"",IF(M106&lt;&gt;"",$M$12,"")))</f>
        <v>Integrated management of common co-infections and co-morbidities (adults and children)</v>
      </c>
      <c r="N107" s="37" t="b">
        <v>1</v>
      </c>
      <c r="O107" s="35">
        <v>2160</v>
      </c>
    </row>
    <row r="108" spans="2:15" x14ac:dyDescent="0.2">
      <c r="B108" s="35" t="s">
        <v>713</v>
      </c>
      <c r="C108" s="33" t="s">
        <v>169</v>
      </c>
      <c r="D108" s="32"/>
      <c r="E108" s="37" t="str">
        <f>IF(OR(TranslatemoduleName="[Name - FR]",TranslatemoduleName="[Name - ES]"),"",IF(InterventionsTranslate="[Name]","",InterventionsTranslate))</f>
        <v>TB/HIV - Collaborative interventions</v>
      </c>
      <c r="F108" s="32" t="s">
        <v>714</v>
      </c>
      <c r="G108" s="33" t="s">
        <v>715</v>
      </c>
      <c r="H108" s="32"/>
      <c r="I108" s="32" t="s">
        <v>716</v>
      </c>
      <c r="J108" s="32" t="s">
        <v>717</v>
      </c>
      <c r="K108" s="35" t="s">
        <v>718</v>
      </c>
      <c r="L108" s="37" t="str">
        <f t="shared" si="1"/>
        <v>MCI-01362</v>
      </c>
      <c r="M108" s="37" t="str">
        <f>IFERROR(LOOKUP(2,1/(COUNTIF($M$10:M107,$E$12:$E$322)=0),$E$12:$E$322),IF($M$12=M107,"",IF(M107&lt;&gt;"",$M$12,"")))</f>
        <v>Treatment monitoring - Viral load and antiretroviral (ARV) toxicity</v>
      </c>
      <c r="N108" s="37" t="b">
        <v>1</v>
      </c>
      <c r="O108" s="35">
        <v>1720</v>
      </c>
    </row>
    <row r="109" spans="2:15" x14ac:dyDescent="0.2">
      <c r="B109" s="35" t="s">
        <v>719</v>
      </c>
      <c r="C109" s="33" t="s">
        <v>169</v>
      </c>
      <c r="D109" s="32"/>
      <c r="E109" s="37" t="str">
        <f>IF(OR(TranslatemoduleName="[Name - FR]",TranslatemoduleName="[Name - ES]"),"",IF(InterventionsTranslate="[Name]","",InterventionsTranslate))</f>
        <v>TB/HIV - Screening, testing and diagnosis</v>
      </c>
      <c r="F109" s="32" t="s">
        <v>720</v>
      </c>
      <c r="G109" s="33" t="s">
        <v>715</v>
      </c>
      <c r="H109" s="32"/>
      <c r="I109" s="32" t="s">
        <v>721</v>
      </c>
      <c r="J109" s="32" t="s">
        <v>722</v>
      </c>
      <c r="K109" s="35" t="s">
        <v>723</v>
      </c>
      <c r="L109" s="37" t="str">
        <f t="shared" si="1"/>
        <v>MCI-01363</v>
      </c>
      <c r="M109" s="37" t="str">
        <f>IFERROR(LOOKUP(2,1/(COUNTIF($M$10:M108,$E$12:$E$322)=0),$E$12:$E$322),IF($M$12=M108,"",IF(M108&lt;&gt;"",$M$12,"")))</f>
        <v>Treatment monitoring - Drug resistance</v>
      </c>
      <c r="N109" s="37" t="b">
        <v>1</v>
      </c>
      <c r="O109" s="35">
        <v>1730</v>
      </c>
    </row>
    <row r="110" spans="2:15" x14ac:dyDescent="0.2">
      <c r="B110" s="35" t="s">
        <v>724</v>
      </c>
      <c r="C110" s="33" t="s">
        <v>169</v>
      </c>
      <c r="D110" s="32"/>
      <c r="E110" s="37" t="str">
        <f>IF(OR(TranslatemoduleName="[Name - FR]",TranslatemoduleName="[Name - ES]"),"",IF(InterventionsTranslate="[Name]","",InterventionsTranslate))</f>
        <v>TB/HIV - Treatment and care</v>
      </c>
      <c r="F110" s="32" t="s">
        <v>725</v>
      </c>
      <c r="G110" s="33" t="s">
        <v>715</v>
      </c>
      <c r="H110" s="32"/>
      <c r="I110" s="32" t="s">
        <v>726</v>
      </c>
      <c r="J110" s="32" t="s">
        <v>727</v>
      </c>
      <c r="K110" s="35" t="s">
        <v>728</v>
      </c>
      <c r="L110" s="37" t="str">
        <f t="shared" si="1"/>
        <v>MCI-01364</v>
      </c>
      <c r="M110" s="37" t="str">
        <f>IFERROR(LOOKUP(2,1/(COUNTIF($M$10:M109,$E$12:$E$322)=0),$E$12:$E$322),IF($M$12=M109,"",IF(M109&lt;&gt;"",$M$12,"")))</f>
        <v>HIV treatment and differentiated service delivery - children (under 15)</v>
      </c>
      <c r="N110" s="37" t="b">
        <v>1</v>
      </c>
      <c r="O110" s="35">
        <v>1740</v>
      </c>
    </row>
    <row r="111" spans="2:15" x14ac:dyDescent="0.2">
      <c r="B111" s="35" t="s">
        <v>729</v>
      </c>
      <c r="C111" s="33" t="s">
        <v>169</v>
      </c>
      <c r="D111" s="32"/>
      <c r="E111" s="37" t="str">
        <f>IF(OR(TranslatemoduleName="[Name - FR]",TranslatemoduleName="[Name - ES]"),"",IF(InterventionsTranslate="[Name]","",InterventionsTranslate))</f>
        <v>TB/HIV - Prevention</v>
      </c>
      <c r="F111" s="32" t="s">
        <v>730</v>
      </c>
      <c r="G111" s="33" t="s">
        <v>715</v>
      </c>
      <c r="H111" s="32"/>
      <c r="I111" s="32" t="s">
        <v>731</v>
      </c>
      <c r="J111" s="32" t="s">
        <v>732</v>
      </c>
      <c r="K111" s="35" t="s">
        <v>733</v>
      </c>
      <c r="L111" s="37" t="str">
        <f t="shared" si="1"/>
        <v>MCI-01365</v>
      </c>
      <c r="M111" s="37" t="str">
        <f>IFERROR(LOOKUP(2,1/(COUNTIF($M$10:M110,$E$12:$E$322)=0),$E$12:$E$322),IF($M$12=M110,"",IF(M110&lt;&gt;"",$M$12,"")))</f>
        <v>HIV treatment and differentiated service delivery - adults (15 and above)</v>
      </c>
      <c r="N111" s="37" t="b">
        <v>1</v>
      </c>
      <c r="O111" s="35">
        <v>1750</v>
      </c>
    </row>
    <row r="112" spans="2:15" x14ac:dyDescent="0.2">
      <c r="B112" s="35" t="s">
        <v>734</v>
      </c>
      <c r="C112" s="33" t="s">
        <v>169</v>
      </c>
      <c r="D112" s="32"/>
      <c r="E112" s="37" t="str">
        <f>IF(OR(TranslatemoduleName="[Name - FR]",TranslatemoduleName="[Name - ES]"),"",IF(InterventionsTranslate="[Name]","",InterventionsTranslate))</f>
        <v>TB/HIV - Community care delivery</v>
      </c>
      <c r="F112" s="32" t="s">
        <v>735</v>
      </c>
      <c r="G112" s="33" t="s">
        <v>715</v>
      </c>
      <c r="H112" s="32"/>
      <c r="I112" s="32" t="s">
        <v>736</v>
      </c>
      <c r="J112" s="32" t="s">
        <v>737</v>
      </c>
      <c r="K112" s="35" t="s">
        <v>738</v>
      </c>
      <c r="L112" s="37" t="str">
        <f t="shared" si="1"/>
        <v>MCI-01366</v>
      </c>
      <c r="M112" s="37" t="str">
        <f>IFERROR(LOOKUP(2,1/(COUNTIF($M$10:M111,$E$12:$E$322)=0),$E$12:$E$322),IF($M$12=M111,"",IF(M111&lt;&gt;"",$M$12,"")))</f>
        <v>Self-testing outside of KP and AGYW programs</v>
      </c>
      <c r="N112" s="37" t="b">
        <v>1</v>
      </c>
      <c r="O112" s="35">
        <v>1760</v>
      </c>
    </row>
    <row r="113" spans="2:15" x14ac:dyDescent="0.2">
      <c r="B113" s="35" t="s">
        <v>739</v>
      </c>
      <c r="C113" s="33" t="s">
        <v>169</v>
      </c>
      <c r="D113" s="32"/>
      <c r="E113" s="37" t="str">
        <f>IF(OR(TranslatemoduleName="[Name - FR]",TranslatemoduleName="[Name - ES]"),"",IF(InterventionsTranslate="[Name]","",InterventionsTranslate))</f>
        <v>TB/HIV - Key populations</v>
      </c>
      <c r="F113" s="32" t="s">
        <v>740</v>
      </c>
      <c r="G113" s="33" t="s">
        <v>715</v>
      </c>
      <c r="H113" s="32"/>
      <c r="I113" s="32" t="s">
        <v>741</v>
      </c>
      <c r="J113" s="32" t="s">
        <v>742</v>
      </c>
      <c r="K113" s="35" t="s">
        <v>743</v>
      </c>
      <c r="L113" s="37" t="str">
        <f t="shared" si="1"/>
        <v>MCI-01367</v>
      </c>
      <c r="M113" s="37" t="str">
        <f>IFERROR(LOOKUP(2,1/(COUNTIF($M$10:M112,$E$12:$E$322)=0),$E$12:$E$322),IF($M$12=M112,"",IF(M112&lt;&gt;"",$M$12,"")))</f>
        <v>Self-testing for AGYW and their male sexual partners programs</v>
      </c>
      <c r="N113" s="37" t="b">
        <v>1</v>
      </c>
      <c r="O113" s="35">
        <v>1770</v>
      </c>
    </row>
    <row r="114" spans="2:15" x14ac:dyDescent="0.2">
      <c r="B114" s="35" t="s">
        <v>744</v>
      </c>
      <c r="C114" s="33" t="s">
        <v>172</v>
      </c>
      <c r="D114" s="32"/>
      <c r="E114" s="37" t="str">
        <f>IF(OR(TranslatemoduleName="[Name - FR]",TranslatemoduleName="[Name - ES]"),"",IF(InterventionsTranslate="[Name]","",InterventionsTranslate))</f>
        <v>Eliminating TB-related stigma and discrimination</v>
      </c>
      <c r="F114" s="32" t="s">
        <v>745</v>
      </c>
      <c r="G114" s="33" t="s">
        <v>746</v>
      </c>
      <c r="H114" s="32"/>
      <c r="I114" s="32" t="s">
        <v>747</v>
      </c>
      <c r="J114" s="32" t="s">
        <v>748</v>
      </c>
      <c r="K114" s="35" t="s">
        <v>749</v>
      </c>
      <c r="L114" s="37" t="str">
        <f t="shared" si="1"/>
        <v>MCI-01476</v>
      </c>
      <c r="M114" s="37" t="str">
        <f>IFERROR(LOOKUP(2,1/(COUNTIF($M$10:M113,$E$12:$E$322)=0),$E$12:$E$322),IF($M$12=M113,"",IF(M113&lt;&gt;"",$M$12,"")))</f>
        <v>Self-testing for KP programs</v>
      </c>
      <c r="N114" s="37" t="b">
        <v>1</v>
      </c>
      <c r="O114" s="35">
        <v>2230</v>
      </c>
    </row>
    <row r="115" spans="2:15" x14ac:dyDescent="0.2">
      <c r="B115" s="35" t="s">
        <v>750</v>
      </c>
      <c r="C115" s="33" t="s">
        <v>172</v>
      </c>
      <c r="D115" s="32"/>
      <c r="E115" s="37" t="str">
        <f>IF(OR(TranslatemoduleName="[Name - FR]",TranslatemoduleName="[Name - ES]"),"",IF(InterventionsTranslate="[Name]","",InterventionsTranslate))</f>
        <v>Ensuring people-centered and rights-based TB services at health facilities</v>
      </c>
      <c r="F115" s="32" t="s">
        <v>751</v>
      </c>
      <c r="G115" s="33" t="s">
        <v>746</v>
      </c>
      <c r="H115" s="32"/>
      <c r="I115" s="32" t="s">
        <v>752</v>
      </c>
      <c r="J115" s="32" t="s">
        <v>753</v>
      </c>
      <c r="K115" s="35" t="s">
        <v>754</v>
      </c>
      <c r="L115" s="37" t="str">
        <f t="shared" si="1"/>
        <v>MCI-01477</v>
      </c>
      <c r="M115" s="37" t="str">
        <f>IFERROR(LOOKUP(2,1/(COUNTIF($M$10:M114,$E$12:$E$322)=0),$E$12:$E$322),IF($M$12=M114,"",IF(M114&lt;&gt;"",$M$12,"")))</f>
        <v>Community-based testing outside of KP and AGYW programs</v>
      </c>
      <c r="N115" s="37" t="b">
        <v>1</v>
      </c>
      <c r="O115" s="35">
        <v>2240</v>
      </c>
    </row>
    <row r="116" spans="2:15" x14ac:dyDescent="0.2">
      <c r="B116" s="35" t="s">
        <v>755</v>
      </c>
      <c r="C116" s="33" t="s">
        <v>172</v>
      </c>
      <c r="D116" s="32"/>
      <c r="E116" s="37" t="str">
        <f>IF(OR(TranslatemoduleName="[Name - FR]",TranslatemoduleName="[Name - ES]"),"",IF(InterventionsTranslate="[Name]","",InterventionsTranslate))</f>
        <v>Ensuring people-centered and rights-based law enforcement practices</v>
      </c>
      <c r="F116" s="32" t="s">
        <v>756</v>
      </c>
      <c r="G116" s="33" t="s">
        <v>746</v>
      </c>
      <c r="H116" s="32"/>
      <c r="I116" s="32" t="s">
        <v>757</v>
      </c>
      <c r="J116" s="32" t="s">
        <v>758</v>
      </c>
      <c r="K116" s="35" t="s">
        <v>759</v>
      </c>
      <c r="L116" s="37" t="str">
        <f t="shared" si="1"/>
        <v>MCI-01478</v>
      </c>
      <c r="M116" s="37" t="str">
        <f>IFERROR(LOOKUP(2,1/(COUNTIF($M$10:M115,$E$12:$E$322)=0),$E$12:$E$322),IF($M$12=M115,"",IF(M115&lt;&gt;"",$M$12,"")))</f>
        <v>Community-based testing for AGYW and their male sexual partners programs</v>
      </c>
      <c r="N116" s="37" t="b">
        <v>1</v>
      </c>
      <c r="O116" s="35">
        <v>2250</v>
      </c>
    </row>
    <row r="117" spans="2:15" x14ac:dyDescent="0.2">
      <c r="B117" s="35" t="s">
        <v>760</v>
      </c>
      <c r="C117" s="33" t="s">
        <v>172</v>
      </c>
      <c r="D117" s="32"/>
      <c r="E117" s="37" t="str">
        <f>IF(OR(TranslatemoduleName="[Name - FR]",TranslatemoduleName="[Name - ES]"),"",IF(InterventionsTranslate="[Name]","",InterventionsTranslate))</f>
        <v>Legal literacy (“Know Your Rights”) (TB)</v>
      </c>
      <c r="F117" s="32" t="s">
        <v>761</v>
      </c>
      <c r="G117" s="33" t="s">
        <v>746</v>
      </c>
      <c r="H117" s="32"/>
      <c r="I117" s="32" t="s">
        <v>762</v>
      </c>
      <c r="J117" s="32" t="s">
        <v>763</v>
      </c>
      <c r="K117" s="35" t="s">
        <v>764</v>
      </c>
      <c r="L117" s="37" t="str">
        <f t="shared" si="1"/>
        <v>MCI-01479</v>
      </c>
      <c r="M117" s="37" t="str">
        <f>IFERROR(LOOKUP(2,1/(COUNTIF($M$10:M116,$E$12:$E$322)=0),$E$12:$E$322),IF($M$12=M116,"",IF(M116&lt;&gt;"",$M$12,"")))</f>
        <v>Community-based testing for KP programs</v>
      </c>
      <c r="N117" s="37" t="b">
        <v>1</v>
      </c>
      <c r="O117" s="35">
        <v>2260</v>
      </c>
    </row>
    <row r="118" spans="2:15" x14ac:dyDescent="0.2">
      <c r="B118" s="35" t="s">
        <v>765</v>
      </c>
      <c r="C118" s="33" t="s">
        <v>172</v>
      </c>
      <c r="D118" s="32"/>
      <c r="E118" s="37" t="str">
        <f>IF(OR(TranslatemoduleName="[Name - FR]",TranslatemoduleName="[Name - ES]"),"",IF(InterventionsTranslate="[Name]","",InterventionsTranslate))</f>
        <v>Increasing access to justice (TB)</v>
      </c>
      <c r="F118" s="32" t="s">
        <v>766</v>
      </c>
      <c r="G118" s="33" t="s">
        <v>746</v>
      </c>
      <c r="H118" s="32"/>
      <c r="I118" s="32" t="s">
        <v>767</v>
      </c>
      <c r="J118" s="32" t="s">
        <v>768</v>
      </c>
      <c r="K118" s="35" t="s">
        <v>769</v>
      </c>
      <c r="L118" s="37" t="str">
        <f t="shared" si="1"/>
        <v>MCI-01480</v>
      </c>
      <c r="M118" s="37" t="str">
        <f>IFERROR(LOOKUP(2,1/(COUNTIF($M$10:M117,$E$12:$E$322)=0),$E$12:$E$322),IF($M$12=M117,"",IF(M117&lt;&gt;"",$M$12,"")))</f>
        <v>Facility-based testing outside of key population (KP) and adolescent girls and young women (AGYW) programs</v>
      </c>
      <c r="N118" s="37" t="b">
        <v>1</v>
      </c>
      <c r="O118" s="35">
        <v>2270</v>
      </c>
    </row>
    <row r="119" spans="2:15" x14ac:dyDescent="0.2">
      <c r="B119" s="35" t="s">
        <v>770</v>
      </c>
      <c r="C119" s="33" t="s">
        <v>172</v>
      </c>
      <c r="D119" s="32"/>
      <c r="E119" s="37" t="str">
        <f>IF(OR(TranslatemoduleName="[Name - FR]",TranslatemoduleName="[Name - ES]"),"",IF(InterventionsTranslate="[Name]","",InterventionsTranslate))</f>
        <v>Monitoring and reforming policies, regulations and laws</v>
      </c>
      <c r="F119" s="32" t="s">
        <v>771</v>
      </c>
      <c r="G119" s="33" t="s">
        <v>746</v>
      </c>
      <c r="H119" s="32"/>
      <c r="I119" s="32" t="s">
        <v>772</v>
      </c>
      <c r="J119" s="32" t="s">
        <v>773</v>
      </c>
      <c r="K119" s="35" t="s">
        <v>774</v>
      </c>
      <c r="L119" s="37" t="str">
        <f t="shared" si="1"/>
        <v>MCI-01481</v>
      </c>
      <c r="M119" s="37" t="str">
        <f>IFERROR(LOOKUP(2,1/(COUNTIF($M$10:M118,$E$12:$E$322)=0),$E$12:$E$322),IF($M$12=M118,"",IF(M118&lt;&gt;"",$M$12,"")))</f>
        <v>Facility-based testing for adolescent girls and young women (AGYW) and their male sexual partners programs</v>
      </c>
      <c r="N119" s="37" t="b">
        <v>1</v>
      </c>
      <c r="O119" s="35">
        <v>2280</v>
      </c>
    </row>
    <row r="120" spans="2:15" x14ac:dyDescent="0.2">
      <c r="B120" s="35" t="s">
        <v>775</v>
      </c>
      <c r="C120" s="33" t="s">
        <v>172</v>
      </c>
      <c r="D120" s="32"/>
      <c r="E120" s="37" t="str">
        <f>IF(OR(TranslatemoduleName="[Name - FR]",TranslatemoduleName="[Name - ES]"),"",IF(InterventionsTranslate="[Name]","",InterventionsTranslate))</f>
        <v>Addressing needs of people in prisons and other closed settings</v>
      </c>
      <c r="F120" s="32" t="s">
        <v>776</v>
      </c>
      <c r="G120" s="33" t="s">
        <v>746</v>
      </c>
      <c r="H120" s="32"/>
      <c r="I120" s="32" t="s">
        <v>777</v>
      </c>
      <c r="J120" s="32" t="s">
        <v>778</v>
      </c>
      <c r="K120" s="35" t="s">
        <v>779</v>
      </c>
      <c r="L120" s="37" t="str">
        <f t="shared" si="1"/>
        <v>MCI-01482</v>
      </c>
      <c r="M120" s="37" t="str">
        <f>IFERROR(LOOKUP(2,1/(COUNTIF($M$10:M119,$E$12:$E$322)=0),$E$12:$E$322),IF($M$12=M119,"",IF(M119&lt;&gt;"",$M$12,"")))</f>
        <v>Facility-based testing for key population (KP) programs</v>
      </c>
      <c r="N120" s="37" t="b">
        <v>1</v>
      </c>
      <c r="O120" s="35">
        <v>2290</v>
      </c>
    </row>
    <row r="121" spans="2:15" x14ac:dyDescent="0.2">
      <c r="B121" s="35" t="s">
        <v>780</v>
      </c>
      <c r="C121" s="33" t="s">
        <v>172</v>
      </c>
      <c r="D121" s="32"/>
      <c r="E121" s="37" t="str">
        <f>IF(OR(TranslatemoduleName="[Name - FR]",TranslatemoduleName="[Name - ES]"),"",IF(InterventionsTranslate="[Name]","",InterventionsTranslate))</f>
        <v>Reducing TB-related gender discrimination, harmful gender norms and violence</v>
      </c>
      <c r="F121" s="32" t="s">
        <v>781</v>
      </c>
      <c r="G121" s="33" t="s">
        <v>746</v>
      </c>
      <c r="H121" s="32"/>
      <c r="I121" s="32" t="s">
        <v>782</v>
      </c>
      <c r="J121" s="32" t="s">
        <v>783</v>
      </c>
      <c r="K121" s="35" t="s">
        <v>784</v>
      </c>
      <c r="L121" s="37" t="str">
        <f t="shared" si="1"/>
        <v>MCI-01483</v>
      </c>
      <c r="M121" s="37" t="str">
        <f>IFERROR(LOOKUP(2,1/(COUNTIF($M$10:M120,$E$12:$E$322)=0),$E$12:$E$322),IF($M$12=M120,"",IF(M120&lt;&gt;"",$M$12,"")))</f>
        <v>Retention support for pregnant and breastfeeding women (facility and community)</v>
      </c>
      <c r="N121" s="37" t="b">
        <v>1</v>
      </c>
      <c r="O121" s="35">
        <v>2300</v>
      </c>
    </row>
    <row r="122" spans="2:15" x14ac:dyDescent="0.2">
      <c r="B122" s="35" t="s">
        <v>785</v>
      </c>
      <c r="C122" s="33" t="s">
        <v>172</v>
      </c>
      <c r="D122" s="32"/>
      <c r="E122" s="37" t="str">
        <f>IF(OR(TranslatemoduleName="[Name - FR]",TranslatemoduleName="[Name - ES]"),"",IF(InterventionsTranslate="[Name]","",InterventionsTranslate))</f>
        <v>Community mobilization and advocacy, including support to TB survivor-led groups</v>
      </c>
      <c r="F122" s="32" t="s">
        <v>786</v>
      </c>
      <c r="G122" s="33" t="s">
        <v>746</v>
      </c>
      <c r="H122" s="32"/>
      <c r="I122" s="32" t="s">
        <v>787</v>
      </c>
      <c r="J122" s="32" t="s">
        <v>788</v>
      </c>
      <c r="K122" s="35" t="s">
        <v>789</v>
      </c>
      <c r="L122" s="37" t="str">
        <f t="shared" si="1"/>
        <v>MCI-01484</v>
      </c>
      <c r="M122" s="37" t="str">
        <f>IFERROR(LOOKUP(2,1/(COUNTIF($M$10:M121,$E$12:$E$322)=0),$E$12:$E$322),IF($M$12=M121,"",IF(M121&lt;&gt;"",$M$12,"")))</f>
        <v>Early infant diagnosis and follow-up HIV testing for exposed infants</v>
      </c>
      <c r="N122" s="37" t="b">
        <v>1</v>
      </c>
      <c r="O122" s="35">
        <v>2310</v>
      </c>
    </row>
    <row r="123" spans="2:15" x14ac:dyDescent="0.2">
      <c r="B123" s="35" t="s">
        <v>790</v>
      </c>
      <c r="C123" s="33" t="s">
        <v>208</v>
      </c>
      <c r="D123" s="32"/>
      <c r="E123" s="37" t="str">
        <f>IF(OR(TranslatemoduleName="[Name - FR]",TranslatemoduleName="[Name - ES]"),"",IF(InterventionsTranslate="[Name]","",InterventionsTranslate))</f>
        <v>Coordination and management of national disease control programs</v>
      </c>
      <c r="F123" s="32" t="s">
        <v>791</v>
      </c>
      <c r="G123" s="33" t="s">
        <v>792</v>
      </c>
      <c r="H123" s="32"/>
      <c r="I123" s="32" t="s">
        <v>793</v>
      </c>
      <c r="J123" s="32" t="s">
        <v>794</v>
      </c>
      <c r="K123" s="35" t="s">
        <v>795</v>
      </c>
      <c r="L123" s="37" t="str">
        <f t="shared" si="1"/>
        <v>MCI-01435</v>
      </c>
      <c r="M123" s="37" t="str">
        <f>IFERROR(LOOKUP(2,1/(COUNTIF($M$10:M122,$E$12:$E$322)=0),$E$12:$E$322),IF($M$12=M122,"",IF(M122&lt;&gt;"",$M$12,"")))</f>
        <v>Post-natal infant prophylaxis</v>
      </c>
      <c r="N123" s="37" t="b">
        <v>1</v>
      </c>
      <c r="O123" s="35">
        <v>9010</v>
      </c>
    </row>
    <row r="124" spans="2:15" x14ac:dyDescent="0.2">
      <c r="B124" s="35" t="s">
        <v>796</v>
      </c>
      <c r="C124" s="33" t="s">
        <v>208</v>
      </c>
      <c r="D124" s="32"/>
      <c r="E124" s="37" t="str">
        <f>IF(OR(TranslatemoduleName="[Name - FR]",TranslatemoduleName="[Name - ES]"),"",IF(InterventionsTranslate="[Name]","",InterventionsTranslate))</f>
        <v>Grant management</v>
      </c>
      <c r="F124" s="32" t="s">
        <v>797</v>
      </c>
      <c r="G124" s="33" t="s">
        <v>792</v>
      </c>
      <c r="H124" s="32"/>
      <c r="I124" s="32" t="s">
        <v>798</v>
      </c>
      <c r="J124" s="32" t="s">
        <v>799</v>
      </c>
      <c r="K124" s="35" t="s">
        <v>800</v>
      </c>
      <c r="L124" s="37" t="str">
        <f t="shared" si="1"/>
        <v>MCI-01436</v>
      </c>
      <c r="M124" s="37" t="str">
        <f>IFERROR(LOOKUP(2,1/(COUNTIF($M$10:M123,$E$12:$E$322)=0),$E$12:$E$322),IF($M$12=M123,"",IF(M123&lt;&gt;"",$M$12,"")))</f>
        <v>Prevention of incident HIV among pregnant and breastfeeding women</v>
      </c>
      <c r="N124" s="37" t="b">
        <v>1</v>
      </c>
      <c r="O124" s="35">
        <v>9020</v>
      </c>
    </row>
    <row r="125" spans="2:15" x14ac:dyDescent="0.2">
      <c r="B125" s="35" t="s">
        <v>211</v>
      </c>
      <c r="C125" s="33" t="s">
        <v>212</v>
      </c>
      <c r="D125" s="32"/>
      <c r="E125" s="37" t="str">
        <f>IF(OR(TranslatemoduleName="[Name - FR]",TranslatemoduleName="[Name - ES]"),"",IF(InterventionsTranslate="[Name]","",InterventionsTranslate))</f>
        <v>Payment for results</v>
      </c>
      <c r="F125" s="32" t="s">
        <v>801</v>
      </c>
      <c r="G125" s="33" t="s">
        <v>802</v>
      </c>
      <c r="H125" s="32"/>
      <c r="I125" s="32" t="s">
        <v>213</v>
      </c>
      <c r="J125" s="32" t="s">
        <v>214</v>
      </c>
      <c r="K125" s="35" t="s">
        <v>803</v>
      </c>
      <c r="L125" s="37" t="str">
        <f t="shared" si="1"/>
        <v>MCI-01437</v>
      </c>
      <c r="M125" s="37" t="str">
        <f>IFERROR(LOOKUP(2,1/(COUNTIF($M$10:M124,$E$12:$E$322)=0),$E$12:$E$322),IF($M$12=M124,"",IF(M124&lt;&gt;"",$M$12,"")))</f>
        <v>Integrated testing of pregnant women for HIV, syphilis and hepatitis B</v>
      </c>
      <c r="N125" s="37" t="b">
        <v>1</v>
      </c>
      <c r="O125" s="35">
        <v>9500</v>
      </c>
    </row>
    <row r="126" spans="2:15" x14ac:dyDescent="0.2">
      <c r="B126" s="35" t="s">
        <v>804</v>
      </c>
      <c r="C126" s="33" t="s">
        <v>176</v>
      </c>
      <c r="D126" s="32"/>
      <c r="E126" s="37" t="str">
        <f>IF(OR(TranslatemoduleName="[Name - FR]",TranslatemoduleName="[Name - ES]"),"",IF(InterventionsTranslate="[Name]","",InterventionsTranslate))</f>
        <v>National health sector strategy, policy &amp; regulations</v>
      </c>
      <c r="F126" s="32" t="s">
        <v>805</v>
      </c>
      <c r="G126" s="33" t="s">
        <v>806</v>
      </c>
      <c r="H126" s="32"/>
      <c r="I126" s="32" t="s">
        <v>807</v>
      </c>
      <c r="J126" s="32" t="s">
        <v>808</v>
      </c>
      <c r="K126" s="35" t="s">
        <v>809</v>
      </c>
      <c r="L126" s="37" t="str">
        <f t="shared" si="1"/>
        <v>MCI-01473</v>
      </c>
      <c r="M126" s="37" t="str">
        <f>IFERROR(LOOKUP(2,1/(COUNTIF($M$10:M125,$E$12:$E$322)=0),$E$12:$E$322),IF($M$12=M125,"",IF(M125&lt;&gt;"",$M$12,"")))</f>
        <v>Prevention program stewardship</v>
      </c>
      <c r="N126" s="37" t="b">
        <v>1</v>
      </c>
      <c r="O126" s="35">
        <v>6010</v>
      </c>
    </row>
    <row r="127" spans="2:15" x14ac:dyDescent="0.2">
      <c r="B127" s="35" t="s">
        <v>810</v>
      </c>
      <c r="C127" s="33" t="s">
        <v>176</v>
      </c>
      <c r="D127" s="32"/>
      <c r="E127" s="37" t="str">
        <f>IF(OR(TranslatemoduleName="[Name - FR]",TranslatemoduleName="[Name - ES]"),"",IF(InterventionsTranslate="[Name]","",InterventionsTranslate))</f>
        <v>Integration/coordination across disease programs and at the service delivery level</v>
      </c>
      <c r="F127" s="32" t="s">
        <v>811</v>
      </c>
      <c r="G127" s="33" t="s">
        <v>806</v>
      </c>
      <c r="H127" s="32"/>
      <c r="I127" s="32" t="s">
        <v>812</v>
      </c>
      <c r="J127" s="32" t="s">
        <v>813</v>
      </c>
      <c r="K127" s="35" t="s">
        <v>814</v>
      </c>
      <c r="L127" s="37" t="str">
        <f t="shared" si="1"/>
        <v>MCI-01474</v>
      </c>
      <c r="M127" s="37" t="str">
        <f>IFERROR(LOOKUP(2,1/(COUNTIF($M$10:M126,$E$12:$E$322)=0),$E$12:$E$322),IF($M$12=M126,"",IF(M126&lt;&gt;"",$M$12,"")))</f>
        <v>Voluntary medical male circumcision</v>
      </c>
      <c r="N127" s="37" t="b">
        <v>1</v>
      </c>
      <c r="O127" s="35">
        <v>6020</v>
      </c>
    </row>
    <row r="128" spans="2:15" x14ac:dyDescent="0.2">
      <c r="B128" s="35" t="s">
        <v>815</v>
      </c>
      <c r="C128" s="33" t="s">
        <v>176</v>
      </c>
      <c r="D128" s="32"/>
      <c r="E128" s="37" t="str">
        <f>IF(OR(TranslatemoduleName="[Name - FR]",TranslatemoduleName="[Name - ES]"),"",IF(InterventionsTranslate="[Name]","",InterventionsTranslate))</f>
        <v>Supporting private sector engagement</v>
      </c>
      <c r="F128" s="32" t="s">
        <v>816</v>
      </c>
      <c r="G128" s="33" t="s">
        <v>806</v>
      </c>
      <c r="H128" s="32"/>
      <c r="I128" s="32" t="s">
        <v>817</v>
      </c>
      <c r="J128" s="32" t="s">
        <v>818</v>
      </c>
      <c r="K128" s="35" t="s">
        <v>819</v>
      </c>
      <c r="L128" s="37" t="str">
        <f t="shared" si="1"/>
        <v>MCI-01475</v>
      </c>
      <c r="M128" s="37" t="str">
        <f>IFERROR(LOOKUP(2,1/(COUNTIF($M$10:M127,$E$12:$E$322)=0),$E$12:$E$322),IF($M$12=M127,"",IF(M127&lt;&gt;"",$M$12,"")))</f>
        <v>Social protection interventions for AGYW in high HIV incidence settings</v>
      </c>
      <c r="N128" s="37" t="b">
        <v>1</v>
      </c>
      <c r="O128" s="35">
        <v>6030</v>
      </c>
    </row>
    <row r="129" spans="2:15" x14ac:dyDescent="0.2">
      <c r="B129" s="35" t="s">
        <v>820</v>
      </c>
      <c r="C129" s="33" t="s">
        <v>180</v>
      </c>
      <c r="D129" s="32"/>
      <c r="E129" s="37" t="str">
        <f>IF(OR(TranslatemoduleName="[Name - FR]",TranslatemoduleName="[Name - ES]"),"",IF(InterventionsTranslate="[Name]","",InterventionsTranslate))</f>
        <v>Community-led monitoring</v>
      </c>
      <c r="F129" s="32" t="s">
        <v>821</v>
      </c>
      <c r="G129" s="33" t="s">
        <v>822</v>
      </c>
      <c r="H129" s="32"/>
      <c r="I129" s="32" t="s">
        <v>823</v>
      </c>
      <c r="J129" s="32" t="s">
        <v>824</v>
      </c>
      <c r="K129" s="35" t="s">
        <v>825</v>
      </c>
      <c r="L129" s="37" t="str">
        <f t="shared" si="1"/>
        <v>MCI-01422</v>
      </c>
      <c r="M129" s="37" t="str">
        <f>IFERROR(LOOKUP(2,1/(COUNTIF($M$10:M128,$E$12:$E$322)=0),$E$12:$E$322),IF($M$12=M128,"",IF(M128&lt;&gt;"",$M$12,"")))</f>
        <v>Removing human rights-related barriers to prevention for AGYW in high HIV incidence settings</v>
      </c>
      <c r="N129" s="37" t="b">
        <v>1</v>
      </c>
      <c r="O129" s="35">
        <v>6040</v>
      </c>
    </row>
    <row r="130" spans="2:15" x14ac:dyDescent="0.2">
      <c r="B130" s="35" t="s">
        <v>826</v>
      </c>
      <c r="C130" s="33" t="s">
        <v>180</v>
      </c>
      <c r="D130" s="32"/>
      <c r="E130" s="37" t="str">
        <f>IF(OR(TranslatemoduleName="[Name - FR]",TranslatemoduleName="[Name - ES]"),"",IF(InterventionsTranslate="[Name]","",InterventionsTranslate))</f>
        <v>Community-led research and advocacy</v>
      </c>
      <c r="F130" s="32" t="s">
        <v>827</v>
      </c>
      <c r="G130" s="33" t="s">
        <v>822</v>
      </c>
      <c r="H130" s="32"/>
      <c r="I130" s="32" t="s">
        <v>828</v>
      </c>
      <c r="J130" s="32" t="s">
        <v>829</v>
      </c>
      <c r="K130" s="35" t="s">
        <v>830</v>
      </c>
      <c r="L130" s="37" t="str">
        <f t="shared" si="1"/>
        <v>MCI-01423</v>
      </c>
      <c r="M130" s="37" t="str">
        <f>IFERROR(LOOKUP(2,1/(COUNTIF($M$10:M129,$E$12:$E$322)=0),$E$12:$E$322),IF($M$12=M129,"",IF(M129&lt;&gt;"",$M$12,"")))</f>
        <v>Sexual and reproductive health services, including STIs, hepatitis, post-violence care for AGYW and male sexual partners in high HIV incidence settings</v>
      </c>
      <c r="N130" s="37" t="b">
        <v>1</v>
      </c>
      <c r="O130" s="35">
        <v>6050</v>
      </c>
    </row>
    <row r="131" spans="2:15" x14ac:dyDescent="0.2">
      <c r="B131" s="35" t="s">
        <v>831</v>
      </c>
      <c r="C131" s="33" t="s">
        <v>180</v>
      </c>
      <c r="D131" s="32"/>
      <c r="E131" s="37" t="str">
        <f>IF(OR(TranslatemoduleName="[Name - FR]",TranslatemoduleName="[Name - ES]"),"",IF(InterventionsTranslate="[Name]","",InterventionsTranslate))</f>
        <v>Community engagement, linkages and coordination</v>
      </c>
      <c r="F131" s="32" t="s">
        <v>832</v>
      </c>
      <c r="G131" s="33" t="s">
        <v>822</v>
      </c>
      <c r="H131" s="32"/>
      <c r="I131" s="32" t="s">
        <v>833</v>
      </c>
      <c r="J131" s="32" t="s">
        <v>834</v>
      </c>
      <c r="K131" s="35" t="s">
        <v>835</v>
      </c>
      <c r="L131" s="37" t="str">
        <f t="shared" si="1"/>
        <v>MCI-01424</v>
      </c>
      <c r="M131" s="37" t="str">
        <f>IFERROR(LOOKUP(2,1/(COUNTIF($M$10:M130,$E$12:$E$322)=0),$E$12:$E$322),IF($M$12=M130,"",IF(M130&lt;&gt;"",$M$12,"")))</f>
        <v>Pre-exposure prophylaxis (PrEP) programing for male sexual partners of AGYW in high HIV incidence settings</v>
      </c>
      <c r="N131" s="37" t="b">
        <v>1</v>
      </c>
      <c r="O131" s="35">
        <v>6060</v>
      </c>
    </row>
    <row r="132" spans="2:15" x14ac:dyDescent="0.2">
      <c r="B132" s="35" t="s">
        <v>836</v>
      </c>
      <c r="C132" s="33" t="s">
        <v>180</v>
      </c>
      <c r="D132" s="32"/>
      <c r="E132" s="37" t="str">
        <f>IF(OR(TranslatemoduleName="[Name - FR]",TranslatemoduleName="[Name - ES]"),"",IF(InterventionsTranslate="[Name]","",InterventionsTranslate))</f>
        <v>Capacity building and leadership development</v>
      </c>
      <c r="F132" s="32" t="s">
        <v>837</v>
      </c>
      <c r="G132" s="33" t="s">
        <v>822</v>
      </c>
      <c r="H132" s="32"/>
      <c r="I132" s="32" t="s">
        <v>838</v>
      </c>
      <c r="J132" s="32" t="s">
        <v>839</v>
      </c>
      <c r="K132" s="35" t="s">
        <v>840</v>
      </c>
      <c r="L132" s="37" t="str">
        <f t="shared" si="1"/>
        <v>MCI-01425</v>
      </c>
      <c r="M132" s="37" t="str">
        <f>IFERROR(LOOKUP(2,1/(COUNTIF($M$10:M131,$E$12:$E$322)=0),$E$12:$E$322),IF($M$12=M131,"",IF(M131&lt;&gt;"",$M$12,"")))</f>
        <v>Pre-exposure prophylaxis (PrEP) programing for AGYW in high HIV incidence settings</v>
      </c>
      <c r="N132" s="37" t="b">
        <v>1</v>
      </c>
      <c r="O132" s="35">
        <v>6070</v>
      </c>
    </row>
    <row r="133" spans="2:15" x14ac:dyDescent="0.2">
      <c r="B133" s="35" t="s">
        <v>841</v>
      </c>
      <c r="C133" s="33" t="s">
        <v>184</v>
      </c>
      <c r="D133" s="32"/>
      <c r="E133" s="37" t="str">
        <f>IF(OR(TranslatemoduleName="[Name - FR]",TranslatemoduleName="[Name - ES]"),"",IF(InterventionsTranslate="[Name]","",InterventionsTranslate))</f>
        <v>Health financing strategies and planning</v>
      </c>
      <c r="F133" s="32" t="s">
        <v>842</v>
      </c>
      <c r="G133" s="33" t="s">
        <v>843</v>
      </c>
      <c r="H133" s="32"/>
      <c r="I133" s="32" t="s">
        <v>844</v>
      </c>
      <c r="J133" s="32" t="s">
        <v>845</v>
      </c>
      <c r="K133" s="35" t="s">
        <v>846</v>
      </c>
      <c r="L133" s="37" t="str">
        <f t="shared" si="1"/>
        <v>MCI-01415</v>
      </c>
      <c r="M133" s="37" t="str">
        <f>IFERROR(LOOKUP(2,1/(COUNTIF($M$10:M132,$E$12:$E$322)=0),$E$12:$E$322),IF($M$12=M132,"",IF(M132&lt;&gt;"",$M$12,"")))</f>
        <v>Comprehensive sexuality education for adolescent girls and young women (AGYW) and adolescent boys and young men (ABYM)</v>
      </c>
      <c r="N133" s="37" t="b">
        <v>1</v>
      </c>
      <c r="O133" s="35">
        <v>6080</v>
      </c>
    </row>
    <row r="134" spans="2:15" x14ac:dyDescent="0.2">
      <c r="B134" s="35" t="s">
        <v>847</v>
      </c>
      <c r="C134" s="33" t="s">
        <v>184</v>
      </c>
      <c r="D134" s="32"/>
      <c r="E134" s="37" t="str">
        <f>IF(OR(TranslatemoduleName="[Name - FR]",TranslatemoduleName="[Name - ES]"),"",IF(InterventionsTranslate="[Name]","",InterventionsTranslate))</f>
        <v>Public financial management (PFM) systems</v>
      </c>
      <c r="F134" s="32" t="s">
        <v>848</v>
      </c>
      <c r="G134" s="33" t="s">
        <v>843</v>
      </c>
      <c r="H134" s="32"/>
      <c r="I134" s="32" t="s">
        <v>849</v>
      </c>
      <c r="J134" s="32" t="s">
        <v>850</v>
      </c>
      <c r="K134" s="35" t="s">
        <v>851</v>
      </c>
      <c r="L134" s="37" t="str">
        <f t="shared" si="1"/>
        <v>MCI-01416</v>
      </c>
      <c r="M134" s="37" t="str">
        <f>IFERROR(LOOKUP(2,1/(COUNTIF($M$10:M133,$E$12:$E$322)=0),$E$12:$E$322),IF($M$12=M133,"",IF(M133&lt;&gt;"",$M$12,"")))</f>
        <v>HIV prevention communication, information and demand creation for male sexual partners of AGYW in high HIV incidence settings</v>
      </c>
      <c r="N134" s="37" t="b">
        <v>1</v>
      </c>
      <c r="O134" s="35">
        <v>6090</v>
      </c>
    </row>
    <row r="135" spans="2:15" x14ac:dyDescent="0.2">
      <c r="B135" s="35" t="s">
        <v>852</v>
      </c>
      <c r="C135" s="33" t="s">
        <v>184</v>
      </c>
      <c r="D135" s="32"/>
      <c r="E135" s="37" t="str">
        <f>IF(OR(TranslatemoduleName="[Name - FR]",TranslatemoduleName="[Name - ES]"),"",IF(InterventionsTranslate="[Name]","",InterventionsTranslate))</f>
        <v>Routine financial management systems</v>
      </c>
      <c r="F135" s="32" t="s">
        <v>853</v>
      </c>
      <c r="G135" s="33" t="s">
        <v>843</v>
      </c>
      <c r="H135" s="32"/>
      <c r="I135" s="32" t="s">
        <v>854</v>
      </c>
      <c r="J135" s="32" t="s">
        <v>855</v>
      </c>
      <c r="K135" s="35" t="s">
        <v>856</v>
      </c>
      <c r="L135" s="37" t="str">
        <f t="shared" si="1"/>
        <v>MCI-01417</v>
      </c>
      <c r="M135" s="37" t="str">
        <f>IFERROR(LOOKUP(2,1/(COUNTIF($M$10:M134,$E$12:$E$322)=0),$E$12:$E$322),IF($M$12=M134,"",IF(M134&lt;&gt;"",$M$12,"")))</f>
        <v>HIV prevention communication, information and demand creation for AGYW in high HIV incidence settings</v>
      </c>
      <c r="N135" s="37" t="b">
        <v>1</v>
      </c>
      <c r="O135" s="35">
        <v>6100</v>
      </c>
    </row>
    <row r="136" spans="2:15" x14ac:dyDescent="0.2">
      <c r="B136" s="35" t="s">
        <v>857</v>
      </c>
      <c r="C136" s="33" t="s">
        <v>184</v>
      </c>
      <c r="D136" s="32"/>
      <c r="E136" s="37" t="str">
        <f>IF(OR(TranslatemoduleName="[Name - FR]",TranslatemoduleName="[Name - ES]"),"",IF(InterventionsTranslate="[Name]","",InterventionsTranslate))</f>
        <v>Community-led advocacy and monitoring of domestic resource mobilization</v>
      </c>
      <c r="F136" s="32" t="s">
        <v>858</v>
      </c>
      <c r="G136" s="33" t="s">
        <v>843</v>
      </c>
      <c r="H136" s="32"/>
      <c r="I136" s="32" t="s">
        <v>859</v>
      </c>
      <c r="J136" s="32" t="s">
        <v>860</v>
      </c>
      <c r="K136" s="35" t="s">
        <v>861</v>
      </c>
      <c r="L136" s="37" t="str">
        <f t="shared" si="1"/>
        <v>MCI-01418</v>
      </c>
      <c r="M136" s="37" t="str">
        <f>IFERROR(LOOKUP(2,1/(COUNTIF($M$10:M135,$E$12:$E$322)=0),$E$12:$E$322),IF($M$12=M135,"",IF(M135&lt;&gt;"",$M$12,"")))</f>
        <v>Condom and lubricant programing for male sexual partners of AGYW in high HIV incidence settings</v>
      </c>
      <c r="N136" s="37" t="b">
        <v>1</v>
      </c>
      <c r="O136" s="35">
        <v>6110</v>
      </c>
    </row>
    <row r="137" spans="2:15" x14ac:dyDescent="0.2">
      <c r="B137" s="35" t="s">
        <v>862</v>
      </c>
      <c r="C137" s="33" t="s">
        <v>184</v>
      </c>
      <c r="D137" s="32"/>
      <c r="E137" s="37" t="str">
        <f>IF(OR(TranslatemoduleName="[Name - FR]",TranslatemoduleName="[Name - ES]"),"",IF(InterventionsTranslate="[Name]","",InterventionsTranslate))</f>
        <v>Social contracting</v>
      </c>
      <c r="F137" s="32" t="s">
        <v>863</v>
      </c>
      <c r="G137" s="33" t="s">
        <v>843</v>
      </c>
      <c r="H137" s="32"/>
      <c r="I137" s="32" t="s">
        <v>864</v>
      </c>
      <c r="J137" s="32" t="s">
        <v>865</v>
      </c>
      <c r="K137" s="35" t="s">
        <v>866</v>
      </c>
      <c r="L137" s="37" t="str">
        <f t="shared" si="1"/>
        <v>MCI-01419</v>
      </c>
      <c r="M137" s="37" t="str">
        <f>IFERROR(LOOKUP(2,1/(COUNTIF($M$10:M136,$E$12:$E$322)=0),$E$12:$E$322),IF($M$12=M136,"",IF(M136&lt;&gt;"",$M$12,"")))</f>
        <v>Condom and lubricant programing for AGYW in high HIV incidence settings</v>
      </c>
      <c r="N137" s="37" t="b">
        <v>1</v>
      </c>
      <c r="O137" s="35">
        <v>6130</v>
      </c>
    </row>
    <row r="138" spans="2:15" x14ac:dyDescent="0.2">
      <c r="B138" s="35" t="s">
        <v>867</v>
      </c>
      <c r="C138" s="33" t="s">
        <v>184</v>
      </c>
      <c r="D138" s="32"/>
      <c r="E138" s="37" t="str">
        <f>IF(OR(TranslatemoduleName="[Name - FR]",TranslatemoduleName="[Name - ES]"),"",IF(InterventionsTranslate="[Name]","",InterventionsTranslate))</f>
        <v>Health financing data and analytics</v>
      </c>
      <c r="F138" s="32" t="s">
        <v>868</v>
      </c>
      <c r="G138" s="33" t="s">
        <v>843</v>
      </c>
      <c r="H138" s="32"/>
      <c r="I138" s="32" t="s">
        <v>869</v>
      </c>
      <c r="J138" s="32" t="s">
        <v>870</v>
      </c>
      <c r="K138" s="35" t="s">
        <v>871</v>
      </c>
      <c r="L138" s="37" t="str">
        <f t="shared" si="1"/>
        <v>MCI-01420</v>
      </c>
      <c r="M138" s="37" t="str">
        <f>IFERROR(LOOKUP(2,1/(COUNTIF($M$10:M137,$E$12:$E$322)=0),$E$12:$E$322),IF($M$12=M137,"",IF(M137&lt;&gt;"",$M$12,"")))</f>
        <v>Removing human rights-related barriers to prevention for OVP</v>
      </c>
      <c r="N138" s="37" t="b">
        <v>1</v>
      </c>
      <c r="O138" s="35">
        <v>6140</v>
      </c>
    </row>
    <row r="139" spans="2:15" x14ac:dyDescent="0.2">
      <c r="B139" s="35" t="s">
        <v>872</v>
      </c>
      <c r="C139" s="33" t="s">
        <v>184</v>
      </c>
      <c r="D139" s="32"/>
      <c r="E139" s="37" t="str">
        <f>IF(OR(TranslatemoduleName="[Name - FR]",TranslatemoduleName="[Name - ES]"),"",IF(InterventionsTranslate="[Name]","",InterventionsTranslate))</f>
        <v>Blended financing arrangements</v>
      </c>
      <c r="F139" s="32" t="s">
        <v>873</v>
      </c>
      <c r="G139" s="33" t="s">
        <v>843</v>
      </c>
      <c r="H139" s="32"/>
      <c r="I139" s="32" t="s">
        <v>874</v>
      </c>
      <c r="J139" s="32" t="s">
        <v>875</v>
      </c>
      <c r="K139" s="35" t="s">
        <v>876</v>
      </c>
      <c r="L139" s="37" t="str">
        <f t="shared" si="1"/>
        <v>MCI-01421</v>
      </c>
      <c r="M139" s="37" t="str">
        <f>IFERROR(LOOKUP(2,1/(COUNTIF($M$10:M138,$E$12:$E$322)=0),$E$12:$E$322),IF($M$12=M138,"",IF(M138&lt;&gt;"",$M$12,"")))</f>
        <v>Sexual and reproductive health services, including STIs, hepatitis, post-violence care for OVP</v>
      </c>
      <c r="N139" s="37" t="b">
        <v>1</v>
      </c>
      <c r="O139" s="35">
        <v>6150</v>
      </c>
    </row>
    <row r="140" spans="2:15" x14ac:dyDescent="0.2">
      <c r="B140" s="35" t="s">
        <v>877</v>
      </c>
      <c r="C140" s="33" t="s">
        <v>188</v>
      </c>
      <c r="D140" s="32"/>
      <c r="E140" s="37" t="str">
        <f>IF(OR(TranslatemoduleName="[Name - FR]",TranslatemoduleName="[Name - ES]"),"",IF(InterventionsTranslate="[Name]","",InterventionsTranslate))</f>
        <v>Policy, strategy, governance</v>
      </c>
      <c r="F140" s="32" t="s">
        <v>878</v>
      </c>
      <c r="G140" s="33" t="s">
        <v>879</v>
      </c>
      <c r="H140" s="32"/>
      <c r="I140" s="32" t="s">
        <v>880</v>
      </c>
      <c r="J140" s="32" t="s">
        <v>881</v>
      </c>
      <c r="K140" s="35" t="s">
        <v>882</v>
      </c>
      <c r="L140" s="37" t="str">
        <f t="shared" si="1"/>
        <v>MCI-01408</v>
      </c>
      <c r="M140" s="37" t="str">
        <f>IFERROR(LOOKUP(2,1/(COUNTIF($M$10:M139,$E$12:$E$322)=0),$E$12:$E$322),IF($M$12=M139,"",IF(M139&lt;&gt;"",$M$12,"")))</f>
        <v>Community empowerment for OVP</v>
      </c>
      <c r="N140" s="37" t="b">
        <v>1</v>
      </c>
      <c r="O140" s="35">
        <v>6160</v>
      </c>
    </row>
    <row r="141" spans="2:15" x14ac:dyDescent="0.2">
      <c r="B141" s="35" t="s">
        <v>883</v>
      </c>
      <c r="C141" s="33" t="s">
        <v>188</v>
      </c>
      <c r="D141" s="32"/>
      <c r="E141" s="37" t="str">
        <f>IF(OR(TranslatemoduleName="[Name - FR]",TranslatemoduleName="[Name - ES]"),"",IF(InterventionsTranslate="[Name]","",InterventionsTranslate))</f>
        <v>Storage and distribution capacity, design &amp; operations</v>
      </c>
      <c r="F141" s="32" t="s">
        <v>884</v>
      </c>
      <c r="G141" s="33" t="s">
        <v>879</v>
      </c>
      <c r="H141" s="32"/>
      <c r="I141" s="32" t="s">
        <v>885</v>
      </c>
      <c r="J141" s="32" t="s">
        <v>886</v>
      </c>
      <c r="K141" s="35" t="s">
        <v>887</v>
      </c>
      <c r="L141" s="37" t="str">
        <f t="shared" ref="L141:L177" si="2">F141</f>
        <v>MCI-01409</v>
      </c>
      <c r="M141" s="37" t="str">
        <f>IFERROR(LOOKUP(2,1/(COUNTIF($M$10:M140,$E$12:$E$322)=0),$E$12:$E$322),IF($M$12=M140,"",IF(M140&lt;&gt;"",$M$12,"")))</f>
        <v>HIV prevention communication, information and demand creation for OVP</v>
      </c>
      <c r="N141" s="37" t="b">
        <v>1</v>
      </c>
      <c r="O141" s="35">
        <v>6165</v>
      </c>
    </row>
    <row r="142" spans="2:15" x14ac:dyDescent="0.2">
      <c r="B142" s="35" t="s">
        <v>888</v>
      </c>
      <c r="C142" s="33" t="s">
        <v>188</v>
      </c>
      <c r="D142" s="32"/>
      <c r="E142" s="37" t="str">
        <f>IF(OR(TranslatemoduleName="[Name - FR]",TranslatemoduleName="[Name - ES]"),"",IF(InterventionsTranslate="[Name]","",InterventionsTranslate))</f>
        <v>Planning and procurement capacity</v>
      </c>
      <c r="F142" s="32" t="s">
        <v>889</v>
      </c>
      <c r="G142" s="33" t="s">
        <v>879</v>
      </c>
      <c r="H142" s="32"/>
      <c r="I142" s="32" t="s">
        <v>890</v>
      </c>
      <c r="J142" s="32" t="s">
        <v>891</v>
      </c>
      <c r="K142" s="35" t="s">
        <v>892</v>
      </c>
      <c r="L142" s="37" t="str">
        <f t="shared" si="2"/>
        <v>MCI-01410</v>
      </c>
      <c r="M142" s="37" t="str">
        <f>IFERROR(LOOKUP(2,1/(COUNTIF($M$10:M141,$E$12:$E$322)=0),$E$12:$E$322),IF($M$12=M141,"",IF(M141&lt;&gt;"",$M$12,"")))</f>
        <v>Pre-exposure prophylaxis (PrEP) programing for OVP</v>
      </c>
      <c r="N142" s="37" t="b">
        <v>1</v>
      </c>
      <c r="O142" s="35">
        <v>6170</v>
      </c>
    </row>
    <row r="143" spans="2:15" x14ac:dyDescent="0.2">
      <c r="B143" s="35" t="s">
        <v>893</v>
      </c>
      <c r="C143" s="33" t="s">
        <v>188</v>
      </c>
      <c r="D143" s="32"/>
      <c r="E143" s="37" t="str">
        <f>IF(OR(TranslatemoduleName="[Name - FR]",TranslatemoduleName="[Name - ES]"),"",IF(InterventionsTranslate="[Name]","",InterventionsTranslate))</f>
        <v>Regulatory/quality assurance support</v>
      </c>
      <c r="F143" s="32" t="s">
        <v>894</v>
      </c>
      <c r="G143" s="33" t="s">
        <v>879</v>
      </c>
      <c r="H143" s="32"/>
      <c r="I143" s="32" t="s">
        <v>895</v>
      </c>
      <c r="J143" s="32" t="s">
        <v>896</v>
      </c>
      <c r="K143" s="35" t="s">
        <v>897</v>
      </c>
      <c r="L143" s="37" t="str">
        <f t="shared" si="2"/>
        <v>MCI-01411</v>
      </c>
      <c r="M143" s="37" t="str">
        <f>IFERROR(LOOKUP(2,1/(COUNTIF($M$10:M142,$E$12:$E$322)=0),$E$12:$E$322),IF($M$12=M142,"",IF(M142&lt;&gt;"",$M$12,"")))</f>
        <v>Condom and lubricant programing for OVP</v>
      </c>
      <c r="N143" s="37" t="b">
        <v>1</v>
      </c>
      <c r="O143" s="35">
        <v>6180</v>
      </c>
    </row>
    <row r="144" spans="2:15" x14ac:dyDescent="0.2">
      <c r="B144" s="35" t="s">
        <v>898</v>
      </c>
      <c r="C144" s="33" t="s">
        <v>188</v>
      </c>
      <c r="D144" s="32"/>
      <c r="E144" s="37" t="str">
        <f>IF(OR(TranslatemoduleName="[Name - FR]",TranslatemoduleName="[Name - ES]"),"",IF(InterventionsTranslate="[Name]","",InterventionsTranslate))</f>
        <v>Avoidance, reduction and management of health care waste</v>
      </c>
      <c r="F144" s="32" t="s">
        <v>899</v>
      </c>
      <c r="G144" s="33" t="s">
        <v>879</v>
      </c>
      <c r="H144" s="32"/>
      <c r="I144" s="32" t="s">
        <v>900</v>
      </c>
      <c r="J144" s="32" t="s">
        <v>901</v>
      </c>
      <c r="K144" s="35" t="s">
        <v>902</v>
      </c>
      <c r="L144" s="37" t="str">
        <f t="shared" si="2"/>
        <v>MCI-01412</v>
      </c>
      <c r="M144" s="37" t="str">
        <f>IFERROR(LOOKUP(2,1/(COUNTIF($M$10:M143,$E$12:$E$322)=0),$E$12:$E$322),IF($M$12=M143,"",IF(M143&lt;&gt;"",$M$12,"")))</f>
        <v>Removing human rights-related barriers to prevention for prisoners</v>
      </c>
      <c r="N144" s="37" t="b">
        <v>1</v>
      </c>
      <c r="O144" s="35">
        <v>6200</v>
      </c>
    </row>
    <row r="145" spans="2:15" x14ac:dyDescent="0.2">
      <c r="B145" s="35" t="s">
        <v>903</v>
      </c>
      <c r="C145" s="33" t="s">
        <v>188</v>
      </c>
      <c r="D145" s="32"/>
      <c r="E145" s="37" t="str">
        <f>IF(OR(TranslatemoduleName="[Name - FR]",TranslatemoduleName="[Name - ES]"),"",IF(InterventionsTranslate="[Name]","",InterventionsTranslate))</f>
        <v>Supply chain information systems</v>
      </c>
      <c r="F145" s="32" t="s">
        <v>904</v>
      </c>
      <c r="G145" s="33" t="s">
        <v>879</v>
      </c>
      <c r="H145" s="32"/>
      <c r="I145" s="32" t="s">
        <v>905</v>
      </c>
      <c r="J145" s="32" t="s">
        <v>906</v>
      </c>
      <c r="K145" s="35" t="s">
        <v>907</v>
      </c>
      <c r="L145" s="37" t="str">
        <f t="shared" si="2"/>
        <v>MCI-01413</v>
      </c>
      <c r="M145" s="37" t="str">
        <f>IFERROR(LOOKUP(2,1/(COUNTIF($M$10:M144,$E$12:$E$322)=0),$E$12:$E$322),IF($M$12=M144,"",IF(M144&lt;&gt;"",$M$12,"")))</f>
        <v>Harm reduction interventions for drug use for prisoners</v>
      </c>
      <c r="N145" s="37" t="b">
        <v>1</v>
      </c>
      <c r="O145" s="35">
        <v>6210</v>
      </c>
    </row>
    <row r="146" spans="2:15" x14ac:dyDescent="0.2">
      <c r="B146" s="35" t="s">
        <v>908</v>
      </c>
      <c r="C146" s="33" t="s">
        <v>188</v>
      </c>
      <c r="D146" s="32"/>
      <c r="E146" s="37" t="str">
        <f>IF(OR(TranslatemoduleName="[Name - FR]",TranslatemoduleName="[Name - ES]"),"",IF(InterventionsTranslate="[Name]","",InterventionsTranslate))</f>
        <v>Augmenting national supply chain system with outsourcing</v>
      </c>
      <c r="F146" s="32" t="s">
        <v>909</v>
      </c>
      <c r="G146" s="33" t="s">
        <v>879</v>
      </c>
      <c r="H146" s="32"/>
      <c r="I146" s="32" t="s">
        <v>910</v>
      </c>
      <c r="J146" s="32" t="s">
        <v>911</v>
      </c>
      <c r="K146" s="35" t="s">
        <v>912</v>
      </c>
      <c r="L146" s="37" t="str">
        <f t="shared" si="2"/>
        <v>MCI-01414</v>
      </c>
      <c r="M146" s="37" t="str">
        <f>IFERROR(LOOKUP(2,1/(COUNTIF($M$10:M145,$E$12:$E$322)=0),$E$12:$E$322),IF($M$12=M145,"",IF(M145&lt;&gt;"",$M$12,"")))</f>
        <v>Sexual and reproductive health services, including STIs, hepatitis, post-violence care for prisoners</v>
      </c>
      <c r="N146" s="37" t="b">
        <v>1</v>
      </c>
      <c r="O146" s="35">
        <v>6220</v>
      </c>
    </row>
    <row r="147" spans="2:15" x14ac:dyDescent="0.2">
      <c r="B147" s="35" t="s">
        <v>913</v>
      </c>
      <c r="C147" s="33" t="s">
        <v>192</v>
      </c>
      <c r="D147" s="32"/>
      <c r="E147" s="37" t="str">
        <f>IF(OR(TranslatemoduleName="[Name - FR]",TranslatemoduleName="[Name - ES]"),"",IF(InterventionsTranslate="[Name]","",InterventionsTranslate))</f>
        <v>RSSH/PP: HRH planning, management and governance including for community health workers (CHWs)</v>
      </c>
      <c r="F147" s="32" t="s">
        <v>914</v>
      </c>
      <c r="G147" s="33" t="s">
        <v>915</v>
      </c>
      <c r="H147" s="32"/>
      <c r="I147" s="32" t="s">
        <v>916</v>
      </c>
      <c r="J147" s="32" t="s">
        <v>917</v>
      </c>
      <c r="K147" s="35" t="s">
        <v>918</v>
      </c>
      <c r="L147" s="37" t="str">
        <f t="shared" si="2"/>
        <v>MCI-01398</v>
      </c>
      <c r="M147" s="37" t="str">
        <f>IFERROR(LOOKUP(2,1/(COUNTIF($M$10:M146,$E$12:$E$322)=0),$E$12:$E$322),IF($M$12=M146,"",IF(M146&lt;&gt;"",$M$12,"")))</f>
        <v>HIV prevention communication, information and demand creation for prisoners</v>
      </c>
      <c r="N147" s="37" t="b">
        <v>1</v>
      </c>
      <c r="O147" s="35">
        <v>6300</v>
      </c>
    </row>
    <row r="148" spans="2:15" x14ac:dyDescent="0.2">
      <c r="B148" s="35" t="s">
        <v>919</v>
      </c>
      <c r="C148" s="33" t="s">
        <v>192</v>
      </c>
      <c r="D148" s="32"/>
      <c r="E148" s="37" t="str">
        <f>IF(OR(TranslatemoduleName="[Name - FR]",TranslatemoduleName="[Name - ES]"),"",IF(InterventionsTranslate="[Name]","",InterventionsTranslate))</f>
        <v>RSSH/PP: Education and production of new health workers (excluding community health workers)</v>
      </c>
      <c r="F148" s="32" t="s">
        <v>920</v>
      </c>
      <c r="G148" s="33" t="s">
        <v>915</v>
      </c>
      <c r="H148" s="32"/>
      <c r="I148" s="32" t="s">
        <v>921</v>
      </c>
      <c r="J148" s="32" t="s">
        <v>922</v>
      </c>
      <c r="K148" s="35" t="s">
        <v>923</v>
      </c>
      <c r="L148" s="37" t="str">
        <f t="shared" si="2"/>
        <v>MCI-01399</v>
      </c>
      <c r="M148" s="37" t="str">
        <f>IFERROR(LOOKUP(2,1/(COUNTIF($M$10:M147,$E$12:$E$322)=0),$E$12:$E$322),IF($M$12=M147,"",IF(M147&lt;&gt;"",$M$12,"")))</f>
        <v>Pre-exposure prophylaxis (PrEP) programing for prisoners</v>
      </c>
      <c r="N148" s="37" t="b">
        <v>1</v>
      </c>
      <c r="O148" s="35">
        <v>6305</v>
      </c>
    </row>
    <row r="149" spans="2:15" x14ac:dyDescent="0.2">
      <c r="B149" s="35" t="s">
        <v>924</v>
      </c>
      <c r="C149" s="33" t="s">
        <v>192</v>
      </c>
      <c r="D149" s="32"/>
      <c r="E149" s="37" t="str">
        <f>IF(OR(TranslatemoduleName="[Name - FR]",TranslatemoduleName="[Name - ES]"),"",IF(InterventionsTranslate="[Name]","",InterventionsTranslate))</f>
        <v>RSSH/PP: Remuneration and deployment of existing/new staff (excluding community health workers)</v>
      </c>
      <c r="F149" s="32" t="s">
        <v>925</v>
      </c>
      <c r="G149" s="33" t="s">
        <v>915</v>
      </c>
      <c r="H149" s="32"/>
      <c r="I149" s="32" t="s">
        <v>926</v>
      </c>
      <c r="J149" s="32" t="s">
        <v>927</v>
      </c>
      <c r="K149" s="35" t="s">
        <v>928</v>
      </c>
      <c r="L149" s="37" t="str">
        <f t="shared" si="2"/>
        <v>MCI-01400</v>
      </c>
      <c r="M149" s="37" t="str">
        <f>IFERROR(LOOKUP(2,1/(COUNTIF($M$10:M148,$E$12:$E$322)=0),$E$12:$E$322),IF($M$12=M148,"",IF(M148&lt;&gt;"",$M$12,"")))</f>
        <v>Condom and lubricant programing for prisoners</v>
      </c>
      <c r="N149" s="37" t="b">
        <v>1</v>
      </c>
      <c r="O149" s="35">
        <v>6310</v>
      </c>
    </row>
    <row r="150" spans="2:15" x14ac:dyDescent="0.2">
      <c r="B150" s="35" t="s">
        <v>929</v>
      </c>
      <c r="C150" s="33" t="s">
        <v>192</v>
      </c>
      <c r="D150" s="32"/>
      <c r="E150" s="37" t="str">
        <f>IF(OR(TranslatemoduleName="[Name - FR]",TranslatemoduleName="[Name - ES]"),"",IF(InterventionsTranslate="[Name]","",InterventionsTranslate))</f>
        <v>RSSH/PP: In-service training (excluding community health workers)</v>
      </c>
      <c r="F150" s="32" t="s">
        <v>930</v>
      </c>
      <c r="G150" s="33" t="s">
        <v>915</v>
      </c>
      <c r="H150" s="32"/>
      <c r="I150" s="32" t="s">
        <v>931</v>
      </c>
      <c r="J150" s="32" t="s">
        <v>932</v>
      </c>
      <c r="K150" s="35" t="s">
        <v>933</v>
      </c>
      <c r="L150" s="37" t="str">
        <f t="shared" si="2"/>
        <v>MCI-01401</v>
      </c>
      <c r="M150" s="37" t="str">
        <f>IFERROR(LOOKUP(2,1/(COUNTIF($M$10:M149,$E$12:$E$322)=0),$E$12:$E$322),IF($M$12=M149,"",IF(M149&lt;&gt;"",$M$12,"")))</f>
        <v>Removing human rights-related barriers to prevention for PUD</v>
      </c>
      <c r="N150" s="37" t="b">
        <v>1</v>
      </c>
      <c r="O150" s="35">
        <v>6320</v>
      </c>
    </row>
    <row r="151" spans="2:15" x14ac:dyDescent="0.2">
      <c r="B151" s="35" t="s">
        <v>934</v>
      </c>
      <c r="C151" s="33" t="s">
        <v>192</v>
      </c>
      <c r="D151" s="32"/>
      <c r="E151" s="37" t="str">
        <f>IF(OR(TranslatemoduleName="[Name - FR]",TranslatemoduleName="[Name - ES]"),"",IF(InterventionsTranslate="[Name]","",InterventionsTranslate))</f>
        <v>RSSH/PP: Integrated supportive supervision for health workers (excluding CHWs)</v>
      </c>
      <c r="F151" s="32" t="s">
        <v>935</v>
      </c>
      <c r="G151" s="33" t="s">
        <v>915</v>
      </c>
      <c r="H151" s="32"/>
      <c r="I151" s="32" t="s">
        <v>936</v>
      </c>
      <c r="J151" s="32" t="s">
        <v>937</v>
      </c>
      <c r="K151" s="35" t="s">
        <v>938</v>
      </c>
      <c r="L151" s="37" t="str">
        <f t="shared" si="2"/>
        <v>MCI-01402</v>
      </c>
      <c r="M151" s="37" t="str">
        <f>IFERROR(LOOKUP(2,1/(COUNTIF($M$10:M150,$E$12:$E$322)=0),$E$12:$E$322),IF($M$12=M150,"",IF(M150&lt;&gt;"",$M$12,"")))</f>
        <v>Sexual and reproductive health services, including STIs, hepatitis, post-violence care for PUD</v>
      </c>
      <c r="N151" s="37" t="b">
        <v>1</v>
      </c>
      <c r="O151" s="35">
        <v>6330</v>
      </c>
    </row>
    <row r="152" spans="2:15" x14ac:dyDescent="0.2">
      <c r="B152" s="35" t="s">
        <v>939</v>
      </c>
      <c r="C152" s="33" t="s">
        <v>192</v>
      </c>
      <c r="D152" s="32"/>
      <c r="E152" s="37" t="str">
        <f>IF(OR(TranslatemoduleName="[Name - FR]",TranslatemoduleName="[Name - ES]"),"",IF(InterventionsTranslate="[Name]","",InterventionsTranslate))</f>
        <v>RSSH/PP: Quality improvement and capacity building for quality of care</v>
      </c>
      <c r="F152" s="32" t="s">
        <v>940</v>
      </c>
      <c r="G152" s="33" t="s">
        <v>915</v>
      </c>
      <c r="H152" s="32"/>
      <c r="I152" s="32" t="s">
        <v>941</v>
      </c>
      <c r="J152" s="32" t="s">
        <v>942</v>
      </c>
      <c r="K152" s="35" t="s">
        <v>943</v>
      </c>
      <c r="L152" s="37" t="str">
        <f t="shared" si="2"/>
        <v>MCI-01403</v>
      </c>
      <c r="M152" s="37" t="str">
        <f>IFERROR(LOOKUP(2,1/(COUNTIF($M$10:M151,$E$12:$E$322)=0),$E$12:$E$322),IF($M$12=M151,"",IF(M151&lt;&gt;"",$M$12,"")))</f>
        <v>Community empowerment for PUD</v>
      </c>
      <c r="N152" s="37" t="b">
        <v>1</v>
      </c>
      <c r="O152" s="35">
        <v>6340</v>
      </c>
    </row>
    <row r="153" spans="2:15" x14ac:dyDescent="0.2">
      <c r="B153" s="35" t="s">
        <v>944</v>
      </c>
      <c r="C153" s="33" t="s">
        <v>192</v>
      </c>
      <c r="D153" s="32"/>
      <c r="E153" s="37" t="str">
        <f>IF(OR(TranslatemoduleName="[Name - FR]",TranslatemoduleName="[Name - ES]"),"",IF(InterventionsTranslate="[Name]","",InterventionsTranslate))</f>
        <v>RSSH/PP: Community health workers: selection, pre-service training and certification</v>
      </c>
      <c r="F153" s="32" t="s">
        <v>945</v>
      </c>
      <c r="G153" s="33" t="s">
        <v>915</v>
      </c>
      <c r="H153" s="32"/>
      <c r="I153" s="32" t="s">
        <v>946</v>
      </c>
      <c r="J153" s="32" t="s">
        <v>947</v>
      </c>
      <c r="K153" s="35" t="s">
        <v>948</v>
      </c>
      <c r="L153" s="37" t="str">
        <f t="shared" si="2"/>
        <v>MCI-01404</v>
      </c>
      <c r="M153" s="37" t="str">
        <f>IFERROR(LOOKUP(2,1/(COUNTIF($M$10:M152,$E$12:$E$322)=0),$E$12:$E$322),IF($M$12=M152,"",IF(M152&lt;&gt;"",$M$12,"")))</f>
        <v>HIV prevention communication, information and demand creation for PUD</v>
      </c>
      <c r="N153" s="37" t="b">
        <v>1</v>
      </c>
      <c r="O153" s="35">
        <v>6350</v>
      </c>
    </row>
    <row r="154" spans="2:15" x14ac:dyDescent="0.2">
      <c r="B154" s="35" t="s">
        <v>949</v>
      </c>
      <c r="C154" s="33" t="s">
        <v>192</v>
      </c>
      <c r="D154" s="32"/>
      <c r="E154" s="37" t="str">
        <f>IF(OR(TranslatemoduleName="[Name - FR]",TranslatemoduleName="[Name - ES]"),"",IF(InterventionsTranslate="[Name]","",InterventionsTranslate))</f>
        <v>RSSH/PP: Community health workers: contracting, remuneration and retention</v>
      </c>
      <c r="F154" s="32" t="s">
        <v>950</v>
      </c>
      <c r="G154" s="33" t="s">
        <v>915</v>
      </c>
      <c r="H154" s="32"/>
      <c r="I154" s="32" t="s">
        <v>951</v>
      </c>
      <c r="J154" s="32" t="s">
        <v>952</v>
      </c>
      <c r="K154" s="35" t="s">
        <v>953</v>
      </c>
      <c r="L154" s="37" t="str">
        <f t="shared" si="2"/>
        <v>MCI-01405</v>
      </c>
      <c r="M154" s="37" t="str">
        <f>IFERROR(LOOKUP(2,1/(COUNTIF($M$10:M153,$E$12:$E$322)=0),$E$12:$E$322),IF($M$12=M153,"",IF(M153&lt;&gt;"",$M$12,"")))</f>
        <v>Pre-exposure prophylaxis (PrEP) programing for PUD</v>
      </c>
      <c r="N154" s="37" t="b">
        <v>1</v>
      </c>
      <c r="O154" s="35">
        <v>6360</v>
      </c>
    </row>
    <row r="155" spans="2:15" x14ac:dyDescent="0.2">
      <c r="B155" s="35" t="s">
        <v>954</v>
      </c>
      <c r="C155" s="33" t="s">
        <v>192</v>
      </c>
      <c r="D155" s="32"/>
      <c r="E155" s="37" t="str">
        <f>IF(OR(TranslatemoduleName="[Name - FR]",TranslatemoduleName="[Name - ES]"),"",IF(InterventionsTranslate="[Name]","",InterventionsTranslate))</f>
        <v>RSSH/PP: Community health workers: In-service training</v>
      </c>
      <c r="F155" s="32" t="s">
        <v>955</v>
      </c>
      <c r="G155" s="33" t="s">
        <v>915</v>
      </c>
      <c r="H155" s="32"/>
      <c r="I155" s="32" t="s">
        <v>956</v>
      </c>
      <c r="J155" s="32" t="s">
        <v>957</v>
      </c>
      <c r="K155" s="35" t="s">
        <v>958</v>
      </c>
      <c r="L155" s="37" t="str">
        <f t="shared" si="2"/>
        <v>MCI-01406</v>
      </c>
      <c r="M155" s="37" t="str">
        <f>IFERROR(LOOKUP(2,1/(COUNTIF($M$10:M154,$E$12:$E$322)=0),$E$12:$E$322),IF($M$12=M154,"",IF(M154&lt;&gt;"",$M$12,"")))</f>
        <v>Condom and lubricant programing for PUD</v>
      </c>
      <c r="N155" s="37" t="b">
        <v>1</v>
      </c>
      <c r="O155" s="35">
        <v>6370</v>
      </c>
    </row>
    <row r="156" spans="2:15" x14ac:dyDescent="0.2">
      <c r="B156" s="35" t="s">
        <v>959</v>
      </c>
      <c r="C156" s="33" t="s">
        <v>192</v>
      </c>
      <c r="D156" s="32"/>
      <c r="E156" s="37" t="str">
        <f>IF(OR(TranslatemoduleName="[Name - FR]",TranslatemoduleName="[Name - ES]"),"",IF(InterventionsTranslate="[Name]","",InterventionsTranslate))</f>
        <v>RSSH/PP: Community health workers: Integrated supportive supervision</v>
      </c>
      <c r="F156" s="32" t="s">
        <v>960</v>
      </c>
      <c r="G156" s="33" t="s">
        <v>915</v>
      </c>
      <c r="H156" s="32"/>
      <c r="I156" s="32" t="s">
        <v>961</v>
      </c>
      <c r="J156" s="32" t="s">
        <v>962</v>
      </c>
      <c r="K156" s="35" t="s">
        <v>963</v>
      </c>
      <c r="L156" s="37" t="str">
        <f t="shared" si="2"/>
        <v>MCI-01407</v>
      </c>
      <c r="M156" s="37" t="str">
        <f>IFERROR(LOOKUP(2,1/(COUNTIF($M$10:M155,$E$12:$E$322)=0),$E$12:$E$322),IF($M$12=M155,"",IF(M155&lt;&gt;"",$M$12,"")))</f>
        <v>Overdose prevention and management for PWID</v>
      </c>
      <c r="N156" s="37" t="b">
        <v>1</v>
      </c>
      <c r="O156" s="35">
        <v>6380</v>
      </c>
    </row>
    <row r="157" spans="2:15" x14ac:dyDescent="0.2">
      <c r="B157" s="35" t="s">
        <v>964</v>
      </c>
      <c r="C157" s="33" t="s">
        <v>196</v>
      </c>
      <c r="D157" s="32"/>
      <c r="E157" s="37" t="str">
        <f>IF(OR(TranslatemoduleName="[Name - FR]",TranslatemoduleName="[Name - ES]"),"",IF(InterventionsTranslate="[Name]","",InterventionsTranslate))</f>
        <v>RSSH/PP: National laboratory governance and management structures</v>
      </c>
      <c r="F157" s="32" t="s">
        <v>965</v>
      </c>
      <c r="G157" s="33" t="s">
        <v>966</v>
      </c>
      <c r="H157" s="32"/>
      <c r="I157" s="32" t="s">
        <v>967</v>
      </c>
      <c r="J157" s="32" t="s">
        <v>968</v>
      </c>
      <c r="K157" s="35" t="s">
        <v>969</v>
      </c>
      <c r="L157" s="37" t="str">
        <f t="shared" si="2"/>
        <v>MCI-01485</v>
      </c>
      <c r="M157" s="37" t="str">
        <f>IFERROR(LOOKUP(2,1/(COUNTIF($M$10:M156,$E$12:$E$322)=0),$E$12:$E$322),IF($M$12=M156,"",IF(M156&lt;&gt;"",$M$12,"")))</f>
        <v>Opioid substitution therapy and other medically assisted drug dependence treatment for PWID</v>
      </c>
      <c r="N157" s="37" t="b">
        <v>1</v>
      </c>
      <c r="O157" s="35">
        <v>6390</v>
      </c>
    </row>
    <row r="158" spans="2:15" x14ac:dyDescent="0.2">
      <c r="B158" s="35" t="s">
        <v>970</v>
      </c>
      <c r="C158" s="33" t="s">
        <v>196</v>
      </c>
      <c r="D158" s="32"/>
      <c r="E158" s="37" t="str">
        <f>IF(OR(TranslatemoduleName="[Name - FR]",TranslatemoduleName="[Name - ES]"),"",IF(InterventionsTranslate="[Name]","",InterventionsTranslate))</f>
        <v>RSSH/PP: Quality management systems and accreditation</v>
      </c>
      <c r="F158" s="32" t="s">
        <v>971</v>
      </c>
      <c r="G158" s="33" t="s">
        <v>966</v>
      </c>
      <c r="H158" s="32"/>
      <c r="I158" s="32" t="s">
        <v>972</v>
      </c>
      <c r="J158" s="32" t="s">
        <v>973</v>
      </c>
      <c r="K158" s="35" t="s">
        <v>974</v>
      </c>
      <c r="L158" s="37" t="str">
        <f t="shared" si="2"/>
        <v>MCI-01486</v>
      </c>
      <c r="M158" s="37" t="str">
        <f>IFERROR(LOOKUP(2,1/(COUNTIF($M$10:M157,$E$12:$E$322)=0),$E$12:$E$322),IF($M$12=M157,"",IF(M157&lt;&gt;"",$M$12,"")))</f>
        <v>Needle and syringe programs for PWID</v>
      </c>
      <c r="N158" s="37" t="b">
        <v>1</v>
      </c>
      <c r="O158" s="35">
        <v>6400</v>
      </c>
    </row>
    <row r="159" spans="2:15" x14ac:dyDescent="0.2">
      <c r="B159" s="35" t="s">
        <v>975</v>
      </c>
      <c r="C159" s="33" t="s">
        <v>196</v>
      </c>
      <c r="D159" s="32"/>
      <c r="E159" s="37" t="str">
        <f>IF(OR(TranslatemoduleName="[Name - FR]",TranslatemoduleName="[Name - ES]"),"",IF(InterventionsTranslate="[Name]","",InterventionsTranslate))</f>
        <v>RSSH/PP: Laboratory Information systems</v>
      </c>
      <c r="F159" s="32" t="s">
        <v>976</v>
      </c>
      <c r="G159" s="33" t="s">
        <v>966</v>
      </c>
      <c r="H159" s="32"/>
      <c r="I159" s="32" t="s">
        <v>977</v>
      </c>
      <c r="J159" s="32" t="s">
        <v>978</v>
      </c>
      <c r="K159" s="35" t="s">
        <v>979</v>
      </c>
      <c r="L159" s="37" t="str">
        <f t="shared" si="2"/>
        <v>MCI-01487</v>
      </c>
      <c r="M159" s="37" t="str">
        <f>IFERROR(LOOKUP(2,1/(COUNTIF($M$10:M158,$E$12:$E$322)=0),$E$12:$E$322),IF($M$12=M158,"",IF(M158&lt;&gt;"",$M$12,"")))</f>
        <v>Removing human rights-related barriers to prevention for transgender people</v>
      </c>
      <c r="N159" s="37" t="b">
        <v>1</v>
      </c>
      <c r="O159" s="35">
        <v>6410</v>
      </c>
    </row>
    <row r="160" spans="2:15" x14ac:dyDescent="0.2">
      <c r="B160" s="35" t="s">
        <v>980</v>
      </c>
      <c r="C160" s="33" t="s">
        <v>196</v>
      </c>
      <c r="D160" s="32"/>
      <c r="E160" s="37" t="str">
        <f>IF(OR(TranslatemoduleName="[Name - FR]",TranslatemoduleName="[Name - ES]"),"",IF(InterventionsTranslate="[Name]","",InterventionsTranslate))</f>
        <v>RSSH/PP: Network optimization and geospatial analysis</v>
      </c>
      <c r="F160" s="32" t="s">
        <v>981</v>
      </c>
      <c r="G160" s="33" t="s">
        <v>966</v>
      </c>
      <c r="H160" s="32"/>
      <c r="I160" s="32" t="s">
        <v>982</v>
      </c>
      <c r="J160" s="32" t="s">
        <v>983</v>
      </c>
      <c r="K160" s="35" t="s">
        <v>984</v>
      </c>
      <c r="L160" s="37" t="str">
        <f t="shared" si="2"/>
        <v>MCI-01488</v>
      </c>
      <c r="M160" s="37" t="str">
        <f>IFERROR(LOOKUP(2,1/(COUNTIF($M$10:M159,$E$12:$E$322)=0),$E$12:$E$322),IF($M$12=M159,"",IF(M159&lt;&gt;"",$M$12,"")))</f>
        <v>Sexual and reproductive health services, including STIs, hepatitis, post-violence care for transgender people</v>
      </c>
      <c r="N160" s="37" t="b">
        <v>1</v>
      </c>
      <c r="O160" s="35">
        <v>6420</v>
      </c>
    </row>
    <row r="161" spans="2:15" x14ac:dyDescent="0.2">
      <c r="B161" s="35" t="s">
        <v>985</v>
      </c>
      <c r="C161" s="33" t="s">
        <v>196</v>
      </c>
      <c r="D161" s="32"/>
      <c r="E161" s="37" t="str">
        <f>IF(OR(TranslatemoduleName="[Name - FR]",TranslatemoduleName="[Name - ES]"),"",IF(InterventionsTranslate="[Name]","",InterventionsTranslate))</f>
        <v>RSSH/PP: Laboratory-based surveillance</v>
      </c>
      <c r="F161" s="32" t="s">
        <v>986</v>
      </c>
      <c r="G161" s="33" t="s">
        <v>966</v>
      </c>
      <c r="H161" s="32"/>
      <c r="I161" s="32" t="s">
        <v>987</v>
      </c>
      <c r="J161" s="32" t="s">
        <v>988</v>
      </c>
      <c r="K161" s="35" t="s">
        <v>989</v>
      </c>
      <c r="L161" s="37" t="str">
        <f t="shared" si="2"/>
        <v>MCI-01489</v>
      </c>
      <c r="M161" s="37" t="str">
        <f>IFERROR(LOOKUP(2,1/(COUNTIF($M$10:M160,$E$12:$E$322)=0),$E$12:$E$322),IF($M$12=M160,"",IF(M160&lt;&gt;"",$M$12,"")))</f>
        <v>Community empowerment for transgender people</v>
      </c>
      <c r="N161" s="37" t="b">
        <v>1</v>
      </c>
      <c r="O161" s="35">
        <v>6425</v>
      </c>
    </row>
    <row r="162" spans="2:15" x14ac:dyDescent="0.2">
      <c r="B162" s="35" t="s">
        <v>990</v>
      </c>
      <c r="C162" s="33" t="s">
        <v>196</v>
      </c>
      <c r="D162" s="32"/>
      <c r="E162" s="37" t="str">
        <f>IF(OR(TranslatemoduleName="[Name - FR]",TranslatemoduleName="[Name - ES]"),"",IF(InterventionsTranslate="[Name]","",InterventionsTranslate))</f>
        <v>RSSH/PP: Laboratory supply chain systems</v>
      </c>
      <c r="F162" s="32" t="s">
        <v>991</v>
      </c>
      <c r="G162" s="33" t="s">
        <v>966</v>
      </c>
      <c r="H162" s="32"/>
      <c r="I162" s="32" t="s">
        <v>992</v>
      </c>
      <c r="J162" s="32" t="s">
        <v>993</v>
      </c>
      <c r="K162" s="35" t="s">
        <v>994</v>
      </c>
      <c r="L162" s="37" t="str">
        <f t="shared" si="2"/>
        <v>MCI-01490</v>
      </c>
      <c r="M162" s="37" t="str">
        <f>IFERROR(LOOKUP(2,1/(COUNTIF($M$10:M161,$E$12:$E$322)=0),$E$12:$E$322),IF($M$12=M161,"",IF(M161&lt;&gt;"",$M$12,"")))</f>
        <v>HIV prevention communication, information and demand creation for transgender people</v>
      </c>
      <c r="N162" s="37" t="b">
        <v>1</v>
      </c>
      <c r="O162" s="35">
        <v>6430</v>
      </c>
    </row>
    <row r="163" spans="2:15" x14ac:dyDescent="0.2">
      <c r="B163" s="35" t="s">
        <v>995</v>
      </c>
      <c r="C163" s="33" t="s">
        <v>196</v>
      </c>
      <c r="D163" s="32"/>
      <c r="E163" s="37" t="str">
        <f>IF(OR(TranslatemoduleName="[Name - FR]",TranslatemoduleName="[Name - ES]"),"",IF(InterventionsTranslate="[Name]","",InterventionsTranslate))</f>
        <v>RSSH/PP: Specimen referral and transport system</v>
      </c>
      <c r="F163" s="32" t="s">
        <v>996</v>
      </c>
      <c r="G163" s="33" t="s">
        <v>966</v>
      </c>
      <c r="H163" s="32"/>
      <c r="I163" s="32" t="s">
        <v>997</v>
      </c>
      <c r="J163" s="32" t="s">
        <v>998</v>
      </c>
      <c r="K163" s="35" t="s">
        <v>999</v>
      </c>
      <c r="L163" s="37" t="str">
        <f t="shared" si="2"/>
        <v>MCI-01491</v>
      </c>
      <c r="M163" s="37" t="str">
        <f>IFERROR(LOOKUP(2,1/(COUNTIF($M$10:M162,$E$12:$E$322)=0),$E$12:$E$322),IF($M$12=M162,"",IF(M162&lt;&gt;"",$M$12,"")))</f>
        <v>Pre-exposure prophylaxis (PrEP) programing for transgender people</v>
      </c>
      <c r="N163" s="37" t="b">
        <v>1</v>
      </c>
      <c r="O163" s="35">
        <v>6440</v>
      </c>
    </row>
    <row r="164" spans="2:15" x14ac:dyDescent="0.2">
      <c r="B164" s="35" t="s">
        <v>1000</v>
      </c>
      <c r="C164" s="33" t="s">
        <v>196</v>
      </c>
      <c r="D164" s="32"/>
      <c r="E164" s="37" t="str">
        <f>IF(OR(TranslatemoduleName="[Name - FR]",TranslatemoduleName="[Name - ES]"),"",IF(InterventionsTranslate="[Name]","",InterventionsTranslate))</f>
        <v>RSSH/PP: Biosafety and biosecurity, infrastructure and equipment</v>
      </c>
      <c r="F164" s="32" t="s">
        <v>1001</v>
      </c>
      <c r="G164" s="33" t="s">
        <v>966</v>
      </c>
      <c r="H164" s="32"/>
      <c r="I164" s="32" t="s">
        <v>1002</v>
      </c>
      <c r="J164" s="32" t="s">
        <v>1003</v>
      </c>
      <c r="K164" s="35" t="s">
        <v>1004</v>
      </c>
      <c r="L164" s="37" t="str">
        <f t="shared" si="2"/>
        <v>MCI-01492</v>
      </c>
      <c r="M164" s="37" t="str">
        <f>IFERROR(LOOKUP(2,1/(COUNTIF($M$10:M163,$E$12:$E$322)=0),$E$12:$E$322),IF($M$12=M163,"",IF(M163&lt;&gt;"",$M$12,"")))</f>
        <v>Condom and lubricant programing for transgender people</v>
      </c>
      <c r="N164" s="37" t="b">
        <v>1</v>
      </c>
      <c r="O164" s="35">
        <v>6450</v>
      </c>
    </row>
    <row r="165" spans="2:15" x14ac:dyDescent="0.2">
      <c r="B165" s="35" t="s">
        <v>1005</v>
      </c>
      <c r="C165" s="33" t="s">
        <v>200</v>
      </c>
      <c r="D165" s="32"/>
      <c r="E165" s="37" t="str">
        <f>IF(OR(TranslatemoduleName="[Name - FR]",TranslatemoduleName="[Name - ES]"),"",IF(InterventionsTranslate="[Name]","",InterventionsTranslate))</f>
        <v>RSSH/PP: Bulk Oxygen supply</v>
      </c>
      <c r="F165" s="32" t="s">
        <v>1006</v>
      </c>
      <c r="G165" s="33" t="s">
        <v>1007</v>
      </c>
      <c r="H165" s="32"/>
      <c r="I165" s="32" t="s">
        <v>1008</v>
      </c>
      <c r="J165" s="32" t="s">
        <v>1009</v>
      </c>
      <c r="K165" s="35" t="s">
        <v>1010</v>
      </c>
      <c r="L165" s="37" t="str">
        <f t="shared" si="2"/>
        <v>MCI-01494</v>
      </c>
      <c r="M165" s="37" t="str">
        <f>IFERROR(LOOKUP(2,1/(COUNTIF($M$10:M164,$E$12:$E$322)=0),$E$12:$E$322),IF($M$12=M164,"",IF(M164&lt;&gt;"",$M$12,"")))</f>
        <v>Removing human rights-related barriers to prevention for sex workers</v>
      </c>
      <c r="N165" s="37" t="b">
        <v>1</v>
      </c>
      <c r="O165" s="35">
        <v>6460</v>
      </c>
    </row>
    <row r="166" spans="2:15" x14ac:dyDescent="0.2">
      <c r="B166" s="35" t="s">
        <v>1011</v>
      </c>
      <c r="C166" s="33" t="s">
        <v>200</v>
      </c>
      <c r="D166" s="32"/>
      <c r="E166" s="37" t="str">
        <f>IF(OR(TranslatemoduleName="[Name - FR]",TranslatemoduleName="[Name - ES]"),"",IF(InterventionsTranslate="[Name]","",InterventionsTranslate))</f>
        <v>RSSH/PP: Oxygen distribution and storage</v>
      </c>
      <c r="F166" s="32" t="s">
        <v>1012</v>
      </c>
      <c r="G166" s="33" t="s">
        <v>1007</v>
      </c>
      <c r="H166" s="32"/>
      <c r="I166" s="32" t="s">
        <v>1013</v>
      </c>
      <c r="J166" s="32" t="s">
        <v>1014</v>
      </c>
      <c r="K166" s="35" t="s">
        <v>1015</v>
      </c>
      <c r="L166" s="37" t="str">
        <f t="shared" si="2"/>
        <v>MCI-01495</v>
      </c>
      <c r="M166" s="37" t="str">
        <f>IFERROR(LOOKUP(2,1/(COUNTIF($M$10:M165,$E$12:$E$322)=0),$E$12:$E$322),IF($M$12=M165,"",IF(M165&lt;&gt;"",$M$12,"")))</f>
        <v>Sexual and reproductive health services, including STIs, hepatitis, post-violence care for sex workers</v>
      </c>
      <c r="N166" s="37" t="b">
        <v>1</v>
      </c>
      <c r="O166" s="35">
        <v>6470</v>
      </c>
    </row>
    <row r="167" spans="2:15" x14ac:dyDescent="0.2">
      <c r="B167" s="35" t="s">
        <v>1016</v>
      </c>
      <c r="C167" s="33" t="s">
        <v>200</v>
      </c>
      <c r="D167" s="32"/>
      <c r="E167" s="37" t="str">
        <f>IF(OR(TranslatemoduleName="[Name - FR]",TranslatemoduleName="[Name - ES]"),"",IF(InterventionsTranslate="[Name]","",InterventionsTranslate))</f>
        <v>RSSH/PP: Oxygen delivery and respiratory care</v>
      </c>
      <c r="F167" s="32" t="s">
        <v>1017</v>
      </c>
      <c r="G167" s="33" t="s">
        <v>1007</v>
      </c>
      <c r="H167" s="32"/>
      <c r="I167" s="32" t="s">
        <v>1018</v>
      </c>
      <c r="J167" s="32" t="s">
        <v>1019</v>
      </c>
      <c r="K167" s="35" t="s">
        <v>1020</v>
      </c>
      <c r="L167" s="37" t="str">
        <f t="shared" si="2"/>
        <v>MCI-01496</v>
      </c>
      <c r="M167" s="37" t="str">
        <f>IFERROR(LOOKUP(2,1/(COUNTIF($M$10:M166,$E$12:$E$322)=0),$E$12:$E$322),IF($M$12=M166,"",IF(M166&lt;&gt;"",$M$12,"")))</f>
        <v>Community empowerment for sex workers</v>
      </c>
      <c r="N167" s="37" t="b">
        <v>1</v>
      </c>
      <c r="O167" s="35">
        <v>6480</v>
      </c>
    </row>
    <row r="168" spans="2:15" x14ac:dyDescent="0.2">
      <c r="B168" s="35" t="s">
        <v>1021</v>
      </c>
      <c r="C168" s="33" t="s">
        <v>200</v>
      </c>
      <c r="D168" s="32"/>
      <c r="E168" s="37" t="str">
        <f>IF(OR(TranslatemoduleName="[Name - FR]",TranslatemoduleName="[Name - ES]"),"",IF(InterventionsTranslate="[Name]","",InterventionsTranslate))</f>
        <v>RSSH/PP: Oxygen support systems</v>
      </c>
      <c r="F168" s="32" t="s">
        <v>1022</v>
      </c>
      <c r="G168" s="33" t="s">
        <v>1007</v>
      </c>
      <c r="H168" s="32"/>
      <c r="I168" s="32" t="s">
        <v>1023</v>
      </c>
      <c r="J168" s="32" t="s">
        <v>1024</v>
      </c>
      <c r="K168" s="35" t="s">
        <v>1025</v>
      </c>
      <c r="L168" s="37" t="str">
        <f t="shared" si="2"/>
        <v>MCI-01497</v>
      </c>
      <c r="M168" s="37" t="str">
        <f>IFERROR(LOOKUP(2,1/(COUNTIF($M$10:M167,$E$12:$E$322)=0),$E$12:$E$322),IF($M$12=M167,"",IF(M167&lt;&gt;"",$M$12,"")))</f>
        <v>HIV prevention communication, information and demand creation for sex workers</v>
      </c>
      <c r="N168" s="37" t="b">
        <v>1</v>
      </c>
      <c r="O168" s="35">
        <v>6490</v>
      </c>
    </row>
    <row r="169" spans="2:15" x14ac:dyDescent="0.2">
      <c r="B169" s="35" t="s">
        <v>1026</v>
      </c>
      <c r="C169" s="33" t="s">
        <v>204</v>
      </c>
      <c r="D169" s="32"/>
      <c r="E169" s="37" t="str">
        <f>IF(OR(TranslatemoduleName="[Name - FR]",TranslatemoduleName="[Name - ES]"),"",IF(InterventionsTranslate="[Name]","",InterventionsTranslate))</f>
        <v>Routine reporting</v>
      </c>
      <c r="F169" s="32" t="s">
        <v>1027</v>
      </c>
      <c r="G169" s="33" t="s">
        <v>1028</v>
      </c>
      <c r="H169" s="32"/>
      <c r="I169" s="32" t="s">
        <v>1029</v>
      </c>
      <c r="J169" s="32" t="s">
        <v>1030</v>
      </c>
      <c r="K169" s="35" t="s">
        <v>1031</v>
      </c>
      <c r="L169" s="37" t="str">
        <f t="shared" si="2"/>
        <v>MCI-01426</v>
      </c>
      <c r="M169" s="37" t="str">
        <f>IFERROR(LOOKUP(2,1/(COUNTIF($M$10:M168,$E$12:$E$322)=0),$E$12:$E$322),IF($M$12=M168,"",IF(M168&lt;&gt;"",$M$12,"")))</f>
        <v>Pre-exposure prophylaxis (PrEP) programing for sex workers</v>
      </c>
      <c r="N169" s="37" t="b">
        <v>1</v>
      </c>
      <c r="O169" s="35">
        <v>6500</v>
      </c>
    </row>
    <row r="170" spans="2:15" x14ac:dyDescent="0.2">
      <c r="B170" s="35" t="s">
        <v>1032</v>
      </c>
      <c r="C170" s="33" t="s">
        <v>204</v>
      </c>
      <c r="D170" s="32"/>
      <c r="E170" s="37" t="str">
        <f>IF(OR(TranslatemoduleName="[Name - FR]",TranslatemoduleName="[Name - ES]"),"",IF(InterventionsTranslate="[Name]","",InterventionsTranslate))</f>
        <v>Surveillance for HIV, tuberculosis and malaria</v>
      </c>
      <c r="F170" s="32" t="s">
        <v>1033</v>
      </c>
      <c r="G170" s="33" t="s">
        <v>1028</v>
      </c>
      <c r="H170" s="32"/>
      <c r="I170" s="32" t="s">
        <v>1034</v>
      </c>
      <c r="J170" s="32" t="s">
        <v>1035</v>
      </c>
      <c r="K170" s="35" t="s">
        <v>1036</v>
      </c>
      <c r="L170" s="37" t="str">
        <f t="shared" si="2"/>
        <v>MCI-01427</v>
      </c>
      <c r="M170" s="37" t="str">
        <f>IFERROR(LOOKUP(2,1/(COUNTIF($M$10:M169,$E$12:$E$322)=0),$E$12:$E$322),IF($M$12=M169,"",IF(M169&lt;&gt;"",$M$12,"")))</f>
        <v>Condom and lubricant programing for sex workers</v>
      </c>
      <c r="N170" s="37" t="b">
        <v>1</v>
      </c>
      <c r="O170" s="35">
        <v>6510</v>
      </c>
    </row>
    <row r="171" spans="2:15" x14ac:dyDescent="0.2">
      <c r="B171" s="35" t="s">
        <v>1037</v>
      </c>
      <c r="C171" s="33" t="s">
        <v>204</v>
      </c>
      <c r="D171" s="32"/>
      <c r="E171" s="37" t="str">
        <f>IF(OR(TranslatemoduleName="[Name - FR]",TranslatemoduleName="[Name - ES]"),"",IF(InterventionsTranslate="[Name]","",InterventionsTranslate))</f>
        <v>RSSH/PP: Surveillance for priority epidemic-prone diseases and events</v>
      </c>
      <c r="F171" s="32" t="s">
        <v>1038</v>
      </c>
      <c r="G171" s="33" t="s">
        <v>1028</v>
      </c>
      <c r="H171" s="32"/>
      <c r="I171" s="32" t="s">
        <v>1039</v>
      </c>
      <c r="J171" s="32" t="s">
        <v>1040</v>
      </c>
      <c r="K171" s="35" t="s">
        <v>1041</v>
      </c>
      <c r="L171" s="37" t="str">
        <f t="shared" si="2"/>
        <v>MCI-01428</v>
      </c>
      <c r="M171" s="37" t="str">
        <f>IFERROR(LOOKUP(2,1/(COUNTIF($M$10:M170,$E$12:$E$322)=0),$E$12:$E$322),IF($M$12=M170,"",IF(M170&lt;&gt;"",$M$12,"")))</f>
        <v>Removing human rights-related barriers to prevention for MSM</v>
      </c>
      <c r="N171" s="37" t="b">
        <v>1</v>
      </c>
      <c r="O171" s="35">
        <v>6520</v>
      </c>
    </row>
    <row r="172" spans="2:15" x14ac:dyDescent="0.2">
      <c r="B172" s="35" t="s">
        <v>1042</v>
      </c>
      <c r="C172" s="33" t="s">
        <v>204</v>
      </c>
      <c r="D172" s="32"/>
      <c r="E172" s="37" t="str">
        <f>IF(OR(TranslatemoduleName="[Name - FR]",TranslatemoduleName="[Name - ES]"),"",IF(InterventionsTranslate="[Name]","",InterventionsTranslate))</f>
        <v>Surveys</v>
      </c>
      <c r="F172" s="32" t="s">
        <v>1043</v>
      </c>
      <c r="G172" s="33" t="s">
        <v>1028</v>
      </c>
      <c r="H172" s="32"/>
      <c r="I172" s="32" t="s">
        <v>1044</v>
      </c>
      <c r="J172" s="32" t="s">
        <v>1045</v>
      </c>
      <c r="K172" s="35" t="s">
        <v>1046</v>
      </c>
      <c r="L172" s="37" t="str">
        <f t="shared" si="2"/>
        <v>MCI-01429</v>
      </c>
      <c r="M172" s="37" t="str">
        <f>IFERROR(LOOKUP(2,1/(COUNTIF($M$10:M171,$E$12:$E$322)=0),$E$12:$E$322),IF($M$12=M171,"",IF(M171&lt;&gt;"",$M$12,"")))</f>
        <v>Sexual and reproductive health services, including STIs, hepatitis, post-violence care for MSM</v>
      </c>
      <c r="N172" s="37" t="b">
        <v>1</v>
      </c>
      <c r="O172" s="35">
        <v>6530</v>
      </c>
    </row>
    <row r="173" spans="2:15" x14ac:dyDescent="0.2">
      <c r="B173" s="35" t="s">
        <v>1047</v>
      </c>
      <c r="C173" s="33" t="s">
        <v>204</v>
      </c>
      <c r="D173" s="32"/>
      <c r="E173" s="37" t="str">
        <f>IF(OR(TranslatemoduleName="[Name - FR]",TranslatemoduleName="[Name - ES]"),"",IF(InterventionsTranslate="[Name]","",InterventionsTranslate))</f>
        <v>Data quality</v>
      </c>
      <c r="F173" s="32" t="s">
        <v>1048</v>
      </c>
      <c r="G173" s="33" t="s">
        <v>1028</v>
      </c>
      <c r="H173" s="32"/>
      <c r="I173" s="32" t="s">
        <v>1049</v>
      </c>
      <c r="J173" s="32" t="s">
        <v>1050</v>
      </c>
      <c r="K173" s="35" t="s">
        <v>1051</v>
      </c>
      <c r="L173" s="37" t="str">
        <f t="shared" si="2"/>
        <v>MCI-01430</v>
      </c>
      <c r="M173" s="37" t="str">
        <f>IFERROR(LOOKUP(2,1/(COUNTIF($M$10:M172,$E$12:$E$322)=0),$E$12:$E$322),IF($M$12=M172,"",IF(M172&lt;&gt;"",$M$12,"")))</f>
        <v>Community empowerment for MSM</v>
      </c>
      <c r="N173" s="37" t="b">
        <v>1</v>
      </c>
      <c r="O173" s="35">
        <v>6540</v>
      </c>
    </row>
    <row r="174" spans="2:15" x14ac:dyDescent="0.2">
      <c r="B174" s="35" t="s">
        <v>1052</v>
      </c>
      <c r="C174" s="33" t="s">
        <v>204</v>
      </c>
      <c r="D174" s="32"/>
      <c r="E174" s="37" t="str">
        <f>IF(OR(TranslatemoduleName="[Name - FR]",TranslatemoduleName="[Name - ES]"),"",IF(InterventionsTranslate="[Name]","",InterventionsTranslate))</f>
        <v>Analyses, evaluations, reviews and data use</v>
      </c>
      <c r="F174" s="32" t="s">
        <v>1053</v>
      </c>
      <c r="G174" s="33" t="s">
        <v>1028</v>
      </c>
      <c r="H174" s="32"/>
      <c r="I174" s="32" t="s">
        <v>1054</v>
      </c>
      <c r="J174" s="32" t="s">
        <v>1055</v>
      </c>
      <c r="K174" s="35" t="s">
        <v>1056</v>
      </c>
      <c r="L174" s="37" t="str">
        <f t="shared" si="2"/>
        <v>MCI-01431</v>
      </c>
      <c r="M174" s="37" t="str">
        <f>IFERROR(LOOKUP(2,1/(COUNTIF($M$10:M173,$E$12:$E$322)=0),$E$12:$E$322),IF($M$12=M173,"",IF(M173&lt;&gt;"",$M$12,"")))</f>
        <v>HIV prevention communication, information and demand creation for MSM</v>
      </c>
      <c r="N174" s="37" t="b">
        <v>1</v>
      </c>
      <c r="O174" s="35">
        <v>6550</v>
      </c>
    </row>
    <row r="175" spans="2:15" x14ac:dyDescent="0.2">
      <c r="B175" s="35" t="s">
        <v>1057</v>
      </c>
      <c r="C175" s="33" t="s">
        <v>204</v>
      </c>
      <c r="D175" s="32"/>
      <c r="E175" s="37" t="str">
        <f>IF(OR(TranslatemoduleName="[Name - FR]",TranslatemoduleName="[Name - ES]"),"",IF(InterventionsTranslate="[Name]","",InterventionsTranslate))</f>
        <v>Administrative data sources</v>
      </c>
      <c r="F175" s="32" t="s">
        <v>1058</v>
      </c>
      <c r="G175" s="33" t="s">
        <v>1028</v>
      </c>
      <c r="H175" s="32"/>
      <c r="I175" s="32" t="s">
        <v>1059</v>
      </c>
      <c r="J175" s="32" t="s">
        <v>1060</v>
      </c>
      <c r="K175" s="35" t="s">
        <v>1061</v>
      </c>
      <c r="L175" s="37" t="str">
        <f t="shared" si="2"/>
        <v>MCI-01432</v>
      </c>
      <c r="M175" s="37" t="str">
        <f>IFERROR(LOOKUP(2,1/(COUNTIF($M$10:M174,$E$12:$E$322)=0),$E$12:$E$322),IF($M$12=M174,"",IF(M174&lt;&gt;"",$M$12,"")))</f>
        <v>Pre-exposure prophylaxis (PrEP) programing for MSM</v>
      </c>
      <c r="N175" s="37" t="b">
        <v>1</v>
      </c>
      <c r="O175" s="35">
        <v>6560</v>
      </c>
    </row>
    <row r="176" spans="2:15" x14ac:dyDescent="0.2">
      <c r="B176" s="35" t="s">
        <v>1062</v>
      </c>
      <c r="C176" s="33" t="s">
        <v>204</v>
      </c>
      <c r="D176" s="32"/>
      <c r="E176" s="37" t="str">
        <f>IF(OR(TranslatemoduleName="[Name - FR]",TranslatemoduleName="[Name - ES]"),"",IF(InterventionsTranslate="[Name]","",InterventionsTranslate))</f>
        <v>Civil registration and vital statistics</v>
      </c>
      <c r="F176" s="32" t="s">
        <v>1063</v>
      </c>
      <c r="G176" s="33" t="s">
        <v>1028</v>
      </c>
      <c r="H176" s="32"/>
      <c r="I176" s="32" t="s">
        <v>1064</v>
      </c>
      <c r="J176" s="32" t="s">
        <v>1065</v>
      </c>
      <c r="K176" s="35" t="s">
        <v>1066</v>
      </c>
      <c r="L176" s="37" t="str">
        <f t="shared" si="2"/>
        <v>MCI-01433</v>
      </c>
      <c r="M176" s="37" t="str">
        <f>IFERROR(LOOKUP(2,1/(COUNTIF($M$10:M175,$E$12:$E$322)=0),$E$12:$E$322),IF($M$12=M175,"",IF(M175&lt;&gt;"",$M$12,"")))</f>
        <v>Condom and lubricant programing for MSM</v>
      </c>
      <c r="N176" s="37" t="b">
        <v>1</v>
      </c>
      <c r="O176" s="35">
        <v>6570</v>
      </c>
    </row>
    <row r="177" spans="2:15" x14ac:dyDescent="0.2">
      <c r="B177" s="35" t="s">
        <v>1067</v>
      </c>
      <c r="C177" s="33" t="s">
        <v>204</v>
      </c>
      <c r="D177" s="32"/>
      <c r="E177" s="37" t="str">
        <f>IF(OR(TranslatemoduleName="[Name - FR]",TranslatemoduleName="[Name - ES]"),"",IF(InterventionsTranslate="[Name]","",InterventionsTranslate))</f>
        <v>Operational Research</v>
      </c>
      <c r="F177" s="32" t="s">
        <v>1068</v>
      </c>
      <c r="G177" s="33" t="s">
        <v>1028</v>
      </c>
      <c r="H177" s="32"/>
      <c r="I177" s="32" t="s">
        <v>1069</v>
      </c>
      <c r="J177" s="32" t="s">
        <v>1070</v>
      </c>
      <c r="K177" s="35" t="s">
        <v>1071</v>
      </c>
      <c r="L177" s="37" t="str">
        <f t="shared" si="2"/>
        <v>MCI-01434</v>
      </c>
      <c r="M177" s="37" t="str">
        <f>IFERROR(LOOKUP(2,1/(COUNTIF($M$10:M176,$E$12:$E$322)=0),$E$12:$E$322),IF($M$12=M176,"",IF(M176&lt;&gt;"",$M$12,"")))</f>
        <v>Operational Research</v>
      </c>
      <c r="N177" s="37" t="b">
        <v>1</v>
      </c>
      <c r="O177" s="35">
        <v>6580</v>
      </c>
    </row>
  </sheetData>
  <dataValidations count="3">
    <dataValidation type="custom" allowBlank="1" showInputMessage="1" showErrorMessage="1" errorTitle="X-Author for Excel" error="Id and Lookup fields are not editable." promptTitle="X-Author for Excel" sqref="G12:G177" xr:uid="{00000000-0002-0000-0800-000000000000}">
      <formula1>""</formula1>
    </dataValidation>
    <dataValidation type="list" allowBlank="1" showInputMessage="1" showErrorMessage="1" errorTitle="X-Author for Excel" error="Please select either TRUE or FALSE from the dropdown." promptTitle="X-Author for Excel" sqref="N12:N177" xr:uid="{00000000-0002-0000-0800-000001000000}">
      <formula1>"TRUE,FALSE"</formula1>
    </dataValidation>
    <dataValidation type="decimal" allowBlank="1" showInputMessage="1" showErrorMessage="1" errorTitle="X-Author for Excel" error="Please enter a valid numeric value. Valid range for Sort Order is -999999 to 999999." promptTitle="X-Author for Excel" sqref="O12:O177" xr:uid="{00000000-0002-0000-0800-000002000000}">
      <formula1>-999999</formula1>
      <formula2>999999</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N117"/>
  <sheetViews>
    <sheetView showGridLines="0" zoomScale="64" zoomScaleNormal="64" zoomScaleSheetLayoutView="40" workbookViewId="0"/>
  </sheetViews>
  <sheetFormatPr baseColWidth="10" defaultColWidth="9.5" defaultRowHeight="14" x14ac:dyDescent="0.2"/>
  <cols>
    <col min="1" max="1" width="29.5" style="9" customWidth="1" collapsed="1"/>
    <col min="2" max="2" width="43.1640625" style="9" customWidth="1" collapsed="1"/>
    <col min="3" max="3" width="42.5" style="9" customWidth="1" collapsed="1"/>
    <col min="4" max="5" width="19.5" style="9" customWidth="1" collapsed="1"/>
    <col min="6" max="6" width="111.1640625" style="9" customWidth="1" collapsed="1"/>
    <col min="7" max="7" width="21.1640625" style="9" customWidth="1" collapsed="1"/>
    <col min="8" max="9" width="19.5" style="9" customWidth="1" collapsed="1"/>
    <col min="10" max="10" width="88.83203125" style="9" customWidth="1" collapsed="1"/>
    <col min="11" max="11" width="23.5" style="43" hidden="1" customWidth="1" collapsed="1"/>
    <col min="12" max="14" width="9.5" style="9"/>
    <col min="15" max="16384" width="9.5" style="9" collapsed="1"/>
  </cols>
  <sheetData>
    <row r="1" spans="1:10" customFormat="1" ht="60" customHeight="1" x14ac:dyDescent="0.2">
      <c r="A1" s="47"/>
    </row>
    <row r="2" spans="1:10" customFormat="1" ht="15.5" customHeight="1" x14ac:dyDescent="0.2">
      <c r="A2" s="65"/>
    </row>
    <row r="3" spans="1:10" customFormat="1" ht="15.5" customHeight="1" x14ac:dyDescent="0.2">
      <c r="A3" s="65"/>
    </row>
    <row r="4" spans="1:10" customFormat="1" ht="30" customHeight="1" x14ac:dyDescent="0.45">
      <c r="A4" s="140" t="s">
        <v>1072</v>
      </c>
      <c r="B4" s="140"/>
      <c r="C4" s="140"/>
      <c r="D4" s="140"/>
      <c r="E4" s="140"/>
      <c r="F4" s="140"/>
      <c r="G4" s="140"/>
      <c r="H4" s="140"/>
      <c r="I4" s="140"/>
      <c r="J4" s="140"/>
    </row>
    <row r="5" spans="1:10" x14ac:dyDescent="0.2">
      <c r="A5" s="156"/>
      <c r="B5" s="156"/>
      <c r="C5" s="156"/>
      <c r="D5" s="156"/>
      <c r="E5" s="156"/>
      <c r="F5" s="156"/>
      <c r="G5" s="156"/>
      <c r="H5" s="156"/>
      <c r="I5" s="156"/>
      <c r="J5" s="156"/>
    </row>
    <row r="6" spans="1:10" x14ac:dyDescent="0.2">
      <c r="A6" s="159" t="s">
        <v>4</v>
      </c>
      <c r="B6" s="160"/>
    </row>
    <row r="7" spans="1:10" x14ac:dyDescent="0.2">
      <c r="A7" s="157" t="s">
        <v>5</v>
      </c>
      <c r="B7" s="158"/>
    </row>
    <row r="8" spans="1:10" x14ac:dyDescent="0.2">
      <c r="A8" s="161" t="s">
        <v>6</v>
      </c>
      <c r="B8" s="162"/>
    </row>
    <row r="10" spans="1:10" x14ac:dyDescent="0.2">
      <c r="A10" s="105" t="s">
        <v>1073</v>
      </c>
      <c r="B10" s="108" t="s">
        <v>7</v>
      </c>
    </row>
    <row r="12" spans="1:10" x14ac:dyDescent="0.2">
      <c r="A12" s="154" t="str">
        <f>IFERROR(VLOOKUP($B$10,Translation[],5,0),"")</f>
        <v>SUMMARY INFORMATION</v>
      </c>
      <c r="B12" s="155"/>
      <c r="C12" s="163"/>
      <c r="E12" s="10"/>
      <c r="F12" s="10"/>
      <c r="H12" s="10"/>
      <c r="I12" s="10"/>
    </row>
    <row r="13" spans="1:10" ht="30" customHeight="1" x14ac:dyDescent="0.2">
      <c r="A13" s="78" t="str">
        <f>IFERROR(VLOOKUP($B$10,Translation[],6,0),"")</f>
        <v>Country or Group of Countries</v>
      </c>
      <c r="B13" s="164" t="str">
        <f>IF(ISBLANK(Modules!$B$3),Modules!$B$4,Modules!$B$3)</f>
        <v>Kyrgyzstan</v>
      </c>
      <c r="C13" s="165"/>
    </row>
    <row r="14" spans="1:10" ht="30" customHeight="1" x14ac:dyDescent="0.2">
      <c r="A14" s="78" t="str">
        <f>IFERROR(VLOOKUP($B$10,Translation[],7,0),"")</f>
        <v>Component(s)</v>
      </c>
      <c r="B14" s="166" t="str">
        <f>(Modules!$D$3)</f>
        <v>HIV/AIDS, Tuberculosis</v>
      </c>
      <c r="C14" s="167"/>
    </row>
    <row r="15" spans="1:10" ht="30" customHeight="1" x14ac:dyDescent="0.2">
      <c r="A15" s="78" t="str">
        <f>IFERROR(VLOOKUP($B$10,Translation[],8,0),"")</f>
        <v>Funding request this request relates to</v>
      </c>
      <c r="B15" s="166" t="str">
        <f>(Modules!$D$2)</f>
        <v>FR1405-KGZ-C</v>
      </c>
      <c r="C15" s="167"/>
    </row>
    <row r="16" spans="1:10" ht="30" customHeight="1" x14ac:dyDescent="0.2">
      <c r="A16" s="78" t="str">
        <f>IFERROR(VLOOKUP($B$10,Translation[],9,0),"")</f>
        <v>Currency</v>
      </c>
      <c r="B16" s="79" t="str">
        <f>Modules!$D$4</f>
        <v>USD</v>
      </c>
      <c r="C16" s="79" t="s">
        <v>1074</v>
      </c>
    </row>
    <row r="17" spans="1:11" ht="30" customHeight="1" x14ac:dyDescent="0.2">
      <c r="A17" s="78" t="str">
        <f>IFERROR(VLOOKUP($B$10,Translation[],32,0),"")</f>
        <v>Total Above Allocation Request</v>
      </c>
      <c r="B17" s="80">
        <f>PAAR!$B$17</f>
        <v>13000000</v>
      </c>
      <c r="C17" s="80">
        <f>PAAR!$C$17</f>
        <v>13000000</v>
      </c>
    </row>
    <row r="18" spans="1:11" ht="30" customHeight="1" x14ac:dyDescent="0.2">
      <c r="A18" s="78" t="str">
        <f>IFERROR(VLOOKUP($B$10,Translation[],22,0),"")</f>
        <v>TRP recommended amount</v>
      </c>
      <c r="B18" s="80">
        <f>PAAR!$B$18</f>
        <v>0</v>
      </c>
      <c r="C18" s="80">
        <f>PAAR!$C$18</f>
        <v>0</v>
      </c>
    </row>
    <row r="20" spans="1:11" x14ac:dyDescent="0.2">
      <c r="A20" s="154" t="s">
        <v>1075</v>
      </c>
      <c r="B20" s="155"/>
      <c r="C20" s="155"/>
      <c r="D20" s="155"/>
      <c r="E20" s="155"/>
      <c r="F20" s="155"/>
      <c r="G20" s="155"/>
      <c r="H20" s="155"/>
      <c r="I20" s="155"/>
      <c r="J20" s="163"/>
    </row>
    <row r="21" spans="1:11" ht="130.25" customHeight="1" x14ac:dyDescent="0.2">
      <c r="A21" s="173" t="s">
        <v>1076</v>
      </c>
      <c r="B21" s="173"/>
      <c r="C21" s="173"/>
      <c r="D21" s="173"/>
      <c r="E21" s="173"/>
      <c r="F21" s="173"/>
      <c r="G21" s="173"/>
      <c r="H21" s="173"/>
      <c r="I21" s="173"/>
      <c r="J21" s="173"/>
    </row>
    <row r="22" spans="1:11" ht="30" customHeight="1" x14ac:dyDescent="0.2">
      <c r="A22" s="153"/>
      <c r="B22" s="153"/>
      <c r="C22" s="153"/>
      <c r="D22" s="153"/>
      <c r="E22" s="153"/>
      <c r="F22" s="153"/>
      <c r="G22" s="153"/>
      <c r="H22" s="153"/>
      <c r="I22" s="153"/>
      <c r="J22" s="153"/>
    </row>
    <row r="23" spans="1:11" ht="30" customHeight="1" x14ac:dyDescent="0.2">
      <c r="A23" s="153"/>
      <c r="B23" s="153"/>
      <c r="C23" s="153"/>
      <c r="D23" s="153"/>
      <c r="E23" s="153"/>
      <c r="F23" s="153"/>
      <c r="G23" s="153"/>
      <c r="H23" s="153"/>
      <c r="I23" s="153"/>
      <c r="J23" s="153"/>
    </row>
    <row r="24" spans="1:11" ht="30" customHeight="1" x14ac:dyDescent="0.2">
      <c r="A24" s="153"/>
      <c r="B24" s="153"/>
      <c r="C24" s="153"/>
      <c r="D24" s="153"/>
      <c r="E24" s="153"/>
      <c r="F24" s="153"/>
      <c r="G24" s="153"/>
      <c r="H24" s="153"/>
      <c r="I24" s="153"/>
      <c r="J24" s="153"/>
    </row>
    <row r="26" spans="1:11" x14ac:dyDescent="0.2">
      <c r="A26" s="154" t="s">
        <v>1072</v>
      </c>
      <c r="B26" s="155"/>
      <c r="C26" s="155"/>
      <c r="D26" s="155"/>
      <c r="E26" s="155"/>
      <c r="F26" s="155"/>
      <c r="G26" s="155"/>
      <c r="H26" s="155"/>
      <c r="I26" s="155"/>
      <c r="J26" s="163"/>
    </row>
    <row r="27" spans="1:11" ht="230" customHeight="1" x14ac:dyDescent="0.2">
      <c r="A27" s="173" t="s">
        <v>1077</v>
      </c>
      <c r="B27" s="173"/>
      <c r="C27" s="173"/>
      <c r="D27" s="173"/>
      <c r="E27" s="173"/>
      <c r="F27" s="173"/>
      <c r="G27" s="173"/>
      <c r="H27" s="173"/>
      <c r="I27" s="173"/>
      <c r="J27" s="173"/>
    </row>
    <row r="28" spans="1:11" ht="82.25" customHeight="1" x14ac:dyDescent="0.2">
      <c r="A28" s="78" t="s">
        <v>30</v>
      </c>
      <c r="B28" s="78" t="s">
        <v>22</v>
      </c>
      <c r="C28" s="78" t="s">
        <v>1078</v>
      </c>
      <c r="D28" s="78" t="s">
        <v>1079</v>
      </c>
      <c r="E28" s="78" t="s">
        <v>1080</v>
      </c>
      <c r="F28" s="78" t="s">
        <v>1081</v>
      </c>
      <c r="G28" s="81" t="s">
        <v>38</v>
      </c>
      <c r="H28" s="81" t="s">
        <v>1082</v>
      </c>
      <c r="I28" s="81" t="s">
        <v>1083</v>
      </c>
      <c r="J28" s="81" t="s">
        <v>1084</v>
      </c>
      <c r="K28" s="73" t="s">
        <v>1082</v>
      </c>
    </row>
    <row r="29" spans="1:11" ht="45.5" customHeight="1" x14ac:dyDescent="0.2">
      <c r="A29" s="82" t="str">
        <f>IF(NOT(ISBLANK(PAAR!$A29)),IF(PAAR!$A29 &lt;&gt; "",IFERROR(IF(PAAR!$B$10="English",PAAR!$A29,IF(PAAR!$B$10="Français",VLOOKUP(PAAR!$A29,For_EN[],3,0),IF(PAAR!$B$10="Español",VLOOKUP(PAAR!$A29,For_EN[[Español]:[English]],2,0)))),0),""),"")</f>
        <v>High</v>
      </c>
      <c r="B29" s="82" t="str">
        <f>IF(NOT(ISBLANK(PAAR!$B29)),IF(PAAR!$B29 &lt;&gt; "",IFERROR(IF(PAAR!$B$10="English",PAAR!$B29,IF(PAAR!$B$10="Français",VLOOKUP(PAAR!$B29,Modules!$C$11:$G$83,3,0),IF(PAAR!$B$10="Español",VLOOKUP(PAAR!$B29,Modules!$C$11:$G$83,3,0)))),0),""),"")</f>
        <v>Drug-resistant (DR)-TB diagnosis, treatment and care</v>
      </c>
      <c r="C29" s="82" t="str">
        <f>IF(NOT(ISBLANK(PAAR!$C29)),IF(PAAR!$C29 &lt;&gt; "",IFERROR(IF(PAAR!$B$10="English",PAAR!$C29,IF(PAAR!$B$10="Français",_xlfn.XLOOKUP(PAAR!$C29,Interventions!$I$11:$I$288,Interventions!$B$11:$B$288,0,0,1),IF(PAAR!$B$10="Español",_xlfn.XLOOKUP(PAAR!$C29,Interventions!$J$11:$J$288,Interventions!$B$11:$B$288,0,0,1)))),0),""),"")</f>
        <v>DR-TB treatment, care and support</v>
      </c>
      <c r="D29" s="91">
        <f>IF(PAAR!$D29&lt;&gt;"", PAAR!$D29,"")</f>
        <v>1674252</v>
      </c>
      <c r="E29" s="90">
        <f>IF(PAAR!$E29&lt;&gt;"",PAAR!$E29,"")</f>
        <v>1674252</v>
      </c>
      <c r="F29" s="67"/>
      <c r="G29" s="68"/>
      <c r="H29" s="41"/>
      <c r="I29" s="90" t="str">
        <f>IF(ISBLANK(H29),"",IF(IF(Modules!$D$4="EUR",ROUND($K29*(Modules!$B$5),0),$K29)=0,0,IF(Modules!$D$4="EUR",ROUND($K29*(Modules!$B$5),0),$K29)))</f>
        <v/>
      </c>
      <c r="J29" s="67"/>
      <c r="K29" s="74">
        <f>ROUND($H29,0)</f>
        <v>0</v>
      </c>
    </row>
    <row r="30" spans="1:11" ht="45.5" customHeight="1" x14ac:dyDescent="0.2">
      <c r="A30" s="82" t="str">
        <f>IF(NOT(ISBLANK(PAAR!$A30)),IF(PAAR!$A30 &lt;&gt; "",IFERROR(IF(PAAR!$B$10="English",PAAR!$A30,IF(PAAR!$B$10="Français",VLOOKUP(PAAR!$A30,For_EN[],3,0),IF(PAAR!$B$10="Español",VLOOKUP(PAAR!$A30,For_EN[[Español]:[English]],2,0)))),0),""),"")</f>
        <v>High</v>
      </c>
      <c r="B30" s="82" t="str">
        <f>IF(NOT(ISBLANK(PAAR!$B30)),IF(PAAR!$B30 &lt;&gt; "",IFERROR(IF(PAAR!$B$10="English",PAAR!$B30,IF(PAAR!$B$10="Français",VLOOKUP(PAAR!$B30,Modules!$C$11:$G$83,3,0),IF(PAAR!$B$10="Español",VLOOKUP(PAAR!$B30,Modules!$C$11:$G$83,3,0)))),0),""),"")</f>
        <v>Drug-resistant (DR)-TB diagnosis, treatment and care</v>
      </c>
      <c r="C30" s="82" t="str">
        <f>IF(NOT(ISBLANK(PAAR!$C30)),IF(PAAR!$C30 &lt;&gt; "",IFERROR(IF(PAAR!$B$10="English",PAAR!$C30,IF(PAAR!$B$10="Français",_xlfn.XLOOKUP(PAAR!$C30,Interventions!$I$11:$I$288,Interventions!$B$11:$B$288,0,0,1),IF(PAAR!$B$10="Español",_xlfn.XLOOKUP(PAAR!$C30,Interventions!$J$11:$J$288,Interventions!$B$11:$B$288,0,0,1)))),0),""),"")</f>
        <v>DR-TB diagnosis/drug susceptibility testing (DST)</v>
      </c>
      <c r="D30" s="91">
        <f>IF(PAAR!$D30&lt;&gt;"", PAAR!$D30,"")</f>
        <v>935000</v>
      </c>
      <c r="E30" s="90">
        <f>IF(PAAR!$E30&lt;&gt;"",PAAR!$E30,"")</f>
        <v>935000</v>
      </c>
      <c r="F30" s="67"/>
      <c r="G30" s="68"/>
      <c r="H30" s="15"/>
      <c r="I30" s="90" t="str">
        <f>IF(ISBLANK(H30),"",IF(IF(Modules!$D$4="EUR",ROUND($K30*(Modules!$B$5),0),$K30)=0,0,IF(Modules!$D$4="EUR",ROUND($K30*(Modules!$B$5),0),$K30)))</f>
        <v/>
      </c>
      <c r="J30" s="67"/>
      <c r="K30" s="74">
        <f t="shared" ref="K30:K93" si="0">ROUND($H30,0)</f>
        <v>0</v>
      </c>
    </row>
    <row r="31" spans="1:11" ht="45.5" customHeight="1" x14ac:dyDescent="0.2">
      <c r="A31" s="82" t="str">
        <f>IF(NOT(ISBLANK(PAAR!$A31)),IF(PAAR!$A31 &lt;&gt; "",IFERROR(IF(PAAR!$B$10="English",PAAR!$A31,IF(PAAR!$B$10="Français",VLOOKUP(PAAR!$A31,For_EN[],3,0),IF(PAAR!$B$10="Español",VLOOKUP(PAAR!$A31,For_EN[[Español]:[English]],2,0)))),0),""),"")</f>
        <v>High</v>
      </c>
      <c r="B31" s="82" t="str">
        <f>IF(NOT(ISBLANK(PAAR!$B31)),IF(PAAR!$B31 &lt;&gt; "",IFERROR(IF(PAAR!$B$10="English",PAAR!$B31,IF(PAAR!$B$10="Français",VLOOKUP(PAAR!$B31,Modules!$C$11:$G$83,3,0),IF(PAAR!$B$10="Español",VLOOKUP(PAAR!$B31,Modules!$C$11:$G$83,3,0)))),0),""),"")</f>
        <v>RSSH/PP: Laboratory systems (including national and peripheral)</v>
      </c>
      <c r="C31" s="82" t="str">
        <f>IF(NOT(ISBLANK(PAAR!$C31)),IF(PAAR!$C31 &lt;&gt; "",IFERROR(IF(PAAR!$B$10="English",PAAR!$C31,IF(PAAR!$B$10="Français",_xlfn.XLOOKUP(PAAR!$C31,Interventions!$I$11:$I$288,Interventions!$B$11:$B$288,0,0,1),IF(PAAR!$B$10="Español",_xlfn.XLOOKUP(PAAR!$C31,Interventions!$J$11:$J$288,Interventions!$B$11:$B$288,0,0,1)))),0),""),"")</f>
        <v>RSSH/PP: National laboratory governance and management structures</v>
      </c>
      <c r="D31" s="91">
        <f>IF(PAAR!$D31&lt;&gt;"", PAAR!$D31,"")</f>
        <v>600000</v>
      </c>
      <c r="E31" s="90">
        <f>IF(PAAR!$E31&lt;&gt;"",PAAR!$E31,"")</f>
        <v>600000</v>
      </c>
      <c r="F31" s="67"/>
      <c r="G31" s="68"/>
      <c r="H31" s="15"/>
      <c r="I31" s="90" t="str">
        <f>IF(ISBLANK(H31),"",IF(IF(Modules!$D$4="EUR",ROUND($K31*(Modules!$B$5),0),$K31)=0,0,IF(Modules!$D$4="EUR",ROUND($K31*(Modules!$B$5),0),$K31)))</f>
        <v/>
      </c>
      <c r="J31" s="67"/>
      <c r="K31" s="74">
        <f t="shared" si="0"/>
        <v>0</v>
      </c>
    </row>
    <row r="32" spans="1:11" ht="45.5" customHeight="1" x14ac:dyDescent="0.2">
      <c r="A32" s="82" t="str">
        <f>IF(NOT(ISBLANK(PAAR!$A32)),IF(PAAR!$A32 &lt;&gt; "",IFERROR(IF(PAAR!$B$10="English",PAAR!$A32,IF(PAAR!$B$10="Français",VLOOKUP(PAAR!$A32,For_EN[],3,0),IF(PAAR!$B$10="Español",VLOOKUP(PAAR!$A32,For_EN[[Español]:[English]],2,0)))),0),""),"")</f>
        <v>High</v>
      </c>
      <c r="B32" s="82" t="str">
        <f>IF(NOT(ISBLANK(PAAR!$B32)),IF(PAAR!$B32 &lt;&gt; "",IFERROR(IF(PAAR!$B$10="English",PAAR!$B32,IF(PAAR!$B$10="Français",VLOOKUP(PAAR!$B32,Modules!$C$11:$G$83,3,0),IF(PAAR!$B$10="Español",VLOOKUP(PAAR!$B32,Modules!$C$11:$G$83,3,0)))),0),""),"")</f>
        <v>Differentiated HIV Testing Services</v>
      </c>
      <c r="C32" s="82" t="str">
        <f>IF(NOT(ISBLANK(PAAR!$C32)),IF(PAAR!$C32 &lt;&gt; "",IFERROR(IF(PAAR!$B$10="English",PAAR!$C32,IF(PAAR!$B$10="Français",_xlfn.XLOOKUP(PAAR!$C32,Interventions!$I$11:$I$288,Interventions!$B$11:$B$288,0,0,1),IF(PAAR!$B$10="Español",_xlfn.XLOOKUP(PAAR!$C32,Interventions!$J$11:$J$288,Interventions!$B$11:$B$288,0,0,1)))),0),""),"")</f>
        <v>Self-testing for KP programs</v>
      </c>
      <c r="D32" s="91">
        <f>IF(PAAR!$D32&lt;&gt;"", PAAR!$D32,"")</f>
        <v>400000</v>
      </c>
      <c r="E32" s="90">
        <f>IF(PAAR!$E32&lt;&gt;"",PAAR!$E32,"")</f>
        <v>400000</v>
      </c>
      <c r="F32" s="67"/>
      <c r="G32" s="68"/>
      <c r="H32" s="15"/>
      <c r="I32" s="90" t="str">
        <f>IF(ISBLANK(H32),"",IF(IF(Modules!$D$4="EUR",ROUND($K32*(Modules!$B$5),0),$K32)=0,0,IF(Modules!$D$4="EUR",ROUND($K32*(Modules!$B$5),0),$K32)))</f>
        <v/>
      </c>
      <c r="J32" s="67"/>
      <c r="K32" s="74">
        <f t="shared" si="0"/>
        <v>0</v>
      </c>
    </row>
    <row r="33" spans="1:11" ht="45.5" customHeight="1" x14ac:dyDescent="0.2">
      <c r="A33" s="82" t="str">
        <f>IF(NOT(ISBLANK(PAAR!$A33)),IF(PAAR!$A33 &lt;&gt; "",IFERROR(IF(PAAR!$B$10="English",PAAR!$A33,IF(PAAR!$B$10="Français",VLOOKUP(PAAR!$A33,For_EN[],3,0),IF(PAAR!$B$10="Español",VLOOKUP(PAAR!$A33,For_EN[[Español]:[English]],2,0)))),0),""),"")</f>
        <v>High</v>
      </c>
      <c r="B33" s="82" t="str">
        <f>IF(NOT(ISBLANK(PAAR!$B33)),IF(PAAR!$B33 &lt;&gt; "",IFERROR(IF(PAAR!$B$10="English",PAAR!$B33,IF(PAAR!$B$10="Français",VLOOKUP(PAAR!$B33,Modules!$C$11:$G$83,3,0),IF(PAAR!$B$10="Español",VLOOKUP(PAAR!$B33,Modules!$C$11:$G$83,3,0)))),0),""),"")</f>
        <v>Reducing human rights-related barriers to HIV/TB services</v>
      </c>
      <c r="C33" s="82" t="str">
        <f>IF(NOT(ISBLANK(PAAR!$C33)),IF(PAAR!$C33 &lt;&gt; "",IFERROR(IF(PAAR!$B$10="English",PAAR!$C33,IF(PAAR!$B$10="Français",_xlfn.XLOOKUP(PAAR!$C33,Interventions!$I$11:$I$288,Interventions!$B$11:$B$288,0,0,1),IF(PAAR!$B$10="Español",_xlfn.XLOOKUP(PAAR!$C33,Interventions!$J$11:$J$288,Interventions!$B$11:$B$288,0,0,1)))),0),""),"")</f>
        <v>Increasing access to justice (HIV/TB)</v>
      </c>
      <c r="D33" s="91">
        <f>IF(PAAR!$D33&lt;&gt;"", PAAR!$D33,"")</f>
        <v>225000</v>
      </c>
      <c r="E33" s="90">
        <f>IF(PAAR!$E33&lt;&gt;"",PAAR!$E33,"")</f>
        <v>225000</v>
      </c>
      <c r="F33" s="67"/>
      <c r="G33" s="68"/>
      <c r="H33" s="15"/>
      <c r="I33" s="90" t="str">
        <f>IF(ISBLANK(H33),"",IF(IF(Modules!$D$4="EUR",ROUND($K33*(Modules!$B$5),0),$K33)=0,0,IF(Modules!$D$4="EUR",ROUND($K33*(Modules!$B$5),0),$K33)))</f>
        <v/>
      </c>
      <c r="J33" s="67"/>
      <c r="K33" s="74">
        <f t="shared" si="0"/>
        <v>0</v>
      </c>
    </row>
    <row r="34" spans="1:11" ht="45.5" customHeight="1" x14ac:dyDescent="0.2">
      <c r="A34" s="82" t="str">
        <f>IF(NOT(ISBLANK(PAAR!$A34)),IF(PAAR!$A34 &lt;&gt; "",IFERROR(IF(PAAR!$B$10="English",PAAR!$A34,IF(PAAR!$B$10="Français",VLOOKUP(PAAR!$A34,For_EN[],3,0),IF(PAAR!$B$10="Español",VLOOKUP(PAAR!$A34,For_EN[[Español]:[English]],2,0)))),0),""),"")</f>
        <v>High</v>
      </c>
      <c r="B34" s="82" t="str">
        <f>IF(NOT(ISBLANK(PAAR!$B34)),IF(PAAR!$B34 &lt;&gt; "",IFERROR(IF(PAAR!$B$10="English",PAAR!$B34,IF(PAAR!$B$10="Français",VLOOKUP(PAAR!$B34,Modules!$C$11:$G$83,3,0),IF(PAAR!$B$10="Español",VLOOKUP(PAAR!$B34,Modules!$C$11:$G$83,3,0)))),0),""),"")</f>
        <v>RSSH/PP: Human resources for health (HRH) and quality of care</v>
      </c>
      <c r="C34" s="82" t="str">
        <f>IF(NOT(ISBLANK(PAAR!$C34)),IF(PAAR!$C34 &lt;&gt; "",IFERROR(IF(PAAR!$B$10="English",PAAR!$C34,IF(PAAR!$B$10="Français",_xlfn.XLOOKUP(PAAR!$C34,Interventions!$I$11:$I$288,Interventions!$B$11:$B$288,0,0,1),IF(PAAR!$B$10="Español",_xlfn.XLOOKUP(PAAR!$C34,Interventions!$J$11:$J$288,Interventions!$B$11:$B$288,0,0,1)))),0),""),"")</f>
        <v>RSSH/PP: Community health workers: selection, pre-service training and certification</v>
      </c>
      <c r="D34" s="91">
        <f>IF(PAAR!$D34&lt;&gt;"", PAAR!$D34,"")</f>
        <v>180000</v>
      </c>
      <c r="E34" s="90">
        <f>IF(PAAR!$E34&lt;&gt;"",PAAR!$E34,"")</f>
        <v>180000</v>
      </c>
      <c r="F34" s="67"/>
      <c r="G34" s="68"/>
      <c r="H34" s="15"/>
      <c r="I34" s="90" t="str">
        <f>IF(ISBLANK(H34),"",IF(IF(Modules!$D$4="EUR",ROUND($K34*(Modules!$B$5),0),$K34)=0,0,IF(Modules!$D$4="EUR",ROUND($K34*(Modules!$B$5),0),$K34)))</f>
        <v/>
      </c>
      <c r="J34" s="67"/>
      <c r="K34" s="74">
        <f t="shared" si="0"/>
        <v>0</v>
      </c>
    </row>
    <row r="35" spans="1:11" ht="45.5" customHeight="1" x14ac:dyDescent="0.2">
      <c r="A35" s="82" t="str">
        <f>IF(NOT(ISBLANK(PAAR!$A35)),IF(PAAR!$A35 &lt;&gt; "",IFERROR(IF(PAAR!$B$10="English",PAAR!$A35,IF(PAAR!$B$10="Français",VLOOKUP(PAAR!$A35,For_EN[],3,0),IF(PAAR!$B$10="Español",VLOOKUP(PAAR!$A35,For_EN[[Español]:[English]],2,0)))),0),""),"")</f>
        <v>High</v>
      </c>
      <c r="B35" s="82" t="str">
        <f>IF(NOT(ISBLANK(PAAR!$B35)),IF(PAAR!$B35 &lt;&gt; "",IFERROR(IF(PAAR!$B$10="English",PAAR!$B35,IF(PAAR!$B$10="Français",VLOOKUP(PAAR!$B35,Modules!$C$11:$G$83,3,0),IF(PAAR!$B$10="Español",VLOOKUP(PAAR!$B35,Modules!$C$11:$G$83,3,0)))),0),""),"")</f>
        <v>RSSH: Monitoring and evaluation systems</v>
      </c>
      <c r="C35" s="82" t="str">
        <f>IF(NOT(ISBLANK(PAAR!$C35)),IF(PAAR!$C35 &lt;&gt; "",IFERROR(IF(PAAR!$B$10="English",PAAR!$C35,IF(PAAR!$B$10="Français",_xlfn.XLOOKUP(PAAR!$C35,Interventions!$I$11:$I$288,Interventions!$B$11:$B$288,0,0,1),IF(PAAR!$B$10="Español",_xlfn.XLOOKUP(PAAR!$C35,Interventions!$J$11:$J$288,Interventions!$B$11:$B$288,0,0,1)))),0),""),"")</f>
        <v>RSSH/PP: Surveillance for priority epidemic-prone diseases and events</v>
      </c>
      <c r="D35" s="91">
        <f>IF(PAAR!$D35&lt;&gt;"", PAAR!$D35,"")</f>
        <v>150000</v>
      </c>
      <c r="E35" s="90">
        <f>IF(PAAR!$E35&lt;&gt;"",PAAR!$E35,"")</f>
        <v>150000</v>
      </c>
      <c r="F35" s="67"/>
      <c r="G35" s="68"/>
      <c r="H35" s="15"/>
      <c r="I35" s="90" t="str">
        <f>IF(ISBLANK(H35),"",IF(IF(Modules!$D$4="EUR",ROUND($K35*(Modules!$B$5),0),$K35)=0,0,IF(Modules!$D$4="EUR",ROUND($K35*(Modules!$B$5),0),$K35)))</f>
        <v/>
      </c>
      <c r="J35" s="67"/>
      <c r="K35" s="74">
        <f t="shared" si="0"/>
        <v>0</v>
      </c>
    </row>
    <row r="36" spans="1:11" ht="45.5" customHeight="1" x14ac:dyDescent="0.2">
      <c r="A36" s="82" t="str">
        <f>IF(NOT(ISBLANK(PAAR!$A36)),IF(PAAR!$A36 &lt;&gt; "",IFERROR(IF(PAAR!$B$10="English",PAAR!$A36,IF(PAAR!$B$10="Français",VLOOKUP(PAAR!$A36,For_EN[],3,0),IF(PAAR!$B$10="Español",VLOOKUP(PAAR!$A36,For_EN[[Español]:[English]],2,0)))),0),""),"")</f>
        <v>High</v>
      </c>
      <c r="B36" s="82" t="str">
        <f>IF(NOT(ISBLANK(PAAR!$B36)),IF(PAAR!$B36 &lt;&gt; "",IFERROR(IF(PAAR!$B$10="English",PAAR!$B36,IF(PAAR!$B$10="Français",VLOOKUP(PAAR!$B36,Modules!$C$11:$G$83,3,0),IF(PAAR!$B$10="Español",VLOOKUP(PAAR!$B36,Modules!$C$11:$G$83,3,0)))),0),""),"")</f>
        <v>RSSH: Monitoring and evaluation systems</v>
      </c>
      <c r="C36" s="82" t="str">
        <f>IF(NOT(ISBLANK(PAAR!$C36)),IF(PAAR!$C36 &lt;&gt; "",IFERROR(IF(PAAR!$B$10="English",PAAR!$C36,IF(PAAR!$B$10="Français",_xlfn.XLOOKUP(PAAR!$C36,Interventions!$I$11:$I$288,Interventions!$B$11:$B$288,0,0,1),IF(PAAR!$B$10="Español",_xlfn.XLOOKUP(PAAR!$C36,Interventions!$J$11:$J$288,Interventions!$B$11:$B$288,0,0,1)))),0),""),"")</f>
        <v>RSSH/PP: Surveillance for priority epidemic-prone diseases and events</v>
      </c>
      <c r="D36" s="91">
        <f>IF(PAAR!$D36&lt;&gt;"", PAAR!$D36,"")</f>
        <v>120000</v>
      </c>
      <c r="E36" s="90">
        <f>IF(PAAR!$E36&lt;&gt;"",PAAR!$E36,"")</f>
        <v>120000</v>
      </c>
      <c r="F36" s="67"/>
      <c r="G36" s="68"/>
      <c r="H36" s="15"/>
      <c r="I36" s="90" t="str">
        <f>IF(ISBLANK(H36),"",IF(IF(Modules!$D$4="EUR",ROUND($K36*(Modules!$B$5),0),$K36)=0,0,IF(Modules!$D$4="EUR",ROUND($K36*(Modules!$B$5),0),$K36)))</f>
        <v/>
      </c>
      <c r="J36" s="67"/>
      <c r="K36" s="74">
        <f t="shared" si="0"/>
        <v>0</v>
      </c>
    </row>
    <row r="37" spans="1:11" ht="45.5" customHeight="1" x14ac:dyDescent="0.2">
      <c r="A37" s="82" t="str">
        <f>IF(NOT(ISBLANK(PAAR!$A37)),IF(PAAR!$A37 &lt;&gt; "",IFERROR(IF(PAAR!$B$10="English",PAAR!$A37,IF(PAAR!$B$10="Français",VLOOKUP(PAAR!$A37,For_EN[],3,0),IF(PAAR!$B$10="Español",VLOOKUP(PAAR!$A37,For_EN[[Español]:[English]],2,0)))),0),""),"")</f>
        <v>High</v>
      </c>
      <c r="B37" s="82" t="str">
        <f>IF(NOT(ISBLANK(PAAR!$B37)),IF(PAAR!$B37 &lt;&gt; "",IFERROR(IF(PAAR!$B$10="English",PAAR!$B37,IF(PAAR!$B$10="Français",VLOOKUP(PAAR!$B37,Modules!$C$11:$G$83,3,0),IF(PAAR!$B$10="Español",VLOOKUP(PAAR!$B37,Modules!$C$11:$G$83,3,0)))),0),""),"")</f>
        <v>RSSH/PP: Laboratory systems (including national and peripheral)</v>
      </c>
      <c r="C37" s="82" t="str">
        <f>IF(NOT(ISBLANK(PAAR!$C37)),IF(PAAR!$C37 &lt;&gt; "",IFERROR(IF(PAAR!$B$10="English",PAAR!$C37,IF(PAAR!$B$10="Français",_xlfn.XLOOKUP(PAAR!$C37,Interventions!$I$11:$I$288,Interventions!$B$11:$B$288,0,0,1),IF(PAAR!$B$10="Español",_xlfn.XLOOKUP(PAAR!$C37,Interventions!$J$11:$J$288,Interventions!$B$11:$B$288,0,0,1)))),0),""),"")</f>
        <v>RSSH/PP: Quality management systems and accreditation</v>
      </c>
      <c r="D37" s="91">
        <f>IF(PAAR!$D37&lt;&gt;"", PAAR!$D37,"")</f>
        <v>70000</v>
      </c>
      <c r="E37" s="90">
        <f>IF(PAAR!$E37&lt;&gt;"",PAAR!$E37,"")</f>
        <v>70000</v>
      </c>
      <c r="F37" s="67"/>
      <c r="G37" s="68"/>
      <c r="H37" s="15"/>
      <c r="I37" s="90" t="str">
        <f>IF(ISBLANK(H37),"",IF(IF(Modules!$D$4="EUR",ROUND($K37*(Modules!$B$5),0),$K37)=0,0,IF(Modules!$D$4="EUR",ROUND($K37*(Modules!$B$5),0),$K37)))</f>
        <v/>
      </c>
      <c r="J37" s="67"/>
      <c r="K37" s="74">
        <f t="shared" si="0"/>
        <v>0</v>
      </c>
    </row>
    <row r="38" spans="1:11" ht="45.5" customHeight="1" x14ac:dyDescent="0.2">
      <c r="A38" s="82" t="str">
        <f>IF(NOT(ISBLANK(PAAR!$A38)),IF(PAAR!$A38 &lt;&gt; "",IFERROR(IF(PAAR!$B$10="English",PAAR!$A38,IF(PAAR!$B$10="Français",VLOOKUP(PAAR!$A38,For_EN[],3,0),IF(PAAR!$B$10="Español",VLOOKUP(PAAR!$A38,For_EN[[Español]:[English]],2,0)))),0),""),"")</f>
        <v>High</v>
      </c>
      <c r="B38" s="82" t="str">
        <f>IF(NOT(ISBLANK(PAAR!$B38)),IF(PAAR!$B38 &lt;&gt; "",IFERROR(IF(PAAR!$B$10="English",PAAR!$B38,IF(PAAR!$B$10="Français",VLOOKUP(PAAR!$B38,Modules!$C$11:$G$83,3,0),IF(PAAR!$B$10="Español",VLOOKUP(PAAR!$B38,Modules!$C$11:$G$83,3,0)))),0),""),"")</f>
        <v>RSSH: Health financing systems</v>
      </c>
      <c r="C38" s="82" t="str">
        <f>IF(NOT(ISBLANK(PAAR!$C38)),IF(PAAR!$C38 &lt;&gt; "",IFERROR(IF(PAAR!$B$10="English",PAAR!$C38,IF(PAAR!$B$10="Français",_xlfn.XLOOKUP(PAAR!$C38,Interventions!$I$11:$I$288,Interventions!$B$11:$B$288,0,0,1),IF(PAAR!$B$10="Español",_xlfn.XLOOKUP(PAAR!$C38,Interventions!$J$11:$J$288,Interventions!$B$11:$B$288,0,0,1)))),0),""),"")</f>
        <v>Health financing data and analytics</v>
      </c>
      <c r="D38" s="91">
        <f>IF(PAAR!$D38&lt;&gt;"", PAAR!$D38,"")</f>
        <v>50000</v>
      </c>
      <c r="E38" s="90">
        <f>IF(PAAR!$E38&lt;&gt;"",PAAR!$E38,"")</f>
        <v>50000</v>
      </c>
      <c r="F38" s="67"/>
      <c r="G38" s="68"/>
      <c r="H38" s="15"/>
      <c r="I38" s="90" t="str">
        <f>IF(ISBLANK(H38),"",IF(IF(Modules!$D$4="EUR",ROUND($K38*(Modules!$B$5),0),$K38)=0,0,IF(Modules!$D$4="EUR",ROUND($K38*(Modules!$B$5),0),$K38)))</f>
        <v/>
      </c>
      <c r="J38" s="67"/>
      <c r="K38" s="74">
        <f t="shared" si="0"/>
        <v>0</v>
      </c>
    </row>
    <row r="39" spans="1:11" ht="45.5" customHeight="1" x14ac:dyDescent="0.2">
      <c r="A39" s="82" t="str">
        <f>IF(NOT(ISBLANK(PAAR!$A39)),IF(PAAR!$A39 &lt;&gt; "",IFERROR(IF(PAAR!$B$10="English",PAAR!$A39,IF(PAAR!$B$10="Français",VLOOKUP(PAAR!$A39,For_EN[],3,0),IF(PAAR!$B$10="Español",VLOOKUP(PAAR!$A39,For_EN[[Español]:[English]],2,0)))),0),""),"")</f>
        <v>High</v>
      </c>
      <c r="B39" s="82" t="str">
        <f>IF(NOT(ISBLANK(PAAR!$B39)),IF(PAAR!$B39 &lt;&gt; "",IFERROR(IF(PAAR!$B$10="English",PAAR!$B39,IF(PAAR!$B$10="Français",VLOOKUP(PAAR!$B39,Modules!$C$11:$G$83,3,0),IF(PAAR!$B$10="Español",VLOOKUP(PAAR!$B39,Modules!$C$11:$G$83,3,0)))),0),""),"")</f>
        <v>TB/DR-TB Prevention</v>
      </c>
      <c r="C39" s="82" t="str">
        <f>IF(NOT(ISBLANK(PAAR!$C39)),IF(PAAR!$C39 &lt;&gt; "",IFERROR(IF(PAAR!$B$10="English",PAAR!$C39,IF(PAAR!$B$10="Français",_xlfn.XLOOKUP(PAAR!$C39,Interventions!$I$11:$I$288,Interventions!$B$11:$B$288,0,0,1),IF(PAAR!$B$10="Español",_xlfn.XLOOKUP(PAAR!$C39,Interventions!$J$11:$J$288,Interventions!$B$11:$B$288,0,0,1)))),0),""),"")</f>
        <v>Preventive treatment</v>
      </c>
      <c r="D39" s="91">
        <f>IF(PAAR!$D39&lt;&gt;"", PAAR!$D39,"")</f>
        <v>6444</v>
      </c>
      <c r="E39" s="90">
        <f>IF(PAAR!$E39&lt;&gt;"",PAAR!$E39,"")</f>
        <v>6444</v>
      </c>
      <c r="F39" s="67"/>
      <c r="G39" s="68"/>
      <c r="H39" s="15"/>
      <c r="I39" s="90" t="str">
        <f>IF(ISBLANK(H39),"",IF(IF(Modules!$D$4="EUR",ROUND($K39*(Modules!$B$5),0),$K39)=0,0,IF(Modules!$D$4="EUR",ROUND($K39*(Modules!$B$5),0),$K39)))</f>
        <v/>
      </c>
      <c r="J39" s="67"/>
      <c r="K39" s="74">
        <f t="shared" si="0"/>
        <v>0</v>
      </c>
    </row>
    <row r="40" spans="1:11" ht="45.5" customHeight="1" x14ac:dyDescent="0.2">
      <c r="A40" s="82" t="str">
        <f>IF(NOT(ISBLANK(PAAR!$A40)),IF(PAAR!$A40 &lt;&gt; "",IFERROR(IF(PAAR!$B$10="English",PAAR!$A40,IF(PAAR!$B$10="Français",VLOOKUP(PAAR!$A40,For_EN[],3,0),IF(PAAR!$B$10="Español",VLOOKUP(PAAR!$A40,For_EN[[Español]:[English]],2,0)))),0),""),"")</f>
        <v>Medium</v>
      </c>
      <c r="B40" s="82" t="str">
        <f>IF(NOT(ISBLANK(PAAR!$B40)),IF(PAAR!$B40 &lt;&gt; "",IFERROR(IF(PAAR!$B$10="English",PAAR!$B40,IF(PAAR!$B$10="Français",VLOOKUP(PAAR!$B40,Modules!$C$11:$G$83,3,0),IF(PAAR!$B$10="Español",VLOOKUP(PAAR!$B40,Modules!$C$11:$G$83,3,0)))),0),""),"")</f>
        <v>Prevention package for people who use drugs (PUD) and their sexual partners</v>
      </c>
      <c r="C40" s="82" t="str">
        <f>IF(NOT(ISBLANK(PAAR!$C40)),IF(PAAR!$C40 &lt;&gt; "",IFERROR(IF(PAAR!$B$10="English",PAAR!$C40,IF(PAAR!$B$10="Français",_xlfn.XLOOKUP(PAAR!$C40,Interventions!$I$11:$I$288,Interventions!$B$11:$B$288,0,0,1),IF(PAAR!$B$10="Español",_xlfn.XLOOKUP(PAAR!$C40,Interventions!$J$11:$J$288,Interventions!$B$11:$B$288,0,0,1)))),0),""),"")</f>
        <v>Opioid substitution therapy and other medically assisted drug dependence treatment for PWID</v>
      </c>
      <c r="D40" s="91">
        <f>IF(PAAR!$D40&lt;&gt;"", PAAR!$D40,"")</f>
        <v>4200000</v>
      </c>
      <c r="E40" s="90">
        <f>IF(PAAR!$E40&lt;&gt;"",PAAR!$E40,"")</f>
        <v>4200000</v>
      </c>
      <c r="F40" s="67"/>
      <c r="G40" s="68"/>
      <c r="H40" s="15"/>
      <c r="I40" s="90" t="str">
        <f>IF(ISBLANK(H40),"",IF(IF(Modules!$D$4="EUR",ROUND($K40*(Modules!$B$5),0),$K40)=0,0,IF(Modules!$D$4="EUR",ROUND($K40*(Modules!$B$5),0),$K40)))</f>
        <v/>
      </c>
      <c r="J40" s="67"/>
      <c r="K40" s="74">
        <f t="shared" si="0"/>
        <v>0</v>
      </c>
    </row>
    <row r="41" spans="1:11" ht="45.5" customHeight="1" x14ac:dyDescent="0.2">
      <c r="A41" s="82" t="str">
        <f>IF(NOT(ISBLANK(PAAR!$A41)),IF(PAAR!$A41 &lt;&gt; "",IFERROR(IF(PAAR!$B$10="English",PAAR!$A41,IF(PAAR!$B$10="Français",VLOOKUP(PAAR!$A41,For_EN[],3,0),IF(PAAR!$B$10="Español",VLOOKUP(PAAR!$A41,For_EN[[Español]:[English]],2,0)))),0),""),"")</f>
        <v>Medium</v>
      </c>
      <c r="B41" s="82" t="str">
        <f>IF(NOT(ISBLANK(PAAR!$B41)),IF(PAAR!$B41 &lt;&gt; "",IFERROR(IF(PAAR!$B$10="English",PAAR!$B41,IF(PAAR!$B$10="Français",VLOOKUP(PAAR!$B41,Modules!$C$11:$G$83,3,0),IF(PAAR!$B$10="Español",VLOOKUP(PAAR!$B41,Modules!$C$11:$G$83,3,0)))),0),""),"")</f>
        <v>Prevention package for people who use drugs (PUD) and their sexual partners</v>
      </c>
      <c r="C41" s="82" t="str">
        <f>IF(NOT(ISBLANK(PAAR!$C41)),IF(PAAR!$C41 &lt;&gt; "",IFERROR(IF(PAAR!$B$10="English",PAAR!$C41,IF(PAAR!$B$10="Français",_xlfn.XLOOKUP(PAAR!$C41,Interventions!$I$11:$I$288,Interventions!$B$11:$B$288,0,0,1),IF(PAAR!$B$10="Español",_xlfn.XLOOKUP(PAAR!$C41,Interventions!$J$11:$J$288,Interventions!$B$11:$B$288,0,0,1)))),0),""),"")</f>
        <v>Sexual and reproductive health services, including STIs, hepatitis, post-violence care for PUD</v>
      </c>
      <c r="D41" s="91">
        <f>IF(PAAR!$D41&lt;&gt;"", PAAR!$D41,"")</f>
        <v>1336000</v>
      </c>
      <c r="E41" s="90">
        <f>IF(PAAR!$E41&lt;&gt;"",PAAR!$E41,"")</f>
        <v>1336000</v>
      </c>
      <c r="F41" s="67"/>
      <c r="G41" s="68"/>
      <c r="H41" s="15"/>
      <c r="I41" s="90" t="str">
        <f>IF(ISBLANK(H41),"",IF(IF(Modules!$D$4="EUR",ROUND($K41*(Modules!$B$5),0),$K41)=0,0,IF(Modules!$D$4="EUR",ROUND($K41*(Modules!$B$5),0),$K41)))</f>
        <v/>
      </c>
      <c r="J41" s="67"/>
      <c r="K41" s="74">
        <f t="shared" si="0"/>
        <v>0</v>
      </c>
    </row>
    <row r="42" spans="1:11" ht="45.5" customHeight="1" x14ac:dyDescent="0.2">
      <c r="A42" s="82" t="str">
        <f>IF(NOT(ISBLANK(PAAR!$A42)),IF(PAAR!$A42 &lt;&gt; "",IFERROR(IF(PAAR!$B$10="English",PAAR!$A42,IF(PAAR!$B$10="Français",VLOOKUP(PAAR!$A42,For_EN[],3,0),IF(PAAR!$B$10="Español",VLOOKUP(PAAR!$A42,For_EN[[Español]:[English]],2,0)))),0),""),"")</f>
        <v>Medium</v>
      </c>
      <c r="B42" s="82" t="str">
        <f>IF(NOT(ISBLANK(PAAR!$B42)),IF(PAAR!$B42 &lt;&gt; "",IFERROR(IF(PAAR!$B$10="English",PAAR!$B42,IF(PAAR!$B$10="Français",VLOOKUP(PAAR!$B42,Modules!$C$11:$G$83,3,0),IF(PAAR!$B$10="Español",VLOOKUP(PAAR!$B42,Modules!$C$11:$G$83,3,0)))),0),""),"")</f>
        <v>RSSH/PP: Laboratory systems (including national and peripheral)</v>
      </c>
      <c r="C42" s="82" t="str">
        <f>IF(NOT(ISBLANK(PAAR!$C42)),IF(PAAR!$C42 &lt;&gt; "",IFERROR(IF(PAAR!$B$10="English",PAAR!$C42,IF(PAAR!$B$10="Français",_xlfn.XLOOKUP(PAAR!$C42,Interventions!$I$11:$I$288,Interventions!$B$11:$B$288,0,0,1),IF(PAAR!$B$10="Español",_xlfn.XLOOKUP(PAAR!$C42,Interventions!$J$11:$J$288,Interventions!$B$11:$B$288,0,0,1)))),0),""),"")</f>
        <v>RSSH/PP: Biosafety and biosecurity, infrastructure and equipment</v>
      </c>
      <c r="D42" s="91">
        <f>IF(PAAR!$D42&lt;&gt;"", PAAR!$D42,"")</f>
        <v>967975</v>
      </c>
      <c r="E42" s="90">
        <f>IF(PAAR!$E42&lt;&gt;"",PAAR!$E42,"")</f>
        <v>967975</v>
      </c>
      <c r="F42" s="67"/>
      <c r="G42" s="68"/>
      <c r="H42" s="15"/>
      <c r="I42" s="90" t="str">
        <f>IF(ISBLANK(H42),"",IF(IF(Modules!$D$4="EUR",ROUND($K42*(Modules!$B$5),0),$K42)=0,0,IF(Modules!$D$4="EUR",ROUND($K42*(Modules!$B$5),0),$K42)))</f>
        <v/>
      </c>
      <c r="J42" s="67"/>
      <c r="K42" s="74">
        <f t="shared" si="0"/>
        <v>0</v>
      </c>
    </row>
    <row r="43" spans="1:11" ht="45.5" customHeight="1" x14ac:dyDescent="0.2">
      <c r="A43" s="82" t="str">
        <f>IF(NOT(ISBLANK(PAAR!$A43)),IF(PAAR!$A43 &lt;&gt; "",IFERROR(IF(PAAR!$B$10="English",PAAR!$A43,IF(PAAR!$B$10="Français",VLOOKUP(PAAR!$A43,For_EN[],3,0),IF(PAAR!$B$10="Español",VLOOKUP(PAAR!$A43,For_EN[[Español]:[English]],2,0)))),0),""),"")</f>
        <v>Medium</v>
      </c>
      <c r="B43" s="82" t="str">
        <f>IF(NOT(ISBLANK(PAAR!$B43)),IF(PAAR!$B43 &lt;&gt; "",IFERROR(IF(PAAR!$B$10="English",PAAR!$B43,IF(PAAR!$B$10="Français",VLOOKUP(PAAR!$B43,Modules!$C$11:$G$83,3,0),IF(PAAR!$B$10="Español",VLOOKUP(PAAR!$B43,Modules!$C$11:$G$83,3,0)))),0),""),"")</f>
        <v>Treatment, care and support</v>
      </c>
      <c r="C43" s="82" t="str">
        <f>IF(NOT(ISBLANK(PAAR!$C43)),IF(PAAR!$C43 &lt;&gt; "",IFERROR(IF(PAAR!$B$10="English",PAAR!$C43,IF(PAAR!$B$10="Français",_xlfn.XLOOKUP(PAAR!$C43,Interventions!$I$11:$I$288,Interventions!$B$11:$B$288,0,0,1),IF(PAAR!$B$10="Español",_xlfn.XLOOKUP(PAAR!$C43,Interventions!$J$11:$J$288,Interventions!$B$11:$B$288,0,0,1)))),0),""),"")</f>
        <v>HIV treatment and differentiated service delivery - adults (15 and above)</v>
      </c>
      <c r="D43" s="91">
        <f>IF(PAAR!$D43&lt;&gt;"", PAAR!$D43,"")</f>
        <v>540000</v>
      </c>
      <c r="E43" s="90">
        <f>IF(PAAR!$E43&lt;&gt;"",PAAR!$E43,"")</f>
        <v>540000</v>
      </c>
      <c r="F43" s="67"/>
      <c r="G43" s="68"/>
      <c r="H43" s="15"/>
      <c r="I43" s="90" t="str">
        <f>IF(ISBLANK(H43),"",IF(IF(Modules!$D$4="EUR",ROUND($K43*(Modules!$B$5),0),$K43)=0,0,IF(Modules!$D$4="EUR",ROUND($K43*(Modules!$B$5),0),$K43)))</f>
        <v/>
      </c>
      <c r="J43" s="67"/>
      <c r="K43" s="74">
        <f t="shared" si="0"/>
        <v>0</v>
      </c>
    </row>
    <row r="44" spans="1:11" ht="45.5" customHeight="1" x14ac:dyDescent="0.2">
      <c r="A44" s="82" t="str">
        <f>IF(NOT(ISBLANK(PAAR!$A44)),IF(PAAR!$A44 &lt;&gt; "",IFERROR(IF(PAAR!$B$10="English",PAAR!$A44,IF(PAAR!$B$10="Français",VLOOKUP(PAAR!$A44,For_EN[],3,0),IF(PAAR!$B$10="Español",VLOOKUP(PAAR!$A44,For_EN[[Español]:[English]],2,0)))),0),""),"")</f>
        <v>Medium</v>
      </c>
      <c r="B44" s="82" t="str">
        <f>IF(NOT(ISBLANK(PAAR!$B44)),IF(PAAR!$B44 &lt;&gt; "",IFERROR(IF(PAAR!$B$10="English",PAAR!$B44,IF(PAAR!$B$10="Français",VLOOKUP(PAAR!$B44,Modules!$C$11:$G$83,3,0),IF(PAAR!$B$10="Español",VLOOKUP(PAAR!$B44,Modules!$C$11:$G$83,3,0)))),0),""),"")</f>
        <v>Prevention package for adolescent girls and young women (AGYW) and male sexual partners in high HIV incidence settings</v>
      </c>
      <c r="C44" s="82" t="str">
        <f>IF(NOT(ISBLANK(PAAR!$C44)),IF(PAAR!$C44 &lt;&gt; "",IFERROR(IF(PAAR!$B$10="English",PAAR!$C44,IF(PAAR!$B$10="Français",_xlfn.XLOOKUP(PAAR!$C44,Interventions!$I$11:$I$288,Interventions!$B$11:$B$288,0,0,1),IF(PAAR!$B$10="Español",_xlfn.XLOOKUP(PAAR!$C44,Interventions!$J$11:$J$288,Interventions!$B$11:$B$288,0,0,1)))),0),""),"")</f>
        <v>Social protection interventions for AGYW in high HIV incidence settings</v>
      </c>
      <c r="D44" s="91">
        <f>IF(PAAR!$D44&lt;&gt;"", PAAR!$D44,"")</f>
        <v>360000</v>
      </c>
      <c r="E44" s="90">
        <f>IF(PAAR!$E44&lt;&gt;"",PAAR!$E44,"")</f>
        <v>360000</v>
      </c>
      <c r="F44" s="67"/>
      <c r="G44" s="68"/>
      <c r="H44" s="15"/>
      <c r="I44" s="90" t="str">
        <f>IF(ISBLANK(H44),"",IF(IF(Modules!$D$4="EUR",ROUND($K44*(Modules!$B$5),0),$K44)=0,0,IF(Modules!$D$4="EUR",ROUND($K44*(Modules!$B$5),0),$K44)))</f>
        <v/>
      </c>
      <c r="J44" s="67"/>
      <c r="K44" s="74">
        <f t="shared" si="0"/>
        <v>0</v>
      </c>
    </row>
    <row r="45" spans="1:11" ht="45.5" customHeight="1" x14ac:dyDescent="0.2">
      <c r="A45" s="82" t="str">
        <f>IF(NOT(ISBLANK(PAAR!$A45)),IF(PAAR!$A45 &lt;&gt; "",IFERROR(IF(PAAR!$B$10="English",PAAR!$A45,IF(PAAR!$B$10="Français",VLOOKUP(PAAR!$A45,For_EN[],3,0),IF(PAAR!$B$10="Español",VLOOKUP(PAAR!$A45,For_EN[[Español]:[English]],2,0)))),0),""),"")</f>
        <v>Medium</v>
      </c>
      <c r="B45" s="82" t="str">
        <f>IF(NOT(ISBLANK(PAAR!$B45)),IF(PAAR!$B45 &lt;&gt; "",IFERROR(IF(PAAR!$B$10="English",PAAR!$B45,IF(PAAR!$B$10="Français",VLOOKUP(PAAR!$B45,Modules!$C$11:$G$83,3,0),IF(PAAR!$B$10="Español",VLOOKUP(PAAR!$B45,Modules!$C$11:$G$83,3,0)))),0),""),"")</f>
        <v>RSSH: Monitoring and evaluation systems</v>
      </c>
      <c r="C45" s="82" t="str">
        <f>IF(NOT(ISBLANK(PAAR!$C45)),IF(PAAR!$C45 &lt;&gt; "",IFERROR(IF(PAAR!$B$10="English",PAAR!$C45,IF(PAAR!$B$10="Français",_xlfn.XLOOKUP(PAAR!$C45,Interventions!$I$11:$I$288,Interventions!$B$11:$B$288,0,0,1),IF(PAAR!$B$10="Español",_xlfn.XLOOKUP(PAAR!$C45,Interventions!$J$11:$J$288,Interventions!$B$11:$B$288,0,0,1)))),0),""),"")</f>
        <v>Surveillance for HIV, tuberculosis and malaria</v>
      </c>
      <c r="D45" s="91">
        <f>IF(PAAR!$D45&lt;&gt;"", PAAR!$D45,"")</f>
        <v>300000</v>
      </c>
      <c r="E45" s="90">
        <f>IF(PAAR!$E45&lt;&gt;"",PAAR!$E45,"")</f>
        <v>300000</v>
      </c>
      <c r="F45" s="67"/>
      <c r="G45" s="68"/>
      <c r="H45" s="15"/>
      <c r="I45" s="90" t="str">
        <f>IF(ISBLANK(H45),"",IF(IF(Modules!$D$4="EUR",ROUND($K45*(Modules!$B$5),0),$K45)=0,0,IF(Modules!$D$4="EUR",ROUND($K45*(Modules!$B$5),0),$K45)))</f>
        <v/>
      </c>
      <c r="J45" s="67"/>
      <c r="K45" s="74">
        <f t="shared" si="0"/>
        <v>0</v>
      </c>
    </row>
    <row r="46" spans="1:11" ht="45.5" customHeight="1" x14ac:dyDescent="0.2">
      <c r="A46" s="82" t="str">
        <f>IF(NOT(ISBLANK(PAAR!$A46)),IF(PAAR!$A46 &lt;&gt; "",IFERROR(IF(PAAR!$B$10="English",PAAR!$A46,IF(PAAR!$B$10="Français",VLOOKUP(PAAR!$A46,For_EN[],3,0),IF(PAAR!$B$10="Español",VLOOKUP(PAAR!$A46,For_EN[[Español]:[English]],2,0)))),0),""),"")</f>
        <v>Medium</v>
      </c>
      <c r="B46" s="82" t="str">
        <f>IF(NOT(ISBLANK(PAAR!$B46)),IF(PAAR!$B46 &lt;&gt; "",IFERROR(IF(PAAR!$B$10="English",PAAR!$B46,IF(PAAR!$B$10="Français",VLOOKUP(PAAR!$B46,Modules!$C$11:$G$83,3,0),IF(PAAR!$B$10="Español",VLOOKUP(PAAR!$B46,Modules!$C$11:$G$83,3,0)))),0),""),"")</f>
        <v>Prevention package for other vulnerable populations (OVP)</v>
      </c>
      <c r="C46" s="82" t="str">
        <f>IF(NOT(ISBLANK(PAAR!$C46)),IF(PAAR!$C46 &lt;&gt; "",IFERROR(IF(PAAR!$B$10="English",PAAR!$C46,IF(PAAR!$B$10="Français",_xlfn.XLOOKUP(PAAR!$C46,Interventions!$I$11:$I$288,Interventions!$B$11:$B$288,0,0,1),IF(PAAR!$B$10="Español",_xlfn.XLOOKUP(PAAR!$C46,Interventions!$J$11:$J$288,Interventions!$B$11:$B$288,0,0,1)))),0),""),"")</f>
        <v>Sexual and reproductive health services, including STIs, hepatitis, post-violence care for OVP</v>
      </c>
      <c r="D46" s="91">
        <f>IF(PAAR!$D46&lt;&gt;"", PAAR!$D46,"")</f>
        <v>252000</v>
      </c>
      <c r="E46" s="90">
        <f>IF(PAAR!$E46&lt;&gt;"",PAAR!$E46,"")</f>
        <v>252000</v>
      </c>
      <c r="F46" s="67"/>
      <c r="G46" s="68"/>
      <c r="H46" s="15"/>
      <c r="I46" s="90" t="str">
        <f>IF(ISBLANK(H46),"",IF(IF(Modules!$D$4="EUR",ROUND($K46*(Modules!$B$5),0),$K46)=0,0,IF(Modules!$D$4="EUR",ROUND($K46*(Modules!$B$5),0),$K46)))</f>
        <v/>
      </c>
      <c r="J46" s="67"/>
      <c r="K46" s="74">
        <f t="shared" si="0"/>
        <v>0</v>
      </c>
    </row>
    <row r="47" spans="1:11" ht="45.5" customHeight="1" x14ac:dyDescent="0.2">
      <c r="A47" s="82" t="str">
        <f>IF(NOT(ISBLANK(PAAR!$A47)),IF(PAAR!$A47 &lt;&gt; "",IFERROR(IF(PAAR!$B$10="English",PAAR!$A47,IF(PAAR!$B$10="Français",VLOOKUP(PAAR!$A47,For_EN[],3,0),IF(PAAR!$B$10="Español",VLOOKUP(PAAR!$A47,For_EN[[Español]:[English]],2,0)))),0),""),"")</f>
        <v>Medium</v>
      </c>
      <c r="B47" s="82" t="str">
        <f>IF(NOT(ISBLANK(PAAR!$B47)),IF(PAAR!$B47 &lt;&gt; "",IFERROR(IF(PAAR!$B$10="English",PAAR!$B47,IF(PAAR!$B$10="Français",VLOOKUP(PAAR!$B47,Modules!$C$11:$G$83,3,0),IF(PAAR!$B$10="Español",VLOOKUP(PAAR!$B47,Modules!$C$11:$G$83,3,0)))),0),""),"")</f>
        <v>Drug-resistant (DR)-TB diagnosis, treatment and care</v>
      </c>
      <c r="C47" s="82" t="str">
        <f>IF(NOT(ISBLANK(PAAR!$C47)),IF(PAAR!$C47 &lt;&gt; "",IFERROR(IF(PAAR!$B$10="English",PAAR!$C47,IF(PAAR!$B$10="Français",_xlfn.XLOOKUP(PAAR!$C47,Interventions!$I$11:$I$288,Interventions!$B$11:$B$288,0,0,1),IF(PAAR!$B$10="Español",_xlfn.XLOOKUP(PAAR!$C47,Interventions!$J$11:$J$288,Interventions!$B$11:$B$288,0,0,1)))),0),""),"")</f>
        <v>DR-TB diagnosis/drug susceptibility testing (DST)</v>
      </c>
      <c r="D47" s="91">
        <f>IF(PAAR!$D47&lt;&gt;"", PAAR!$D47,"")</f>
        <v>203329</v>
      </c>
      <c r="E47" s="90">
        <f>IF(PAAR!$E47&lt;&gt;"",PAAR!$E47,"")</f>
        <v>203329</v>
      </c>
      <c r="F47" s="67"/>
      <c r="G47" s="68"/>
      <c r="H47" s="15"/>
      <c r="I47" s="90" t="str">
        <f>IF(ISBLANK(H47),"",IF(IF(Modules!$D$4="EUR",ROUND($K47*(Modules!$B$5),0),$K47)=0,0,IF(Modules!$D$4="EUR",ROUND($K47*(Modules!$B$5),0),$K47)))</f>
        <v/>
      </c>
      <c r="J47" s="67"/>
      <c r="K47" s="74">
        <f t="shared" si="0"/>
        <v>0</v>
      </c>
    </row>
    <row r="48" spans="1:11" ht="45.5" customHeight="1" x14ac:dyDescent="0.2">
      <c r="A48" s="82" t="str">
        <f>IF(NOT(ISBLANK(PAAR!$A48)),IF(PAAR!$A48 &lt;&gt; "",IFERROR(IF(PAAR!$B$10="English",PAAR!$A48,IF(PAAR!$B$10="Français",VLOOKUP(PAAR!$A48,For_EN[],3,0),IF(PAAR!$B$10="Español",VLOOKUP(PAAR!$A48,For_EN[[Español]:[English]],2,0)))),0),""),"")</f>
        <v>Medium</v>
      </c>
      <c r="B48" s="82" t="str">
        <f>IF(NOT(ISBLANK(PAAR!$B48)),IF(PAAR!$B48 &lt;&gt; "",IFERROR(IF(PAAR!$B$10="English",PAAR!$B48,IF(PAAR!$B$10="Français",VLOOKUP(PAAR!$B48,Modules!$C$11:$G$83,3,0),IF(PAAR!$B$10="Español",VLOOKUP(PAAR!$B48,Modules!$C$11:$G$83,3,0)))),0),""),"")</f>
        <v>RSSH: Health products management systems</v>
      </c>
      <c r="C48" s="82" t="str">
        <f>IF(NOT(ISBLANK(PAAR!$C48)),IF(PAAR!$C48 &lt;&gt; "",IFERROR(IF(PAAR!$B$10="English",PAAR!$C48,IF(PAAR!$B$10="Français",_xlfn.XLOOKUP(PAAR!$C48,Interventions!$I$11:$I$288,Interventions!$B$11:$B$288,0,0,1),IF(PAAR!$B$10="Español",_xlfn.XLOOKUP(PAAR!$C48,Interventions!$J$11:$J$288,Interventions!$B$11:$B$288,0,0,1)))),0),""),"")</f>
        <v>Storage and distribution capacity, design &amp; operations</v>
      </c>
      <c r="D48" s="91">
        <f>IF(PAAR!$D48&lt;&gt;"", PAAR!$D48,"")</f>
        <v>180000</v>
      </c>
      <c r="E48" s="90">
        <f>IF(PAAR!$E48&lt;&gt;"",PAAR!$E48,"")</f>
        <v>180000</v>
      </c>
      <c r="F48" s="67"/>
      <c r="G48" s="68"/>
      <c r="H48" s="15"/>
      <c r="I48" s="90" t="str">
        <f>IF(ISBLANK(H48),"",IF(IF(Modules!$D$4="EUR",ROUND($K48*(Modules!$B$5),0),$K48)=0,0,IF(Modules!$D$4="EUR",ROUND($K48*(Modules!$B$5),0),$K48)))</f>
        <v/>
      </c>
      <c r="J48" s="67"/>
      <c r="K48" s="74">
        <f t="shared" si="0"/>
        <v>0</v>
      </c>
    </row>
    <row r="49" spans="1:11" ht="45.5" customHeight="1" x14ac:dyDescent="0.2">
      <c r="A49" s="82" t="str">
        <f>IF(NOT(ISBLANK(PAAR!$A49)),IF(PAAR!$A49 &lt;&gt; "",IFERROR(IF(PAAR!$B$10="English",PAAR!$A49,IF(PAAR!$B$10="Français",VLOOKUP(PAAR!$A49,For_EN[],3,0),IF(PAAR!$B$10="Español",VLOOKUP(PAAR!$A49,For_EN[[Español]:[English]],2,0)))),0),""),"")</f>
        <v>Medium</v>
      </c>
      <c r="B49" s="82" t="str">
        <f>IF(NOT(ISBLANK(PAAR!$B49)),IF(PAAR!$B49 &lt;&gt; "",IFERROR(IF(PAAR!$B$10="English",PAAR!$B49,IF(PAAR!$B$10="Français",VLOOKUP(PAAR!$B49,Modules!$C$11:$G$83,3,0),IF(PAAR!$B$10="Español",VLOOKUP(PAAR!$B49,Modules!$C$11:$G$83,3,0)))),0),""),"")</f>
        <v>RSSH: Health sector planning and governance for integrated people-centered services</v>
      </c>
      <c r="C49" s="82" t="str">
        <f>IF(NOT(ISBLANK(PAAR!$C49)),IF(PAAR!$C49 &lt;&gt; "",IFERROR(IF(PAAR!$B$10="English",PAAR!$C49,IF(PAAR!$B$10="Français",_xlfn.XLOOKUP(PAAR!$C49,Interventions!$I$11:$I$288,Interventions!$B$11:$B$288,0,0,1),IF(PAAR!$B$10="Español",_xlfn.XLOOKUP(PAAR!$C49,Interventions!$J$11:$J$288,Interventions!$B$11:$B$288,0,0,1)))),0),""),"")</f>
        <v>National health sector strategy, policy &amp; regulations</v>
      </c>
      <c r="D49" s="91">
        <f>IF(PAAR!$D49&lt;&gt;"", PAAR!$D49,"")</f>
        <v>150000</v>
      </c>
      <c r="E49" s="90">
        <f>IF(PAAR!$E49&lt;&gt;"",PAAR!$E49,"")</f>
        <v>150000</v>
      </c>
      <c r="F49" s="67"/>
      <c r="G49" s="68"/>
      <c r="H49" s="15"/>
      <c r="I49" s="90" t="str">
        <f>IF(ISBLANK(H49),"",IF(IF(Modules!$D$4="EUR",ROUND($K49*(Modules!$B$5),0),$K49)=0,0,IF(Modules!$D$4="EUR",ROUND($K49*(Modules!$B$5),0),$K49)))</f>
        <v/>
      </c>
      <c r="J49" s="67"/>
      <c r="K49" s="74">
        <f t="shared" si="0"/>
        <v>0</v>
      </c>
    </row>
    <row r="50" spans="1:11" ht="45.5" customHeight="1" x14ac:dyDescent="0.2">
      <c r="A50" s="82" t="str">
        <f>IF(NOT(ISBLANK(PAAR!$A50)),IF(PAAR!$A50 &lt;&gt; "",IFERROR(IF(PAAR!$B$10="English",PAAR!$A50,IF(PAAR!$B$10="Français",VLOOKUP(PAAR!$A50,For_EN[],3,0),IF(PAAR!$B$10="Español",VLOOKUP(PAAR!$A50,For_EN[[Español]:[English]],2,0)))),0),""),"")</f>
        <v>Medium</v>
      </c>
      <c r="B50" s="82" t="str">
        <f>IF(NOT(ISBLANK(PAAR!$B50)),IF(PAAR!$B50 &lt;&gt; "",IFERROR(IF(PAAR!$B$10="English",PAAR!$B50,IF(PAAR!$B$10="Français",VLOOKUP(PAAR!$B50,Modules!$C$11:$G$83,3,0),IF(PAAR!$B$10="Español",VLOOKUP(PAAR!$B50,Modules!$C$11:$G$83,3,0)))),0),""),"")</f>
        <v>RSSH/PP: Laboratory systems (including national and peripheral)</v>
      </c>
      <c r="C50" s="82" t="str">
        <f>IF(NOT(ISBLANK(PAAR!$C50)),IF(PAAR!$C50 &lt;&gt; "",IFERROR(IF(PAAR!$B$10="English",PAAR!$C50,IF(PAAR!$B$10="Français",_xlfn.XLOOKUP(PAAR!$C50,Interventions!$I$11:$I$288,Interventions!$B$11:$B$288,0,0,1),IF(PAAR!$B$10="Español",_xlfn.XLOOKUP(PAAR!$C50,Interventions!$J$11:$J$288,Interventions!$B$11:$B$288,0,0,1)))),0),""),"")</f>
        <v>RSSH/PP: Quality management systems and accreditation</v>
      </c>
      <c r="D50" s="91">
        <f>IF(PAAR!$D50&lt;&gt;"", PAAR!$D50,"")</f>
        <v>100000</v>
      </c>
      <c r="E50" s="90">
        <f>IF(PAAR!$E50&lt;&gt;"",PAAR!$E50,"")</f>
        <v>100000</v>
      </c>
      <c r="F50" s="67"/>
      <c r="G50" s="68"/>
      <c r="H50" s="15"/>
      <c r="I50" s="90" t="str">
        <f>IF(ISBLANK(H50),"",IF(IF(Modules!$D$4="EUR",ROUND($K50*(Modules!$B$5),0),$K50)=0,0,IF(Modules!$D$4="EUR",ROUND($K50*(Modules!$B$5),0),$K50)))</f>
        <v/>
      </c>
      <c r="J50" s="67"/>
      <c r="K50" s="74">
        <f t="shared" si="0"/>
        <v>0</v>
      </c>
    </row>
    <row r="51" spans="1:11" ht="45.5" customHeight="1" x14ac:dyDescent="0.2">
      <c r="A51" s="82" t="str">
        <f>IF(NOT(ISBLANK(PAAR!$A51)),IF(PAAR!$A51 &lt;&gt; "",IFERROR(IF(PAAR!$B$10="English",PAAR!$A51,IF(PAAR!$B$10="Français",VLOOKUP(PAAR!$A51,For_EN[],3,0),IF(PAAR!$B$10="Español",VLOOKUP(PAAR!$A51,For_EN[[Español]:[English]],2,0)))),0),""),"")</f>
        <v/>
      </c>
      <c r="B51" s="82" t="str">
        <f>IF(NOT(ISBLANK(PAAR!$B51)),IF(PAAR!$B51 &lt;&gt; "",IFERROR(IF(PAAR!$B$10="English",PAAR!$B51,IF(PAAR!$B$10="Français",VLOOKUP(PAAR!$B51,Modules!$C$11:$G$83,3,0),IF(PAAR!$B$10="Español",VLOOKUP(PAAR!$B51,Modules!$C$11:$G$83,3,0)))),0),""),"")</f>
        <v/>
      </c>
      <c r="C51" s="82" t="str">
        <f>IF(NOT(ISBLANK(PAAR!$C51)),IF(PAAR!$C51 &lt;&gt; "",IFERROR(IF(PAAR!$B$10="English",PAAR!$C51,IF(PAAR!$B$10="Français",_xlfn.XLOOKUP(PAAR!$C51,Interventions!$I$11:$I$288,Interventions!$B$11:$B$288,0,0,1),IF(PAAR!$B$10="Español",_xlfn.XLOOKUP(PAAR!$C51,Interventions!$J$11:$J$288,Interventions!$B$11:$B$288,0,0,1)))),0),""),"")</f>
        <v/>
      </c>
      <c r="D51" s="91" t="str">
        <f>IF(PAAR!$D51&lt;&gt;"", PAAR!$D51,"")</f>
        <v/>
      </c>
      <c r="E51" s="90" t="str">
        <f>IF(PAAR!$E51&lt;&gt;"",PAAR!$E51,"")</f>
        <v/>
      </c>
      <c r="F51" s="67"/>
      <c r="G51" s="68"/>
      <c r="H51" s="15"/>
      <c r="I51" s="90" t="str">
        <f>IF(ISBLANK(H51),"",IF(IF(Modules!$D$4="EUR",ROUND($K51*(Modules!$B$5),0),$K51)=0,0,IF(Modules!$D$4="EUR",ROUND($K51*(Modules!$B$5),0),$K51)))</f>
        <v/>
      </c>
      <c r="J51" s="67"/>
      <c r="K51" s="74">
        <f t="shared" si="0"/>
        <v>0</v>
      </c>
    </row>
    <row r="52" spans="1:11" ht="45.5" customHeight="1" x14ac:dyDescent="0.2">
      <c r="A52" s="82" t="str">
        <f>IF(NOT(ISBLANK(PAAR!$A52)),IF(PAAR!$A52 &lt;&gt; "",IFERROR(IF(PAAR!$B$10="English",PAAR!$A52,IF(PAAR!$B$10="Français",VLOOKUP(PAAR!$A52,For_EN[],3,0),IF(PAAR!$B$10="Español",VLOOKUP(PAAR!$A52,For_EN[[Español]:[English]],2,0)))),0),""),"")</f>
        <v/>
      </c>
      <c r="B52" s="82" t="str">
        <f>IF(NOT(ISBLANK(PAAR!$B52)),IF(PAAR!$B52 &lt;&gt; "",IFERROR(IF(PAAR!$B$10="English",PAAR!$B52,IF(PAAR!$B$10="Français",VLOOKUP(PAAR!$B52,Modules!$C$11:$G$83,3,0),IF(PAAR!$B$10="Español",VLOOKUP(PAAR!$B52,Modules!$C$11:$G$83,3,0)))),0),""),"")</f>
        <v/>
      </c>
      <c r="C52" s="82" t="str">
        <f>IF(NOT(ISBLANK(PAAR!$C52)),IF(PAAR!$C52 &lt;&gt; "",IFERROR(IF(PAAR!$B$10="English",PAAR!$C52,IF(PAAR!$B$10="Français",_xlfn.XLOOKUP(PAAR!$C52,Interventions!$I$11:$I$288,Interventions!$B$11:$B$288,0,0,1),IF(PAAR!$B$10="Español",_xlfn.XLOOKUP(PAAR!$C52,Interventions!$J$11:$J$288,Interventions!$B$11:$B$288,0,0,1)))),0),""),"")</f>
        <v/>
      </c>
      <c r="D52" s="91" t="str">
        <f>IF(PAAR!$D52&lt;&gt;"", PAAR!$D52,"")</f>
        <v/>
      </c>
      <c r="E52" s="90" t="str">
        <f>IF(PAAR!$E52&lt;&gt;"",PAAR!$E52,"")</f>
        <v/>
      </c>
      <c r="F52" s="67"/>
      <c r="G52" s="68"/>
      <c r="H52" s="15"/>
      <c r="I52" s="90" t="str">
        <f>IF(ISBLANK(H52),"",IF(IF(Modules!$D$4="EUR",ROUND($K52*(Modules!$B$5),0),$K52)=0,0,IF(Modules!$D$4="EUR",ROUND($K52*(Modules!$B$5),0),$K52)))</f>
        <v/>
      </c>
      <c r="J52" s="67"/>
      <c r="K52" s="74">
        <f t="shared" si="0"/>
        <v>0</v>
      </c>
    </row>
    <row r="53" spans="1:11" ht="45.5" customHeight="1" x14ac:dyDescent="0.2">
      <c r="A53" s="82" t="str">
        <f>IF(NOT(ISBLANK(PAAR!$A53)),IF(PAAR!$A53 &lt;&gt; "",IFERROR(IF(PAAR!$B$10="English",PAAR!$A53,IF(PAAR!$B$10="Français",VLOOKUP(PAAR!$A53,For_EN[],3,0),IF(PAAR!$B$10="Español",VLOOKUP(PAAR!$A53,For_EN[[Español]:[English]],2,0)))),0),""),"")</f>
        <v/>
      </c>
      <c r="B53" s="82" t="str">
        <f>IF(NOT(ISBLANK(PAAR!$B53)),IF(PAAR!$B53 &lt;&gt; "",IFERROR(IF(PAAR!$B$10="English",PAAR!$B53,IF(PAAR!$B$10="Français",VLOOKUP(PAAR!$B53,Modules!$C$11:$G$83,3,0),IF(PAAR!$B$10="Español",VLOOKUP(PAAR!$B53,Modules!$C$11:$G$83,3,0)))),0),""),"")</f>
        <v/>
      </c>
      <c r="C53" s="82" t="str">
        <f>IF(NOT(ISBLANK(PAAR!$C53)),IF(PAAR!$C53 &lt;&gt; "",IFERROR(IF(PAAR!$B$10="English",PAAR!$C53,IF(PAAR!$B$10="Français",_xlfn.XLOOKUP(PAAR!$C53,Interventions!$I$11:$I$288,Interventions!$B$11:$B$288,0,0,1),IF(PAAR!$B$10="Español",_xlfn.XLOOKUP(PAAR!$C53,Interventions!$J$11:$J$288,Interventions!$B$11:$B$288,0,0,1)))),0),""),"")</f>
        <v/>
      </c>
      <c r="D53" s="91" t="str">
        <f>IF(PAAR!$D53&lt;&gt;"", PAAR!$D53,"")</f>
        <v/>
      </c>
      <c r="E53" s="90" t="str">
        <f>IF(PAAR!$E53&lt;&gt;"",PAAR!$E53,"")</f>
        <v/>
      </c>
      <c r="F53" s="67"/>
      <c r="G53" s="68"/>
      <c r="H53" s="15"/>
      <c r="I53" s="90" t="str">
        <f>IF(ISBLANK(H53),"",IF(IF(Modules!$D$4="EUR",ROUND($K53*(Modules!$B$5),0),$K53)=0,0,IF(Modules!$D$4="EUR",ROUND($K53*(Modules!$B$5),0),$K53)))</f>
        <v/>
      </c>
      <c r="J53" s="67"/>
      <c r="K53" s="74">
        <f t="shared" si="0"/>
        <v>0</v>
      </c>
    </row>
    <row r="54" spans="1:11" ht="45.5" customHeight="1" x14ac:dyDescent="0.2">
      <c r="A54" s="82" t="str">
        <f>IF(NOT(ISBLANK(PAAR!$A54)),IF(PAAR!$A54 &lt;&gt; "",IFERROR(IF(PAAR!$B$10="English",PAAR!$A54,IF(PAAR!$B$10="Français",VLOOKUP(PAAR!$A54,For_EN[],3,0),IF(PAAR!$B$10="Español",VLOOKUP(PAAR!$A54,For_EN[[Español]:[English]],2,0)))),0),""),"")</f>
        <v/>
      </c>
      <c r="B54" s="82" t="str">
        <f>IF(NOT(ISBLANK(PAAR!$B54)),IF(PAAR!$B54 &lt;&gt; "",IFERROR(IF(PAAR!$B$10="English",PAAR!$B54,IF(PAAR!$B$10="Français",VLOOKUP(PAAR!$B54,Modules!$C$11:$G$83,3,0),IF(PAAR!$B$10="Español",VLOOKUP(PAAR!$B54,Modules!$C$11:$G$83,3,0)))),0),""),"")</f>
        <v/>
      </c>
      <c r="C54" s="82" t="str">
        <f>IF(NOT(ISBLANK(PAAR!$C54)),IF(PAAR!$C54 &lt;&gt; "",IFERROR(IF(PAAR!$B$10="English",PAAR!$C54,IF(PAAR!$B$10="Français",_xlfn.XLOOKUP(PAAR!$C54,Interventions!$I$11:$I$288,Interventions!$B$11:$B$288,0,0,1),IF(PAAR!$B$10="Español",_xlfn.XLOOKUP(PAAR!$C54,Interventions!$J$11:$J$288,Interventions!$B$11:$B$288,0,0,1)))),0),""),"")</f>
        <v/>
      </c>
      <c r="D54" s="91" t="str">
        <f>IF(PAAR!$D54&lt;&gt;"", PAAR!$D54,"")</f>
        <v/>
      </c>
      <c r="E54" s="90" t="str">
        <f>IF(PAAR!$E54&lt;&gt;"",PAAR!$E54,"")</f>
        <v/>
      </c>
      <c r="F54" s="67"/>
      <c r="G54" s="68"/>
      <c r="H54" s="15"/>
      <c r="I54" s="90" t="str">
        <f>IF(ISBLANK(H54),"",IF(IF(Modules!$D$4="EUR",ROUND($K54*(Modules!$B$5),0),$K54)=0,0,IF(Modules!$D$4="EUR",ROUND($K54*(Modules!$B$5),0),$K54)))</f>
        <v/>
      </c>
      <c r="J54" s="67"/>
      <c r="K54" s="74">
        <f t="shared" si="0"/>
        <v>0</v>
      </c>
    </row>
    <row r="55" spans="1:11" ht="45.5" customHeight="1" x14ac:dyDescent="0.2">
      <c r="A55" s="82" t="str">
        <f>IF(NOT(ISBLANK(PAAR!$A55)),IF(PAAR!$A55 &lt;&gt; "",IFERROR(IF(PAAR!$B$10="English",PAAR!$A55,IF(PAAR!$B$10="Français",VLOOKUP(PAAR!$A55,For_EN[],3,0),IF(PAAR!$B$10="Español",VLOOKUP(PAAR!$A55,For_EN[[Español]:[English]],2,0)))),0),""),"")</f>
        <v/>
      </c>
      <c r="B55" s="82" t="str">
        <f>IF(NOT(ISBLANK(PAAR!$B55)),IF(PAAR!$B55 &lt;&gt; "",IFERROR(IF(PAAR!$B$10="English",PAAR!$B55,IF(PAAR!$B$10="Français",VLOOKUP(PAAR!$B55,Modules!$C$11:$G$83,3,0),IF(PAAR!$B$10="Español",VLOOKUP(PAAR!$B55,Modules!$C$11:$G$83,3,0)))),0),""),"")</f>
        <v/>
      </c>
      <c r="C55" s="82" t="str">
        <f>IF(NOT(ISBLANK(PAAR!$C55)),IF(PAAR!$C55 &lt;&gt; "",IFERROR(IF(PAAR!$B$10="English",PAAR!$C55,IF(PAAR!$B$10="Français",_xlfn.XLOOKUP(PAAR!$C55,Interventions!$I$11:$I$288,Interventions!$B$11:$B$288,0,0,1),IF(PAAR!$B$10="Español",_xlfn.XLOOKUP(PAAR!$C55,Interventions!$J$11:$J$288,Interventions!$B$11:$B$288,0,0,1)))),0),""),"")</f>
        <v/>
      </c>
      <c r="D55" s="91" t="str">
        <f>IF(PAAR!$D55&lt;&gt;"", PAAR!$D55,"")</f>
        <v/>
      </c>
      <c r="E55" s="90" t="str">
        <f>IF(PAAR!$E55&lt;&gt;"",PAAR!$E55,"")</f>
        <v/>
      </c>
      <c r="F55" s="67"/>
      <c r="G55" s="68"/>
      <c r="H55" s="15"/>
      <c r="I55" s="90" t="str">
        <f>IF(ISBLANK(H55),"",IF(IF(Modules!$D$4="EUR",ROUND($K55*(Modules!$B$5),0),$K55)=0,0,IF(Modules!$D$4="EUR",ROUND($K55*(Modules!$B$5),0),$K55)))</f>
        <v/>
      </c>
      <c r="J55" s="67"/>
      <c r="K55" s="74">
        <f t="shared" si="0"/>
        <v>0</v>
      </c>
    </row>
    <row r="56" spans="1:11" ht="45.5" customHeight="1" x14ac:dyDescent="0.2">
      <c r="A56" s="82" t="str">
        <f>IF(NOT(ISBLANK(PAAR!$A56)),IF(PAAR!$A56 &lt;&gt; "",IFERROR(IF(PAAR!$B$10="English",PAAR!$A56,IF(PAAR!$B$10="Français",VLOOKUP(PAAR!$A56,For_EN[],3,0),IF(PAAR!$B$10="Español",VLOOKUP(PAAR!$A56,For_EN[[Español]:[English]],2,0)))),0),""),"")</f>
        <v/>
      </c>
      <c r="B56" s="82" t="str">
        <f>IF(NOT(ISBLANK(PAAR!$B56)),IF(PAAR!$B56 &lt;&gt; "",IFERROR(IF(PAAR!$B$10="English",PAAR!$B56,IF(PAAR!$B$10="Français",VLOOKUP(PAAR!$B56,Modules!$C$11:$G$83,3,0),IF(PAAR!$B$10="Español",VLOOKUP(PAAR!$B56,Modules!$C$11:$G$83,3,0)))),0),""),"")</f>
        <v/>
      </c>
      <c r="C56" s="82" t="str">
        <f>IF(NOT(ISBLANK(PAAR!$C56)),IF(PAAR!$C56 &lt;&gt; "",IFERROR(IF(PAAR!$B$10="English",PAAR!$C56,IF(PAAR!$B$10="Français",_xlfn.XLOOKUP(PAAR!$C56,Interventions!$I$11:$I$288,Interventions!$B$11:$B$288,0,0,1),IF(PAAR!$B$10="Español",_xlfn.XLOOKUP(PAAR!$C56,Interventions!$J$11:$J$288,Interventions!$B$11:$B$288,0,0,1)))),0),""),"")</f>
        <v/>
      </c>
      <c r="D56" s="91" t="str">
        <f>IF(PAAR!$D56&lt;&gt;"", PAAR!$D56,"")</f>
        <v/>
      </c>
      <c r="E56" s="90" t="str">
        <f>IF(PAAR!$E56&lt;&gt;"",PAAR!$E56,"")</f>
        <v/>
      </c>
      <c r="F56" s="67"/>
      <c r="G56" s="68"/>
      <c r="H56" s="15"/>
      <c r="I56" s="90" t="str">
        <f>IF(ISBLANK(H56),"",IF(IF(Modules!$D$4="EUR",ROUND($K56*(Modules!$B$5),0),$K56)=0,0,IF(Modules!$D$4="EUR",ROUND($K56*(Modules!$B$5),0),$K56)))</f>
        <v/>
      </c>
      <c r="J56" s="67"/>
      <c r="K56" s="74">
        <f t="shared" si="0"/>
        <v>0</v>
      </c>
    </row>
    <row r="57" spans="1:11" ht="45.5" customHeight="1" x14ac:dyDescent="0.2">
      <c r="A57" s="82" t="str">
        <f>IF(NOT(ISBLANK(PAAR!$A57)),IF(PAAR!$A57 &lt;&gt; "",IFERROR(IF(PAAR!$B$10="English",PAAR!$A57,IF(PAAR!$B$10="Français",VLOOKUP(PAAR!$A57,For_EN[],3,0),IF(PAAR!$B$10="Español",VLOOKUP(PAAR!$A57,For_EN[[Español]:[English]],2,0)))),0),""),"")</f>
        <v/>
      </c>
      <c r="B57" s="82" t="str">
        <f>IF(NOT(ISBLANK(PAAR!$B57)),IF(PAAR!$B57 &lt;&gt; "",IFERROR(IF(PAAR!$B$10="English",PAAR!$B57,IF(PAAR!$B$10="Français",VLOOKUP(PAAR!$B57,Modules!$C$11:$G$83,3,0),IF(PAAR!$B$10="Español",VLOOKUP(PAAR!$B57,Modules!$C$11:$G$83,3,0)))),0),""),"")</f>
        <v/>
      </c>
      <c r="C57" s="82" t="str">
        <f>IF(NOT(ISBLANK(PAAR!$C57)),IF(PAAR!$C57 &lt;&gt; "",IFERROR(IF(PAAR!$B$10="English",PAAR!$C57,IF(PAAR!$B$10="Français",_xlfn.XLOOKUP(PAAR!$C57,Interventions!$I$11:$I$288,Interventions!$B$11:$B$288,0,0,1),IF(PAAR!$B$10="Español",_xlfn.XLOOKUP(PAAR!$C57,Interventions!$J$11:$J$288,Interventions!$B$11:$B$288,0,0,1)))),0),""),"")</f>
        <v/>
      </c>
      <c r="D57" s="91" t="str">
        <f>IF(PAAR!$D57&lt;&gt;"", PAAR!$D57,"")</f>
        <v/>
      </c>
      <c r="E57" s="90" t="str">
        <f>IF(PAAR!$E57&lt;&gt;"",PAAR!$E57,"")</f>
        <v/>
      </c>
      <c r="F57" s="67"/>
      <c r="G57" s="68"/>
      <c r="H57" s="15"/>
      <c r="I57" s="90" t="str">
        <f>IF(ISBLANK(H57),"",IF(IF(Modules!$D$4="EUR",ROUND($K57*(Modules!$B$5),0),$K57)=0,0,IF(Modules!$D$4="EUR",ROUND($K57*(Modules!$B$5),0),$K57)))</f>
        <v/>
      </c>
      <c r="J57" s="67"/>
      <c r="K57" s="74">
        <f t="shared" si="0"/>
        <v>0</v>
      </c>
    </row>
    <row r="58" spans="1:11" ht="45.5" customHeight="1" x14ac:dyDescent="0.2">
      <c r="A58" s="82" t="str">
        <f>IF(NOT(ISBLANK(PAAR!$A58)),IF(PAAR!$A58 &lt;&gt; "",IFERROR(IF(PAAR!$B$10="English",PAAR!$A58,IF(PAAR!$B$10="Français",VLOOKUP(PAAR!$A58,For_EN[],3,0),IF(PAAR!$B$10="Español",VLOOKUP(PAAR!$A58,For_EN[[Español]:[English]],2,0)))),0),""),"")</f>
        <v/>
      </c>
      <c r="B58" s="82" t="str">
        <f>IF(NOT(ISBLANK(PAAR!$B58)),IF(PAAR!$B58 &lt;&gt; "",IFERROR(IF(PAAR!$B$10="English",PAAR!$B58,IF(PAAR!$B$10="Français",VLOOKUP(PAAR!$B58,Modules!$C$11:$G$83,3,0),IF(PAAR!$B$10="Español",VLOOKUP(PAAR!$B58,Modules!$C$11:$G$83,3,0)))),0),""),"")</f>
        <v/>
      </c>
      <c r="C58" s="82" t="str">
        <f>IF(NOT(ISBLANK(PAAR!$C58)),IF(PAAR!$C58 &lt;&gt; "",IFERROR(IF(PAAR!$B$10="English",PAAR!$C58,IF(PAAR!$B$10="Français",_xlfn.XLOOKUP(PAAR!$C58,Interventions!$I$11:$I$288,Interventions!$B$11:$B$288,0,0,1),IF(PAAR!$B$10="Español",_xlfn.XLOOKUP(PAAR!$C58,Interventions!$J$11:$J$288,Interventions!$B$11:$B$288,0,0,1)))),0),""),"")</f>
        <v/>
      </c>
      <c r="D58" s="91" t="str">
        <f>IF(PAAR!$D58&lt;&gt;"", PAAR!$D58,"")</f>
        <v/>
      </c>
      <c r="E58" s="90" t="str">
        <f>IF(PAAR!$E58&lt;&gt;"",PAAR!$E58,"")</f>
        <v/>
      </c>
      <c r="F58" s="67"/>
      <c r="G58" s="68"/>
      <c r="H58" s="15"/>
      <c r="I58" s="90" t="str">
        <f>IF(ISBLANK(H58),"",IF(IF(Modules!$D$4="EUR",ROUND($K58*(Modules!$B$5),0),$K58)=0,0,IF(Modules!$D$4="EUR",ROUND($K58*(Modules!$B$5),0),$K58)))</f>
        <v/>
      </c>
      <c r="J58" s="67"/>
      <c r="K58" s="74">
        <f t="shared" si="0"/>
        <v>0</v>
      </c>
    </row>
    <row r="59" spans="1:11" ht="45.5" customHeight="1" x14ac:dyDescent="0.2">
      <c r="A59" s="82" t="str">
        <f>IF(NOT(ISBLANK(PAAR!$A59)),IF(PAAR!$A59 &lt;&gt; "",IFERROR(IF(PAAR!$B$10="English",PAAR!$A59,IF(PAAR!$B$10="Français",VLOOKUP(PAAR!$A59,For_EN[],3,0),IF(PAAR!$B$10="Español",VLOOKUP(PAAR!$A59,For_EN[[Español]:[English]],2,0)))),0),""),"")</f>
        <v/>
      </c>
      <c r="B59" s="82" t="str">
        <f>IF(NOT(ISBLANK(PAAR!$B59)),IF(PAAR!$B59 &lt;&gt; "",IFERROR(IF(PAAR!$B$10="English",PAAR!$B59,IF(PAAR!$B$10="Français",VLOOKUP(PAAR!$B59,Modules!$C$11:$G$83,3,0),IF(PAAR!$B$10="Español",VLOOKUP(PAAR!$B59,Modules!$C$11:$G$83,3,0)))),0),""),"")</f>
        <v/>
      </c>
      <c r="C59" s="82" t="str">
        <f>IF(NOT(ISBLANK(PAAR!$C59)),IF(PAAR!$C59 &lt;&gt; "",IFERROR(IF(PAAR!$B$10="English",PAAR!$C59,IF(PAAR!$B$10="Français",_xlfn.XLOOKUP(PAAR!$C59,Interventions!$I$11:$I$288,Interventions!$B$11:$B$288,0,0,1),IF(PAAR!$B$10="Español",_xlfn.XLOOKUP(PAAR!$C59,Interventions!$J$11:$J$288,Interventions!$B$11:$B$288,0,0,1)))),0),""),"")</f>
        <v/>
      </c>
      <c r="D59" s="91" t="str">
        <f>IF(PAAR!$D59&lt;&gt;"", PAAR!$D59,"")</f>
        <v/>
      </c>
      <c r="E59" s="90" t="str">
        <f>IF(PAAR!$E59&lt;&gt;"",PAAR!$E59,"")</f>
        <v/>
      </c>
      <c r="F59" s="67"/>
      <c r="G59" s="68"/>
      <c r="H59" s="15"/>
      <c r="I59" s="90" t="str">
        <f>IF(ISBLANK(H59),"",IF(IF(Modules!$D$4="EUR",ROUND($K59*(Modules!$B$5),0),$K59)=0,0,IF(Modules!$D$4="EUR",ROUND($K59*(Modules!$B$5),0),$K59)))</f>
        <v/>
      </c>
      <c r="J59" s="67"/>
      <c r="K59" s="74">
        <f t="shared" si="0"/>
        <v>0</v>
      </c>
    </row>
    <row r="60" spans="1:11" ht="45.5" customHeight="1" x14ac:dyDescent="0.2">
      <c r="A60" s="82" t="str">
        <f>IF(NOT(ISBLANK(PAAR!$A60)),IF(PAAR!$A60 &lt;&gt; "",IFERROR(IF(PAAR!$B$10="English",PAAR!$A60,IF(PAAR!$B$10="Français",VLOOKUP(PAAR!$A60,For_EN[],3,0),IF(PAAR!$B$10="Español",VLOOKUP(PAAR!$A60,For_EN[[Español]:[English]],2,0)))),0),""),"")</f>
        <v/>
      </c>
      <c r="B60" s="82" t="str">
        <f>IF(NOT(ISBLANK(PAAR!$B60)),IF(PAAR!$B60 &lt;&gt; "",IFERROR(IF(PAAR!$B$10="English",PAAR!$B60,IF(PAAR!$B$10="Français",VLOOKUP(PAAR!$B60,Modules!$C$11:$G$83,3,0),IF(PAAR!$B$10="Español",VLOOKUP(PAAR!$B60,Modules!$C$11:$G$83,3,0)))),0),""),"")</f>
        <v/>
      </c>
      <c r="C60" s="82" t="str">
        <f>IF(NOT(ISBLANK(PAAR!$C60)),IF(PAAR!$C60 &lt;&gt; "",IFERROR(IF(PAAR!$B$10="English",PAAR!$C60,IF(PAAR!$B$10="Français",_xlfn.XLOOKUP(PAAR!$C60,Interventions!$I$11:$I$288,Interventions!$B$11:$B$288,0,0,1),IF(PAAR!$B$10="Español",_xlfn.XLOOKUP(PAAR!$C60,Interventions!$J$11:$J$288,Interventions!$B$11:$B$288,0,0,1)))),0),""),"")</f>
        <v/>
      </c>
      <c r="D60" s="91" t="str">
        <f>IF(PAAR!$D60&lt;&gt;"", PAAR!$D60,"")</f>
        <v/>
      </c>
      <c r="E60" s="90" t="str">
        <f>IF(PAAR!$E60&lt;&gt;"",PAAR!$E60,"")</f>
        <v/>
      </c>
      <c r="F60" s="67"/>
      <c r="G60" s="68"/>
      <c r="H60" s="15"/>
      <c r="I60" s="90" t="str">
        <f>IF(ISBLANK(H60),"",IF(IF(Modules!$D$4="EUR",ROUND($K60*(Modules!$B$5),0),$K60)=0,0,IF(Modules!$D$4="EUR",ROUND($K60*(Modules!$B$5),0),$K60)))</f>
        <v/>
      </c>
      <c r="J60" s="67"/>
      <c r="K60" s="74">
        <f t="shared" si="0"/>
        <v>0</v>
      </c>
    </row>
    <row r="61" spans="1:11" ht="45.5" customHeight="1" x14ac:dyDescent="0.2">
      <c r="A61" s="82" t="str">
        <f>IF(NOT(ISBLANK(PAAR!$A61)),IF(PAAR!$A61 &lt;&gt; "",IFERROR(IF(PAAR!$B$10="English",PAAR!$A61,IF(PAAR!$B$10="Français",VLOOKUP(PAAR!$A61,For_EN[],3,0),IF(PAAR!$B$10="Español",VLOOKUP(PAAR!$A61,For_EN[[Español]:[English]],2,0)))),0),""),"")</f>
        <v/>
      </c>
      <c r="B61" s="82" t="str">
        <f>IF(NOT(ISBLANK(PAAR!$B61)),IF(PAAR!$B61 &lt;&gt; "",IFERROR(IF(PAAR!$B$10="English",PAAR!$B61,IF(PAAR!$B$10="Français",VLOOKUP(PAAR!$B61,Modules!$C$11:$G$83,3,0),IF(PAAR!$B$10="Español",VLOOKUP(PAAR!$B61,Modules!$C$11:$G$83,3,0)))),0),""),"")</f>
        <v/>
      </c>
      <c r="C61" s="82" t="str">
        <f>IF(NOT(ISBLANK(PAAR!$C61)),IF(PAAR!$C61 &lt;&gt; "",IFERROR(IF(PAAR!$B$10="English",PAAR!$C61,IF(PAAR!$B$10="Français",_xlfn.XLOOKUP(PAAR!$C61,Interventions!$I$11:$I$288,Interventions!$B$11:$B$288,0,0,1),IF(PAAR!$B$10="Español",_xlfn.XLOOKUP(PAAR!$C61,Interventions!$J$11:$J$288,Interventions!$B$11:$B$288,0,0,1)))),0),""),"")</f>
        <v/>
      </c>
      <c r="D61" s="91" t="str">
        <f>IF(PAAR!$D61&lt;&gt;"", PAAR!$D61,"")</f>
        <v/>
      </c>
      <c r="E61" s="90" t="str">
        <f>IF(PAAR!$E61&lt;&gt;"",PAAR!$E61,"")</f>
        <v/>
      </c>
      <c r="F61" s="67"/>
      <c r="G61" s="68"/>
      <c r="H61" s="15"/>
      <c r="I61" s="90" t="str">
        <f>IF(ISBLANK(H61),"",IF(IF(Modules!$D$4="EUR",ROUND($K61*(Modules!$B$5),0),$K61)=0,0,IF(Modules!$D$4="EUR",ROUND($K61*(Modules!$B$5),0),$K61)))</f>
        <v/>
      </c>
      <c r="J61" s="67"/>
      <c r="K61" s="74">
        <f t="shared" si="0"/>
        <v>0</v>
      </c>
    </row>
    <row r="62" spans="1:11" ht="45.5" customHeight="1" x14ac:dyDescent="0.2">
      <c r="A62" s="82" t="str">
        <f>IF(NOT(ISBLANK(PAAR!$A62)),IF(PAAR!$A62 &lt;&gt; "",IFERROR(IF(PAAR!$B$10="English",PAAR!$A62,IF(PAAR!$B$10="Français",VLOOKUP(PAAR!$A62,For_EN[],3,0),IF(PAAR!$B$10="Español",VLOOKUP(PAAR!$A62,For_EN[[Español]:[English]],2,0)))),0),""),"")</f>
        <v/>
      </c>
      <c r="B62" s="82" t="str">
        <f>IF(NOT(ISBLANK(PAAR!$B62)),IF(PAAR!$B62 &lt;&gt; "",IFERROR(IF(PAAR!$B$10="English",PAAR!$B62,IF(PAAR!$B$10="Français",VLOOKUP(PAAR!$B62,Modules!$C$11:$G$83,3,0),IF(PAAR!$B$10="Español",VLOOKUP(PAAR!$B62,Modules!$C$11:$G$83,3,0)))),0),""),"")</f>
        <v/>
      </c>
      <c r="C62" s="82" t="str">
        <f>IF(NOT(ISBLANK(PAAR!$C62)),IF(PAAR!$C62 &lt;&gt; "",IFERROR(IF(PAAR!$B$10="English",PAAR!$C62,IF(PAAR!$B$10="Français",_xlfn.XLOOKUP(PAAR!$C62,Interventions!$I$11:$I$288,Interventions!$B$11:$B$288,0,0,1),IF(PAAR!$B$10="Español",_xlfn.XLOOKUP(PAAR!$C62,Interventions!$J$11:$J$288,Interventions!$B$11:$B$288,0,0,1)))),0),""),"")</f>
        <v/>
      </c>
      <c r="D62" s="91" t="str">
        <f>IF(PAAR!$D62&lt;&gt;"", PAAR!$D62,"")</f>
        <v/>
      </c>
      <c r="E62" s="90" t="str">
        <f>IF(PAAR!$E62&lt;&gt;"",PAAR!$E62,"")</f>
        <v/>
      </c>
      <c r="F62" s="67"/>
      <c r="G62" s="68"/>
      <c r="H62" s="15"/>
      <c r="I62" s="90" t="str">
        <f>IF(ISBLANK(H62),"",IF(IF(Modules!$D$4="EUR",ROUND($K62*(Modules!$B$5),0),$K62)=0,0,IF(Modules!$D$4="EUR",ROUND($K62*(Modules!$B$5),0),$K62)))</f>
        <v/>
      </c>
      <c r="J62" s="67"/>
      <c r="K62" s="74">
        <f t="shared" si="0"/>
        <v>0</v>
      </c>
    </row>
    <row r="63" spans="1:11" ht="45.5" customHeight="1" x14ac:dyDescent="0.2">
      <c r="A63" s="82" t="str">
        <f>IF(NOT(ISBLANK(PAAR!$A63)),IF(PAAR!$A63 &lt;&gt; "",IFERROR(IF(PAAR!$B$10="English",PAAR!$A63,IF(PAAR!$B$10="Français",VLOOKUP(PAAR!$A63,For_EN[],3,0),IF(PAAR!$B$10="Español",VLOOKUP(PAAR!$A63,For_EN[[Español]:[English]],2,0)))),0),""),"")</f>
        <v/>
      </c>
      <c r="B63" s="82" t="str">
        <f>IF(NOT(ISBLANK(PAAR!$B63)),IF(PAAR!$B63 &lt;&gt; "",IFERROR(IF(PAAR!$B$10="English",PAAR!$B63,IF(PAAR!$B$10="Français",VLOOKUP(PAAR!$B63,Modules!$C$11:$G$83,3,0),IF(PAAR!$B$10="Español",VLOOKUP(PAAR!$B63,Modules!$C$11:$G$83,3,0)))),0),""),"")</f>
        <v/>
      </c>
      <c r="C63" s="82" t="str">
        <f>IF(NOT(ISBLANK(PAAR!$C63)),IF(PAAR!$C63 &lt;&gt; "",IFERROR(IF(PAAR!$B$10="English",PAAR!$C63,IF(PAAR!$B$10="Français",_xlfn.XLOOKUP(PAAR!$C63,Interventions!$I$11:$I$288,Interventions!$B$11:$B$288,0,0,1),IF(PAAR!$B$10="Español",_xlfn.XLOOKUP(PAAR!$C63,Interventions!$J$11:$J$288,Interventions!$B$11:$B$288,0,0,1)))),0),""),"")</f>
        <v/>
      </c>
      <c r="D63" s="91" t="str">
        <f>IF(PAAR!$D63&lt;&gt;"", PAAR!$D63,"")</f>
        <v/>
      </c>
      <c r="E63" s="90" t="str">
        <f>IF(PAAR!$E63&lt;&gt;"",PAAR!$E63,"")</f>
        <v/>
      </c>
      <c r="F63" s="67"/>
      <c r="G63" s="68"/>
      <c r="H63" s="15"/>
      <c r="I63" s="90" t="str">
        <f>IF(ISBLANK(H63),"",IF(IF(Modules!$D$4="EUR",ROUND($K63*(Modules!$B$5),0),$K63)=0,0,IF(Modules!$D$4="EUR",ROUND($K63*(Modules!$B$5),0),$K63)))</f>
        <v/>
      </c>
      <c r="J63" s="67"/>
      <c r="K63" s="74">
        <f t="shared" si="0"/>
        <v>0</v>
      </c>
    </row>
    <row r="64" spans="1:11" ht="45.5" customHeight="1" x14ac:dyDescent="0.2">
      <c r="A64" s="82" t="str">
        <f>IF(NOT(ISBLANK(PAAR!$A64)),IF(PAAR!$A64 &lt;&gt; "",IFERROR(IF(PAAR!$B$10="English",PAAR!$A64,IF(PAAR!$B$10="Français",VLOOKUP(PAAR!$A64,For_EN[],3,0),IF(PAAR!$B$10="Español",VLOOKUP(PAAR!$A64,For_EN[[Español]:[English]],2,0)))),0),""),"")</f>
        <v/>
      </c>
      <c r="B64" s="82" t="str">
        <f>IF(NOT(ISBLANK(PAAR!$B64)),IF(PAAR!$B64 &lt;&gt; "",IFERROR(IF(PAAR!$B$10="English",PAAR!$B64,IF(PAAR!$B$10="Français",VLOOKUP(PAAR!$B64,Modules!$C$11:$G$83,3,0),IF(PAAR!$B$10="Español",VLOOKUP(PAAR!$B64,Modules!$C$11:$G$83,3,0)))),0),""),"")</f>
        <v/>
      </c>
      <c r="C64" s="82" t="str">
        <f>IF(NOT(ISBLANK(PAAR!$C64)),IF(PAAR!$C64 &lt;&gt; "",IFERROR(IF(PAAR!$B$10="English",PAAR!$C64,IF(PAAR!$B$10="Français",_xlfn.XLOOKUP(PAAR!$C64,Interventions!$I$11:$I$288,Interventions!$B$11:$B$288,0,0,1),IF(PAAR!$B$10="Español",_xlfn.XLOOKUP(PAAR!$C64,Interventions!$J$11:$J$288,Interventions!$B$11:$B$288,0,0,1)))),0),""),"")</f>
        <v/>
      </c>
      <c r="D64" s="91" t="str">
        <f>IF(PAAR!$D64&lt;&gt;"", PAAR!$D64,"")</f>
        <v/>
      </c>
      <c r="E64" s="90" t="str">
        <f>IF(PAAR!$E64&lt;&gt;"",PAAR!$E64,"")</f>
        <v/>
      </c>
      <c r="F64" s="67"/>
      <c r="G64" s="68"/>
      <c r="H64" s="15"/>
      <c r="I64" s="90" t="str">
        <f>IF(ISBLANK(H64),"",IF(IF(Modules!$D$4="EUR",ROUND($K64*(Modules!$B$5),0),$K64)=0,0,IF(Modules!$D$4="EUR",ROUND($K64*(Modules!$B$5),0),$K64)))</f>
        <v/>
      </c>
      <c r="J64" s="67"/>
      <c r="K64" s="74">
        <f t="shared" si="0"/>
        <v>0</v>
      </c>
    </row>
    <row r="65" spans="1:11" ht="45.5" customHeight="1" x14ac:dyDescent="0.2">
      <c r="A65" s="82" t="str">
        <f>IF(NOT(ISBLANK(PAAR!$A65)),IF(PAAR!$A65 &lt;&gt; "",IFERROR(IF(PAAR!$B$10="English",PAAR!$A65,IF(PAAR!$B$10="Français",VLOOKUP(PAAR!$A65,For_EN[],3,0),IF(PAAR!$B$10="Español",VLOOKUP(PAAR!$A65,For_EN[[Español]:[English]],2,0)))),0),""),"")</f>
        <v/>
      </c>
      <c r="B65" s="82" t="str">
        <f>IF(NOT(ISBLANK(PAAR!$B65)),IF(PAAR!$B65 &lt;&gt; "",IFERROR(IF(PAAR!$B$10="English",PAAR!$B65,IF(PAAR!$B$10="Français",VLOOKUP(PAAR!$B65,Modules!$C$11:$G$83,3,0),IF(PAAR!$B$10="Español",VLOOKUP(PAAR!$B65,Modules!$C$11:$G$83,3,0)))),0),""),"")</f>
        <v/>
      </c>
      <c r="C65" s="82" t="str">
        <f>IF(NOT(ISBLANK(PAAR!$C65)),IF(PAAR!$C65 &lt;&gt; "",IFERROR(IF(PAAR!$B$10="English",PAAR!$C65,IF(PAAR!$B$10="Français",_xlfn.XLOOKUP(PAAR!$C65,Interventions!$I$11:$I$288,Interventions!$B$11:$B$288,0,0,1),IF(PAAR!$B$10="Español",_xlfn.XLOOKUP(PAAR!$C65,Interventions!$J$11:$J$288,Interventions!$B$11:$B$288,0,0,1)))),0),""),"")</f>
        <v/>
      </c>
      <c r="D65" s="91" t="str">
        <f>IF(PAAR!$D65&lt;&gt;"", PAAR!$D65,"")</f>
        <v/>
      </c>
      <c r="E65" s="90" t="str">
        <f>IF(PAAR!$E65&lt;&gt;"",PAAR!$E65,"")</f>
        <v/>
      </c>
      <c r="F65" s="67"/>
      <c r="G65" s="68"/>
      <c r="H65" s="15"/>
      <c r="I65" s="90" t="str">
        <f>IF(ISBLANK(H65),"",IF(IF(Modules!$D$4="EUR",ROUND($K65*(Modules!$B$5),0),$K65)=0,0,IF(Modules!$D$4="EUR",ROUND($K65*(Modules!$B$5),0),$K65)))</f>
        <v/>
      </c>
      <c r="J65" s="67"/>
      <c r="K65" s="74">
        <f t="shared" si="0"/>
        <v>0</v>
      </c>
    </row>
    <row r="66" spans="1:11" ht="45.5" customHeight="1" x14ac:dyDescent="0.2">
      <c r="A66" s="82" t="str">
        <f>IF(NOT(ISBLANK(PAAR!$A66)),IF(PAAR!$A66 &lt;&gt; "",IFERROR(IF(PAAR!$B$10="English",PAAR!$A66,IF(PAAR!$B$10="Français",VLOOKUP(PAAR!$A66,For_EN[],3,0),IF(PAAR!$B$10="Español",VLOOKUP(PAAR!$A66,For_EN[[Español]:[English]],2,0)))),0),""),"")</f>
        <v/>
      </c>
      <c r="B66" s="82" t="str">
        <f>IF(NOT(ISBLANK(PAAR!$B66)),IF(PAAR!$B66 &lt;&gt; "",IFERROR(IF(PAAR!$B$10="English",PAAR!$B66,IF(PAAR!$B$10="Français",VLOOKUP(PAAR!$B66,Modules!$C$11:$G$83,3,0),IF(PAAR!$B$10="Español",VLOOKUP(PAAR!$B66,Modules!$C$11:$G$83,3,0)))),0),""),"")</f>
        <v/>
      </c>
      <c r="C66" s="82" t="str">
        <f>IF(NOT(ISBLANK(PAAR!$C66)),IF(PAAR!$C66 &lt;&gt; "",IFERROR(IF(PAAR!$B$10="English",PAAR!$C66,IF(PAAR!$B$10="Français",_xlfn.XLOOKUP(PAAR!$C66,Interventions!$I$11:$I$288,Interventions!$B$11:$B$288,0,0,1),IF(PAAR!$B$10="Español",_xlfn.XLOOKUP(PAAR!$C66,Interventions!$J$11:$J$288,Interventions!$B$11:$B$288,0,0,1)))),0),""),"")</f>
        <v/>
      </c>
      <c r="D66" s="91" t="str">
        <f>IF(PAAR!$D66&lt;&gt;"", PAAR!$D66,"")</f>
        <v/>
      </c>
      <c r="E66" s="90" t="str">
        <f>IF(PAAR!$E66&lt;&gt;"",PAAR!$E66,"")</f>
        <v/>
      </c>
      <c r="F66" s="67"/>
      <c r="G66" s="68"/>
      <c r="H66" s="15"/>
      <c r="I66" s="90" t="str">
        <f>IF(ISBLANK(H66),"",IF(IF(Modules!$D$4="EUR",ROUND($K66*(Modules!$B$5),0),$K66)=0,0,IF(Modules!$D$4="EUR",ROUND($K66*(Modules!$B$5),0),$K66)))</f>
        <v/>
      </c>
      <c r="J66" s="67"/>
      <c r="K66" s="74">
        <f t="shared" si="0"/>
        <v>0</v>
      </c>
    </row>
    <row r="67" spans="1:11" ht="45.5" customHeight="1" x14ac:dyDescent="0.2">
      <c r="A67" s="82" t="str">
        <f>IF(NOT(ISBLANK(PAAR!$A67)),IF(PAAR!$A67 &lt;&gt; "",IFERROR(IF(PAAR!$B$10="English",PAAR!$A67,IF(PAAR!$B$10="Français",VLOOKUP(PAAR!$A67,For_EN[],3,0),IF(PAAR!$B$10="Español",VLOOKUP(PAAR!$A67,For_EN[[Español]:[English]],2,0)))),0),""),"")</f>
        <v/>
      </c>
      <c r="B67" s="82" t="str">
        <f>IF(NOT(ISBLANK(PAAR!$B67)),IF(PAAR!$B67 &lt;&gt; "",IFERROR(IF(PAAR!$B$10="English",PAAR!$B67,IF(PAAR!$B$10="Français",VLOOKUP(PAAR!$B67,Modules!$C$11:$G$83,3,0),IF(PAAR!$B$10="Español",VLOOKUP(PAAR!$B67,Modules!$C$11:$G$83,3,0)))),0),""),"")</f>
        <v/>
      </c>
      <c r="C67" s="82" t="str">
        <f>IF(NOT(ISBLANK(PAAR!$C67)),IF(PAAR!$C67 &lt;&gt; "",IFERROR(IF(PAAR!$B$10="English",PAAR!$C67,IF(PAAR!$B$10="Français",_xlfn.XLOOKUP(PAAR!$C67,Interventions!$I$11:$I$288,Interventions!$B$11:$B$288,0,0,1),IF(PAAR!$B$10="Español",_xlfn.XLOOKUP(PAAR!$C67,Interventions!$J$11:$J$288,Interventions!$B$11:$B$288,0,0,1)))),0),""),"")</f>
        <v/>
      </c>
      <c r="D67" s="91" t="str">
        <f>IF(PAAR!$D67&lt;&gt;"", PAAR!$D67,"")</f>
        <v/>
      </c>
      <c r="E67" s="90" t="str">
        <f>IF(PAAR!$E67&lt;&gt;"",PAAR!$E67,"")</f>
        <v/>
      </c>
      <c r="F67" s="67"/>
      <c r="G67" s="68"/>
      <c r="H67" s="15"/>
      <c r="I67" s="90" t="str">
        <f>IF(ISBLANK(H67),"",IF(IF(Modules!$D$4="EUR",ROUND($K67*(Modules!$B$5),0),$K67)=0,0,IF(Modules!$D$4="EUR",ROUND($K67*(Modules!$B$5),0),$K67)))</f>
        <v/>
      </c>
      <c r="J67" s="67"/>
      <c r="K67" s="74">
        <f t="shared" si="0"/>
        <v>0</v>
      </c>
    </row>
    <row r="68" spans="1:11" ht="45.5" customHeight="1" x14ac:dyDescent="0.2">
      <c r="A68" s="82" t="str">
        <f>IF(NOT(ISBLANK(PAAR!$A68)),IF(PAAR!$A68 &lt;&gt; "",IFERROR(IF(PAAR!$B$10="English",PAAR!$A68,IF(PAAR!$B$10="Français",VLOOKUP(PAAR!$A68,For_EN[],3,0),IF(PAAR!$B$10="Español",VLOOKUP(PAAR!$A68,For_EN[[Español]:[English]],2,0)))),0),""),"")</f>
        <v/>
      </c>
      <c r="B68" s="82" t="str">
        <f>IF(NOT(ISBLANK(PAAR!$B68)),IF(PAAR!$B68 &lt;&gt; "",IFERROR(IF(PAAR!$B$10="English",PAAR!$B68,IF(PAAR!$B$10="Français",VLOOKUP(PAAR!$B68,Modules!$C$11:$G$83,3,0),IF(PAAR!$B$10="Español",VLOOKUP(PAAR!$B68,Modules!$C$11:$G$83,3,0)))),0),""),"")</f>
        <v/>
      </c>
      <c r="C68" s="82" t="str">
        <f>IF(NOT(ISBLANK(PAAR!$C68)),IF(PAAR!$C68 &lt;&gt; "",IFERROR(IF(PAAR!$B$10="English",PAAR!$C68,IF(PAAR!$B$10="Français",_xlfn.XLOOKUP(PAAR!$C68,Interventions!$I$11:$I$288,Interventions!$B$11:$B$288,0,0,1),IF(PAAR!$B$10="Español",_xlfn.XLOOKUP(PAAR!$C68,Interventions!$J$11:$J$288,Interventions!$B$11:$B$288,0,0,1)))),0),""),"")</f>
        <v/>
      </c>
      <c r="D68" s="91" t="str">
        <f>IF(PAAR!$D68&lt;&gt;"", PAAR!$D68,"")</f>
        <v/>
      </c>
      <c r="E68" s="90" t="str">
        <f>IF(PAAR!$E68&lt;&gt;"",PAAR!$E68,"")</f>
        <v/>
      </c>
      <c r="F68" s="67"/>
      <c r="G68" s="68"/>
      <c r="H68" s="15"/>
      <c r="I68" s="90" t="str">
        <f>IF(ISBLANK(H68),"",IF(IF(Modules!$D$4="EUR",ROUND($K68*(Modules!$B$5),0),$K68)=0,0,IF(Modules!$D$4="EUR",ROUND($K68*(Modules!$B$5),0),$K68)))</f>
        <v/>
      </c>
      <c r="J68" s="67"/>
      <c r="K68" s="74">
        <f t="shared" si="0"/>
        <v>0</v>
      </c>
    </row>
    <row r="69" spans="1:11" ht="45.5" customHeight="1" x14ac:dyDescent="0.2">
      <c r="A69" s="82" t="str">
        <f>IF(NOT(ISBLANK(PAAR!$A69)),IF(PAAR!$A69 &lt;&gt; "",IFERROR(IF(PAAR!$B$10="English",PAAR!$A69,IF(PAAR!$B$10="Français",VLOOKUP(PAAR!$A69,For_EN[],3,0),IF(PAAR!$B$10="Español",VLOOKUP(PAAR!$A69,For_EN[[Español]:[English]],2,0)))),0),""),"")</f>
        <v/>
      </c>
      <c r="B69" s="82" t="str">
        <f>IF(NOT(ISBLANK(PAAR!$B69)),IF(PAAR!$B69 &lt;&gt; "",IFERROR(IF(PAAR!$B$10="English",PAAR!$B69,IF(PAAR!$B$10="Français",VLOOKUP(PAAR!$B69,Modules!$C$11:$G$83,3,0),IF(PAAR!$B$10="Español",VLOOKUP(PAAR!$B69,Modules!$C$11:$G$83,3,0)))),0),""),"")</f>
        <v/>
      </c>
      <c r="C69" s="82" t="str">
        <f>IF(NOT(ISBLANK(PAAR!$C69)),IF(PAAR!$C69 &lt;&gt; "",IFERROR(IF(PAAR!$B$10="English",PAAR!$C69,IF(PAAR!$B$10="Français",_xlfn.XLOOKUP(PAAR!$C69,Interventions!$I$11:$I$288,Interventions!$B$11:$B$288,0,0,1),IF(PAAR!$B$10="Español",_xlfn.XLOOKUP(PAAR!$C69,Interventions!$J$11:$J$288,Interventions!$B$11:$B$288,0,0,1)))),0),""),"")</f>
        <v/>
      </c>
      <c r="D69" s="91" t="str">
        <f>IF(PAAR!$D69&lt;&gt;"", PAAR!$D69,"")</f>
        <v/>
      </c>
      <c r="E69" s="90" t="str">
        <f>IF(PAAR!$E69&lt;&gt;"",PAAR!$E69,"")</f>
        <v/>
      </c>
      <c r="F69" s="67"/>
      <c r="G69" s="68"/>
      <c r="H69" s="15"/>
      <c r="I69" s="90" t="str">
        <f>IF(ISBLANK(H69),"",IF(IF(Modules!$D$4="EUR",ROUND($K69*(Modules!$B$5),0),$K69)=0,0,IF(Modules!$D$4="EUR",ROUND($K69*(Modules!$B$5),0),$K69)))</f>
        <v/>
      </c>
      <c r="J69" s="67"/>
      <c r="K69" s="74">
        <f t="shared" si="0"/>
        <v>0</v>
      </c>
    </row>
    <row r="70" spans="1:11" ht="45.5" customHeight="1" x14ac:dyDescent="0.2">
      <c r="A70" s="82" t="str">
        <f>IF(NOT(ISBLANK(PAAR!$A70)),IF(PAAR!$A70 &lt;&gt; "",IFERROR(IF(PAAR!$B$10="English",PAAR!$A70,IF(PAAR!$B$10="Français",VLOOKUP(PAAR!$A70,For_EN[],3,0),IF(PAAR!$B$10="Español",VLOOKUP(PAAR!$A70,For_EN[[Español]:[English]],2,0)))),0),""),"")</f>
        <v/>
      </c>
      <c r="B70" s="82" t="str">
        <f>IF(NOT(ISBLANK(PAAR!$B70)),IF(PAAR!$B70 &lt;&gt; "",IFERROR(IF(PAAR!$B$10="English",PAAR!$B70,IF(PAAR!$B$10="Français",VLOOKUP(PAAR!$B70,Modules!$C$11:$G$83,3,0),IF(PAAR!$B$10="Español",VLOOKUP(PAAR!$B70,Modules!$C$11:$G$83,3,0)))),0),""),"")</f>
        <v/>
      </c>
      <c r="C70" s="82" t="str">
        <f>IF(NOT(ISBLANK(PAAR!$C70)),IF(PAAR!$C70 &lt;&gt; "",IFERROR(IF(PAAR!$B$10="English",PAAR!$C70,IF(PAAR!$B$10="Français",_xlfn.XLOOKUP(PAAR!$C70,Interventions!$I$11:$I$288,Interventions!$B$11:$B$288,0,0,1),IF(PAAR!$B$10="Español",_xlfn.XLOOKUP(PAAR!$C70,Interventions!$J$11:$J$288,Interventions!$B$11:$B$288,0,0,1)))),0),""),"")</f>
        <v/>
      </c>
      <c r="D70" s="91" t="str">
        <f>IF(PAAR!$D70&lt;&gt;"", PAAR!$D70,"")</f>
        <v/>
      </c>
      <c r="E70" s="90" t="str">
        <f>IF(PAAR!$E70&lt;&gt;"",PAAR!$E70,"")</f>
        <v/>
      </c>
      <c r="F70" s="67"/>
      <c r="G70" s="68"/>
      <c r="H70" s="15"/>
      <c r="I70" s="90" t="str">
        <f>IF(ISBLANK(H70),"",IF(IF(Modules!$D$4="EUR",ROUND($K70*(Modules!$B$5),0),$K70)=0,0,IF(Modules!$D$4="EUR",ROUND($K70*(Modules!$B$5),0),$K70)))</f>
        <v/>
      </c>
      <c r="J70" s="67"/>
      <c r="K70" s="74">
        <f t="shared" si="0"/>
        <v>0</v>
      </c>
    </row>
    <row r="71" spans="1:11" ht="45.5" customHeight="1" x14ac:dyDescent="0.2">
      <c r="A71" s="82" t="str">
        <f>IF(NOT(ISBLANK(PAAR!$A71)),IF(PAAR!$A71 &lt;&gt; "",IFERROR(IF(PAAR!$B$10="English",PAAR!$A71,IF(PAAR!$B$10="Français",VLOOKUP(PAAR!$A71,For_EN[],3,0),IF(PAAR!$B$10="Español",VLOOKUP(PAAR!$A71,For_EN[[Español]:[English]],2,0)))),0),""),"")</f>
        <v/>
      </c>
      <c r="B71" s="82" t="str">
        <f>IF(NOT(ISBLANK(PAAR!$B71)),IF(PAAR!$B71 &lt;&gt; "",IFERROR(IF(PAAR!$B$10="English",PAAR!$B71,IF(PAAR!$B$10="Français",VLOOKUP(PAAR!$B71,Modules!$C$11:$G$83,3,0),IF(PAAR!$B$10="Español",VLOOKUP(PAAR!$B71,Modules!$C$11:$G$83,3,0)))),0),""),"")</f>
        <v/>
      </c>
      <c r="C71" s="82" t="str">
        <f>IF(NOT(ISBLANK(PAAR!$C71)),IF(PAAR!$C71 &lt;&gt; "",IFERROR(IF(PAAR!$B$10="English",PAAR!$C71,IF(PAAR!$B$10="Français",_xlfn.XLOOKUP(PAAR!$C71,Interventions!$I$11:$I$288,Interventions!$B$11:$B$288,0,0,1),IF(PAAR!$B$10="Español",_xlfn.XLOOKUP(PAAR!$C71,Interventions!$J$11:$J$288,Interventions!$B$11:$B$288,0,0,1)))),0),""),"")</f>
        <v/>
      </c>
      <c r="D71" s="91" t="str">
        <f>IF(PAAR!$D71&lt;&gt;"", PAAR!$D71,"")</f>
        <v/>
      </c>
      <c r="E71" s="90" t="str">
        <f>IF(PAAR!$E71&lt;&gt;"",PAAR!$E71,"")</f>
        <v/>
      </c>
      <c r="F71" s="67"/>
      <c r="G71" s="68"/>
      <c r="H71" s="15"/>
      <c r="I71" s="90" t="str">
        <f>IF(ISBLANK(H71),"",IF(IF(Modules!$D$4="EUR",ROUND($K71*(Modules!$B$5),0),$K71)=0,0,IF(Modules!$D$4="EUR",ROUND($K71*(Modules!$B$5),0),$K71)))</f>
        <v/>
      </c>
      <c r="J71" s="67"/>
      <c r="K71" s="74">
        <f t="shared" si="0"/>
        <v>0</v>
      </c>
    </row>
    <row r="72" spans="1:11" ht="45.5" customHeight="1" x14ac:dyDescent="0.2">
      <c r="A72" s="82" t="str">
        <f>IF(NOT(ISBLANK(PAAR!$A72)),IF(PAAR!$A72 &lt;&gt; "",IFERROR(IF(PAAR!$B$10="English",PAAR!$A72,IF(PAAR!$B$10="Français",VLOOKUP(PAAR!$A72,For_EN[],3,0),IF(PAAR!$B$10="Español",VLOOKUP(PAAR!$A72,For_EN[[Español]:[English]],2,0)))),0),""),"")</f>
        <v/>
      </c>
      <c r="B72" s="82" t="str">
        <f>IF(NOT(ISBLANK(PAAR!$B72)),IF(PAAR!$B72 &lt;&gt; "",IFERROR(IF(PAAR!$B$10="English",PAAR!$B72,IF(PAAR!$B$10="Français",VLOOKUP(PAAR!$B72,Modules!$C$11:$G$83,3,0),IF(PAAR!$B$10="Español",VLOOKUP(PAAR!$B72,Modules!$C$11:$G$83,3,0)))),0),""),"")</f>
        <v/>
      </c>
      <c r="C72" s="82" t="str">
        <f>IF(NOT(ISBLANK(PAAR!$C72)),IF(PAAR!$C72 &lt;&gt; "",IFERROR(IF(PAAR!$B$10="English",PAAR!$C72,IF(PAAR!$B$10="Français",_xlfn.XLOOKUP(PAAR!$C72,Interventions!$I$11:$I$288,Interventions!$B$11:$B$288,0,0,1),IF(PAAR!$B$10="Español",_xlfn.XLOOKUP(PAAR!$C72,Interventions!$J$11:$J$288,Interventions!$B$11:$B$288,0,0,1)))),0),""),"")</f>
        <v/>
      </c>
      <c r="D72" s="91" t="str">
        <f>IF(PAAR!$D72&lt;&gt;"", PAAR!$D72,"")</f>
        <v/>
      </c>
      <c r="E72" s="90" t="str">
        <f>IF(PAAR!$E72&lt;&gt;"",PAAR!$E72,"")</f>
        <v/>
      </c>
      <c r="F72" s="67"/>
      <c r="G72" s="68"/>
      <c r="H72" s="15"/>
      <c r="I72" s="90" t="str">
        <f>IF(ISBLANK(H72),"",IF(IF(Modules!$D$4="EUR",ROUND($K72*(Modules!$B$5),0),$K72)=0,0,IF(Modules!$D$4="EUR",ROUND($K72*(Modules!$B$5),0),$K72)))</f>
        <v/>
      </c>
      <c r="J72" s="67"/>
      <c r="K72" s="74">
        <f t="shared" si="0"/>
        <v>0</v>
      </c>
    </row>
    <row r="73" spans="1:11" ht="45.5" customHeight="1" x14ac:dyDescent="0.2">
      <c r="A73" s="82" t="str">
        <f>IF(NOT(ISBLANK(PAAR!$A73)),IF(PAAR!$A73 &lt;&gt; "",IFERROR(IF(PAAR!$B$10="English",PAAR!$A73,IF(PAAR!$B$10="Français",VLOOKUP(PAAR!$A73,For_EN[],3,0),IF(PAAR!$B$10="Español",VLOOKUP(PAAR!$A73,For_EN[[Español]:[English]],2,0)))),0),""),"")</f>
        <v/>
      </c>
      <c r="B73" s="82" t="str">
        <f>IF(NOT(ISBLANK(PAAR!$B73)),IF(PAAR!$B73 &lt;&gt; "",IFERROR(IF(PAAR!$B$10="English",PAAR!$B73,IF(PAAR!$B$10="Français",VLOOKUP(PAAR!$B73,Modules!$C$11:$G$83,3,0),IF(PAAR!$B$10="Español",VLOOKUP(PAAR!$B73,Modules!$C$11:$G$83,3,0)))),0),""),"")</f>
        <v/>
      </c>
      <c r="C73" s="82" t="str">
        <f>IF(NOT(ISBLANK(PAAR!$C73)),IF(PAAR!$C73 &lt;&gt; "",IFERROR(IF(PAAR!$B$10="English",PAAR!$C73,IF(PAAR!$B$10="Français",_xlfn.XLOOKUP(PAAR!$C73,Interventions!$I$11:$I$288,Interventions!$B$11:$B$288,0,0,1),IF(PAAR!$B$10="Español",_xlfn.XLOOKUP(PAAR!$C73,Interventions!$J$11:$J$288,Interventions!$B$11:$B$288,0,0,1)))),0),""),"")</f>
        <v/>
      </c>
      <c r="D73" s="91" t="str">
        <f>IF(PAAR!$D73&lt;&gt;"", PAAR!$D73,"")</f>
        <v/>
      </c>
      <c r="E73" s="90" t="str">
        <f>IF(PAAR!$E73&lt;&gt;"",PAAR!$E73,"")</f>
        <v/>
      </c>
      <c r="F73" s="67"/>
      <c r="G73" s="68"/>
      <c r="H73" s="15"/>
      <c r="I73" s="90" t="str">
        <f>IF(ISBLANK(H73),"",IF(IF(Modules!$D$4="EUR",ROUND($K73*(Modules!$B$5),0),$K73)=0,0,IF(Modules!$D$4="EUR",ROUND($K73*(Modules!$B$5),0),$K73)))</f>
        <v/>
      </c>
      <c r="J73" s="67"/>
      <c r="K73" s="74">
        <f t="shared" si="0"/>
        <v>0</v>
      </c>
    </row>
    <row r="74" spans="1:11" ht="45.5" customHeight="1" x14ac:dyDescent="0.2">
      <c r="A74" s="82" t="str">
        <f>IF(NOT(ISBLANK(PAAR!$A74)),IF(PAAR!$A74 &lt;&gt; "",IFERROR(IF(PAAR!$B$10="English",PAAR!$A74,IF(PAAR!$B$10="Français",VLOOKUP(PAAR!$A74,For_EN[],3,0),IF(PAAR!$B$10="Español",VLOOKUP(PAAR!$A74,For_EN[[Español]:[English]],2,0)))),0),""),"")</f>
        <v/>
      </c>
      <c r="B74" s="82" t="str">
        <f>IF(NOT(ISBLANK(PAAR!$B74)),IF(PAAR!$B74 &lt;&gt; "",IFERROR(IF(PAAR!$B$10="English",PAAR!$B74,IF(PAAR!$B$10="Français",VLOOKUP(PAAR!$B74,Modules!$C$11:$G$83,3,0),IF(PAAR!$B$10="Español",VLOOKUP(PAAR!$B74,Modules!$C$11:$G$83,3,0)))),0),""),"")</f>
        <v/>
      </c>
      <c r="C74" s="82" t="str">
        <f>IF(NOT(ISBLANK(PAAR!$C74)),IF(PAAR!$C74 &lt;&gt; "",IFERROR(IF(PAAR!$B$10="English",PAAR!$C74,IF(PAAR!$B$10="Français",_xlfn.XLOOKUP(PAAR!$C74,Interventions!$I$11:$I$288,Interventions!$B$11:$B$288,0,0,1),IF(PAAR!$B$10="Español",_xlfn.XLOOKUP(PAAR!$C74,Interventions!$J$11:$J$288,Interventions!$B$11:$B$288,0,0,1)))),0),""),"")</f>
        <v/>
      </c>
      <c r="D74" s="91" t="str">
        <f>IF(PAAR!$D74&lt;&gt;"", PAAR!$D74,"")</f>
        <v/>
      </c>
      <c r="E74" s="90" t="str">
        <f>IF(PAAR!$E74&lt;&gt;"",PAAR!$E74,"")</f>
        <v/>
      </c>
      <c r="F74" s="67"/>
      <c r="G74" s="68"/>
      <c r="H74" s="15"/>
      <c r="I74" s="90" t="str">
        <f>IF(ISBLANK(H74),"",IF(IF(Modules!$D$4="EUR",ROUND($K74*(Modules!$B$5),0),$K74)=0,0,IF(Modules!$D$4="EUR",ROUND($K74*(Modules!$B$5),0),$K74)))</f>
        <v/>
      </c>
      <c r="J74" s="67"/>
      <c r="K74" s="74">
        <f t="shared" si="0"/>
        <v>0</v>
      </c>
    </row>
    <row r="75" spans="1:11" ht="45.5" customHeight="1" x14ac:dyDescent="0.2">
      <c r="A75" s="82" t="str">
        <f>IF(NOT(ISBLANK(PAAR!$A75)),IF(PAAR!$A75 &lt;&gt; "",IFERROR(IF(PAAR!$B$10="English",PAAR!$A75,IF(PAAR!$B$10="Français",VLOOKUP(PAAR!$A75,For_EN[],3,0),IF(PAAR!$B$10="Español",VLOOKUP(PAAR!$A75,For_EN[[Español]:[English]],2,0)))),0),""),"")</f>
        <v/>
      </c>
      <c r="B75" s="82" t="str">
        <f>IF(NOT(ISBLANK(PAAR!$B75)),IF(PAAR!$B75 &lt;&gt; "",IFERROR(IF(PAAR!$B$10="English",PAAR!$B75,IF(PAAR!$B$10="Français",VLOOKUP(PAAR!$B75,Modules!$C$11:$G$83,3,0),IF(PAAR!$B$10="Español",VLOOKUP(PAAR!$B75,Modules!$C$11:$G$83,3,0)))),0),""),"")</f>
        <v/>
      </c>
      <c r="C75" s="82" t="str">
        <f>IF(NOT(ISBLANK(PAAR!$C75)),IF(PAAR!$C75 &lt;&gt; "",IFERROR(IF(PAAR!$B$10="English",PAAR!$C75,IF(PAAR!$B$10="Français",_xlfn.XLOOKUP(PAAR!$C75,Interventions!$I$11:$I$288,Interventions!$B$11:$B$288,0,0,1),IF(PAAR!$B$10="Español",_xlfn.XLOOKUP(PAAR!$C75,Interventions!$J$11:$J$288,Interventions!$B$11:$B$288,0,0,1)))),0),""),"")</f>
        <v/>
      </c>
      <c r="D75" s="91" t="str">
        <f>IF(PAAR!$D75&lt;&gt;"", PAAR!$D75,"")</f>
        <v/>
      </c>
      <c r="E75" s="90" t="str">
        <f>IF(PAAR!$E75&lt;&gt;"",PAAR!$E75,"")</f>
        <v/>
      </c>
      <c r="F75" s="67"/>
      <c r="G75" s="68"/>
      <c r="H75" s="15"/>
      <c r="I75" s="90" t="str">
        <f>IF(ISBLANK(H75),"",IF(IF(Modules!$D$4="EUR",ROUND($K75*(Modules!$B$5),0),$K75)=0,0,IF(Modules!$D$4="EUR",ROUND($K75*(Modules!$B$5),0),$K75)))</f>
        <v/>
      </c>
      <c r="J75" s="67"/>
      <c r="K75" s="74">
        <f t="shared" si="0"/>
        <v>0</v>
      </c>
    </row>
    <row r="76" spans="1:11" ht="45.5" customHeight="1" x14ac:dyDescent="0.2">
      <c r="A76" s="82" t="str">
        <f>IF(NOT(ISBLANK(PAAR!$A76)),IF(PAAR!$A76 &lt;&gt; "",IFERROR(IF(PAAR!$B$10="English",PAAR!$A76,IF(PAAR!$B$10="Français",VLOOKUP(PAAR!$A76,For_EN[],3,0),IF(PAAR!$B$10="Español",VLOOKUP(PAAR!$A76,For_EN[[Español]:[English]],2,0)))),0),""),"")</f>
        <v/>
      </c>
      <c r="B76" s="82" t="str">
        <f>IF(NOT(ISBLANK(PAAR!$B76)),IF(PAAR!$B76 &lt;&gt; "",IFERROR(IF(PAAR!$B$10="English",PAAR!$B76,IF(PAAR!$B$10="Français",VLOOKUP(PAAR!$B76,Modules!$C$11:$G$83,3,0),IF(PAAR!$B$10="Español",VLOOKUP(PAAR!$B76,Modules!$C$11:$G$83,3,0)))),0),""),"")</f>
        <v/>
      </c>
      <c r="C76" s="82" t="str">
        <f>IF(NOT(ISBLANK(PAAR!$C76)),IF(PAAR!$C76 &lt;&gt; "",IFERROR(IF(PAAR!$B$10="English",PAAR!$C76,IF(PAAR!$B$10="Français",_xlfn.XLOOKUP(PAAR!$C76,Interventions!$I$11:$I$288,Interventions!$B$11:$B$288,0,0,1),IF(PAAR!$B$10="Español",_xlfn.XLOOKUP(PAAR!$C76,Interventions!$J$11:$J$288,Interventions!$B$11:$B$288,0,0,1)))),0),""),"")</f>
        <v/>
      </c>
      <c r="D76" s="91" t="str">
        <f>IF(PAAR!$D76&lt;&gt;"", PAAR!$D76,"")</f>
        <v/>
      </c>
      <c r="E76" s="90" t="str">
        <f>IF(PAAR!$E76&lt;&gt;"",PAAR!$E76,"")</f>
        <v/>
      </c>
      <c r="F76" s="67"/>
      <c r="G76" s="68"/>
      <c r="H76" s="15"/>
      <c r="I76" s="90" t="str">
        <f>IF(ISBLANK(H76),"",IF(IF(Modules!$D$4="EUR",ROUND($K76*(Modules!$B$5),0),$K76)=0,0,IF(Modules!$D$4="EUR",ROUND($K76*(Modules!$B$5),0),$K76)))</f>
        <v/>
      </c>
      <c r="J76" s="67"/>
      <c r="K76" s="74">
        <f t="shared" si="0"/>
        <v>0</v>
      </c>
    </row>
    <row r="77" spans="1:11" ht="45.5" customHeight="1" x14ac:dyDescent="0.2">
      <c r="A77" s="82" t="str">
        <f>IF(NOT(ISBLANK(PAAR!$A77)),IF(PAAR!$A77 &lt;&gt; "",IFERROR(IF(PAAR!$B$10="English",PAAR!$A77,IF(PAAR!$B$10="Français",VLOOKUP(PAAR!$A77,For_EN[],3,0),IF(PAAR!$B$10="Español",VLOOKUP(PAAR!$A77,For_EN[[Español]:[English]],2,0)))),0),""),"")</f>
        <v/>
      </c>
      <c r="B77" s="82" t="str">
        <f>IF(NOT(ISBLANK(PAAR!$B77)),IF(PAAR!$B77 &lt;&gt; "",IFERROR(IF(PAAR!$B$10="English",PAAR!$B77,IF(PAAR!$B$10="Français",VLOOKUP(PAAR!$B77,Modules!$C$11:$G$83,3,0),IF(PAAR!$B$10="Español",VLOOKUP(PAAR!$B77,Modules!$C$11:$G$83,3,0)))),0),""),"")</f>
        <v/>
      </c>
      <c r="C77" s="82" t="str">
        <f>IF(NOT(ISBLANK(PAAR!$C77)),IF(PAAR!$C77 &lt;&gt; "",IFERROR(IF(PAAR!$B$10="English",PAAR!$C77,IF(PAAR!$B$10="Français",_xlfn.XLOOKUP(PAAR!$C77,Interventions!$I$11:$I$288,Interventions!$B$11:$B$288,0,0,1),IF(PAAR!$B$10="Español",_xlfn.XLOOKUP(PAAR!$C77,Interventions!$J$11:$J$288,Interventions!$B$11:$B$288,0,0,1)))),0),""),"")</f>
        <v/>
      </c>
      <c r="D77" s="91" t="str">
        <f>IF(PAAR!$D77&lt;&gt;"", PAAR!$D77,"")</f>
        <v/>
      </c>
      <c r="E77" s="90" t="str">
        <f>IF(PAAR!$E77&lt;&gt;"",PAAR!$E77,"")</f>
        <v/>
      </c>
      <c r="F77" s="67"/>
      <c r="G77" s="68"/>
      <c r="H77" s="15"/>
      <c r="I77" s="90" t="str">
        <f>IF(ISBLANK(H77),"",IF(IF(Modules!$D$4="EUR",ROUND($K77*(Modules!$B$5),0),$K77)=0,0,IF(Modules!$D$4="EUR",ROUND($K77*(Modules!$B$5),0),$K77)))</f>
        <v/>
      </c>
      <c r="J77" s="67"/>
      <c r="K77" s="74">
        <f t="shared" si="0"/>
        <v>0</v>
      </c>
    </row>
    <row r="78" spans="1:11" ht="45.5" customHeight="1" x14ac:dyDescent="0.2">
      <c r="A78" s="82" t="str">
        <f>IF(NOT(ISBLANK(PAAR!$A78)),IF(PAAR!$A78 &lt;&gt; "",IFERROR(IF(PAAR!$B$10="English",PAAR!$A78,IF(PAAR!$B$10="Français",VLOOKUP(PAAR!$A78,For_EN[],3,0),IF(PAAR!$B$10="Español",VLOOKUP(PAAR!$A78,For_EN[[Español]:[English]],2,0)))),0),""),"")</f>
        <v/>
      </c>
      <c r="B78" s="82" t="str">
        <f>IF(NOT(ISBLANK(PAAR!$B78)),IF(PAAR!$B78 &lt;&gt; "",IFERROR(IF(PAAR!$B$10="English",PAAR!$B78,IF(PAAR!$B$10="Français",VLOOKUP(PAAR!$B78,Modules!$C$11:$G$83,3,0),IF(PAAR!$B$10="Español",VLOOKUP(PAAR!$B78,Modules!$C$11:$G$83,3,0)))),0),""),"")</f>
        <v/>
      </c>
      <c r="C78" s="82" t="str">
        <f>IF(NOT(ISBLANK(PAAR!$C78)),IF(PAAR!$C78 &lt;&gt; "",IFERROR(IF(PAAR!$B$10="English",PAAR!$C78,IF(PAAR!$B$10="Français",_xlfn.XLOOKUP(PAAR!$C78,Interventions!$I$11:$I$288,Interventions!$B$11:$B$288,0,0,1),IF(PAAR!$B$10="Español",_xlfn.XLOOKUP(PAAR!$C78,Interventions!$J$11:$J$288,Interventions!$B$11:$B$288,0,0,1)))),0),""),"")</f>
        <v/>
      </c>
      <c r="D78" s="91" t="str">
        <f>IF(PAAR!$D78&lt;&gt;"", PAAR!$D78,"")</f>
        <v/>
      </c>
      <c r="E78" s="90" t="str">
        <f>IF(PAAR!$E78&lt;&gt;"",PAAR!$E78,"")</f>
        <v/>
      </c>
      <c r="F78" s="67"/>
      <c r="G78" s="68"/>
      <c r="H78" s="15"/>
      <c r="I78" s="90" t="str">
        <f>IF(ISBLANK(H78),"",IF(IF(Modules!$D$4="EUR",ROUND($K78*(Modules!$B$5),0),$K78)=0,0,IF(Modules!$D$4="EUR",ROUND($K78*(Modules!$B$5),0),$K78)))</f>
        <v/>
      </c>
      <c r="J78" s="67"/>
      <c r="K78" s="74">
        <f t="shared" si="0"/>
        <v>0</v>
      </c>
    </row>
    <row r="79" spans="1:11" ht="45.5" customHeight="1" x14ac:dyDescent="0.2">
      <c r="A79" s="82" t="str">
        <f>IF(NOT(ISBLANK(PAAR!$A79)),IF(PAAR!$A79 &lt;&gt; "",IFERROR(IF(PAAR!$B$10="English",PAAR!$A79,IF(PAAR!$B$10="Français",VLOOKUP(PAAR!$A79,For_EN[],3,0),IF(PAAR!$B$10="Español",VLOOKUP(PAAR!$A79,For_EN[[Español]:[English]],2,0)))),0),""),"")</f>
        <v/>
      </c>
      <c r="B79" s="82" t="str">
        <f>IF(NOT(ISBLANK(PAAR!$B79)),IF(PAAR!$B79 &lt;&gt; "",IFERROR(IF(PAAR!$B$10="English",PAAR!$B79,IF(PAAR!$B$10="Français",VLOOKUP(PAAR!$B79,Modules!$C$11:$G$83,3,0),IF(PAAR!$B$10="Español",VLOOKUP(PAAR!$B79,Modules!$C$11:$G$83,3,0)))),0),""),"")</f>
        <v/>
      </c>
      <c r="C79" s="82" t="str">
        <f>IF(NOT(ISBLANK(PAAR!$C79)),IF(PAAR!$C79 &lt;&gt; "",IFERROR(IF(PAAR!$B$10="English",PAAR!$C79,IF(PAAR!$B$10="Français",_xlfn.XLOOKUP(PAAR!$C79,Interventions!$I$11:$I$288,Interventions!$B$11:$B$288,0,0,1),IF(PAAR!$B$10="Español",_xlfn.XLOOKUP(PAAR!$C79,Interventions!$J$11:$J$288,Interventions!$B$11:$B$288,0,0,1)))),0),""),"")</f>
        <v/>
      </c>
      <c r="D79" s="91" t="str">
        <f>IF(PAAR!$D79&lt;&gt;"", PAAR!$D79,"")</f>
        <v/>
      </c>
      <c r="E79" s="90" t="str">
        <f>IF(PAAR!$E79&lt;&gt;"",PAAR!$E79,"")</f>
        <v/>
      </c>
      <c r="F79" s="67"/>
      <c r="G79" s="68"/>
      <c r="H79" s="15"/>
      <c r="I79" s="90" t="str">
        <f>IF(ISBLANK(H79),"",IF(IF(Modules!$D$4="EUR",ROUND($K79*(Modules!$B$5),0),$K79)=0,0,IF(Modules!$D$4="EUR",ROUND($K79*(Modules!$B$5),0),$K79)))</f>
        <v/>
      </c>
      <c r="J79" s="67"/>
      <c r="K79" s="74">
        <f t="shared" si="0"/>
        <v>0</v>
      </c>
    </row>
    <row r="80" spans="1:11" ht="45.5" customHeight="1" x14ac:dyDescent="0.2">
      <c r="A80" s="82" t="str">
        <f>IF(NOT(ISBLANK(PAAR!$A80)),IF(PAAR!$A80 &lt;&gt; "",IFERROR(IF(PAAR!$B$10="English",PAAR!$A80,IF(PAAR!$B$10="Français",VLOOKUP(PAAR!$A80,For_EN[],3,0),IF(PAAR!$B$10="Español",VLOOKUP(PAAR!$A80,For_EN[[Español]:[English]],2,0)))),0),""),"")</f>
        <v/>
      </c>
      <c r="B80" s="82" t="str">
        <f>IF(NOT(ISBLANK(PAAR!$B80)),IF(PAAR!$B80 &lt;&gt; "",IFERROR(IF(PAAR!$B$10="English",PAAR!$B80,IF(PAAR!$B$10="Français",VLOOKUP(PAAR!$B80,Modules!$C$11:$G$83,3,0),IF(PAAR!$B$10="Español",VLOOKUP(PAAR!$B80,Modules!$C$11:$G$83,3,0)))),0),""),"")</f>
        <v/>
      </c>
      <c r="C80" s="82" t="str">
        <f>IF(NOT(ISBLANK(PAAR!$C80)),IF(PAAR!$C80 &lt;&gt; "",IFERROR(IF(PAAR!$B$10="English",PAAR!$C80,IF(PAAR!$B$10="Français",_xlfn.XLOOKUP(PAAR!$C80,Interventions!$I$11:$I$288,Interventions!$B$11:$B$288,0,0,1),IF(PAAR!$B$10="Español",_xlfn.XLOOKUP(PAAR!$C80,Interventions!$J$11:$J$288,Interventions!$B$11:$B$288,0,0,1)))),0),""),"")</f>
        <v/>
      </c>
      <c r="D80" s="91" t="str">
        <f>IF(PAAR!$D80&lt;&gt;"", PAAR!$D80,"")</f>
        <v/>
      </c>
      <c r="E80" s="90" t="str">
        <f>IF(PAAR!$E80&lt;&gt;"",PAAR!$E80,"")</f>
        <v/>
      </c>
      <c r="F80" s="67"/>
      <c r="G80" s="68"/>
      <c r="H80" s="15"/>
      <c r="I80" s="90" t="str">
        <f>IF(ISBLANK(H80),"",IF(IF(Modules!$D$4="EUR",ROUND($K80*(Modules!$B$5),0),$K80)=0,0,IF(Modules!$D$4="EUR",ROUND($K80*(Modules!$B$5),0),$K80)))</f>
        <v/>
      </c>
      <c r="J80" s="67"/>
      <c r="K80" s="74">
        <f t="shared" si="0"/>
        <v>0</v>
      </c>
    </row>
    <row r="81" spans="1:11" ht="45.5" customHeight="1" x14ac:dyDescent="0.2">
      <c r="A81" s="82" t="str">
        <f>IF(NOT(ISBLANK(PAAR!$A81)),IF(PAAR!$A81 &lt;&gt; "",IFERROR(IF(PAAR!$B$10="English",PAAR!$A81,IF(PAAR!$B$10="Français",VLOOKUP(PAAR!$A81,For_EN[],3,0),IF(PAAR!$B$10="Español",VLOOKUP(PAAR!$A81,For_EN[[Español]:[English]],2,0)))),0),""),"")</f>
        <v/>
      </c>
      <c r="B81" s="82" t="str">
        <f>IF(NOT(ISBLANK(PAAR!$B81)),IF(PAAR!$B81 &lt;&gt; "",IFERROR(IF(PAAR!$B$10="English",PAAR!$B81,IF(PAAR!$B$10="Français",VLOOKUP(PAAR!$B81,Modules!$C$11:$G$83,3,0),IF(PAAR!$B$10="Español",VLOOKUP(PAAR!$B81,Modules!$C$11:$G$83,3,0)))),0),""),"")</f>
        <v/>
      </c>
      <c r="C81" s="82" t="str">
        <f>IF(NOT(ISBLANK(PAAR!$C81)),IF(PAAR!$C81 &lt;&gt; "",IFERROR(IF(PAAR!$B$10="English",PAAR!$C81,IF(PAAR!$B$10="Français",_xlfn.XLOOKUP(PAAR!$C81,Interventions!$I$11:$I$288,Interventions!$B$11:$B$288,0,0,1),IF(PAAR!$B$10="Español",_xlfn.XLOOKUP(PAAR!$C81,Interventions!$J$11:$J$288,Interventions!$B$11:$B$288,0,0,1)))),0),""),"")</f>
        <v/>
      </c>
      <c r="D81" s="91" t="str">
        <f>IF(PAAR!$D81&lt;&gt;"", PAAR!$D81,"")</f>
        <v/>
      </c>
      <c r="E81" s="90" t="str">
        <f>IF(PAAR!$E81&lt;&gt;"",PAAR!$E81,"")</f>
        <v/>
      </c>
      <c r="F81" s="67"/>
      <c r="G81" s="68"/>
      <c r="H81" s="15"/>
      <c r="I81" s="90" t="str">
        <f>IF(ISBLANK(H81),"",IF(IF(Modules!$D$4="EUR",ROUND($K81*(Modules!$B$5),0),$K81)=0,0,IF(Modules!$D$4="EUR",ROUND($K81*(Modules!$B$5),0),$K81)))</f>
        <v/>
      </c>
      <c r="J81" s="67"/>
      <c r="K81" s="74">
        <f t="shared" si="0"/>
        <v>0</v>
      </c>
    </row>
    <row r="82" spans="1:11" ht="45.5" customHeight="1" x14ac:dyDescent="0.2">
      <c r="A82" s="82" t="str">
        <f>IF(NOT(ISBLANK(PAAR!$A82)),IF(PAAR!$A82 &lt;&gt; "",IFERROR(IF(PAAR!$B$10="English",PAAR!$A82,IF(PAAR!$B$10="Français",VLOOKUP(PAAR!$A82,For_EN[],3,0),IF(PAAR!$B$10="Español",VLOOKUP(PAAR!$A82,For_EN[[Español]:[English]],2,0)))),0),""),"")</f>
        <v/>
      </c>
      <c r="B82" s="82" t="str">
        <f>IF(NOT(ISBLANK(PAAR!$B82)),IF(PAAR!$B82 &lt;&gt; "",IFERROR(IF(PAAR!$B$10="English",PAAR!$B82,IF(PAAR!$B$10="Français",VLOOKUP(PAAR!$B82,Modules!$C$11:$G$83,3,0),IF(PAAR!$B$10="Español",VLOOKUP(PAAR!$B82,Modules!$C$11:$G$83,3,0)))),0),""),"")</f>
        <v/>
      </c>
      <c r="C82" s="82" t="str">
        <f>IF(NOT(ISBLANK(PAAR!$C82)),IF(PAAR!$C82 &lt;&gt; "",IFERROR(IF(PAAR!$B$10="English",PAAR!$C82,IF(PAAR!$B$10="Français",_xlfn.XLOOKUP(PAAR!$C82,Interventions!$I$11:$I$288,Interventions!$B$11:$B$288,0,0,1),IF(PAAR!$B$10="Español",_xlfn.XLOOKUP(PAAR!$C82,Interventions!$J$11:$J$288,Interventions!$B$11:$B$288,0,0,1)))),0),""),"")</f>
        <v/>
      </c>
      <c r="D82" s="91" t="str">
        <f>IF(PAAR!$D82&lt;&gt;"", PAAR!$D82,"")</f>
        <v/>
      </c>
      <c r="E82" s="90" t="str">
        <f>IF(PAAR!$E82&lt;&gt;"",PAAR!$E82,"")</f>
        <v/>
      </c>
      <c r="F82" s="67"/>
      <c r="G82" s="68"/>
      <c r="H82" s="15"/>
      <c r="I82" s="90" t="str">
        <f>IF(ISBLANK(H82),"",IF(IF(Modules!$D$4="EUR",ROUND($K82*(Modules!$B$5),0),$K82)=0,0,IF(Modules!$D$4="EUR",ROUND($K82*(Modules!$B$5),0),$K82)))</f>
        <v/>
      </c>
      <c r="J82" s="67"/>
      <c r="K82" s="74">
        <f t="shared" si="0"/>
        <v>0</v>
      </c>
    </row>
    <row r="83" spans="1:11" ht="45.5" customHeight="1" x14ac:dyDescent="0.2">
      <c r="A83" s="82" t="str">
        <f>IF(NOT(ISBLANK(PAAR!$A83)),IF(PAAR!$A83 &lt;&gt; "",IFERROR(IF(PAAR!$B$10="English",PAAR!$A83,IF(PAAR!$B$10="Français",VLOOKUP(PAAR!$A83,For_EN[],3,0),IF(PAAR!$B$10="Español",VLOOKUP(PAAR!$A83,For_EN[[Español]:[English]],2,0)))),0),""),"")</f>
        <v/>
      </c>
      <c r="B83" s="82" t="str">
        <f>IF(NOT(ISBLANK(PAAR!$B83)),IF(PAAR!$B83 &lt;&gt; "",IFERROR(IF(PAAR!$B$10="English",PAAR!$B83,IF(PAAR!$B$10="Français",VLOOKUP(PAAR!$B83,Modules!$C$11:$G$83,3,0),IF(PAAR!$B$10="Español",VLOOKUP(PAAR!$B83,Modules!$C$11:$G$83,3,0)))),0),""),"")</f>
        <v/>
      </c>
      <c r="C83" s="82" t="str">
        <f>IF(NOT(ISBLANK(PAAR!$C83)),IF(PAAR!$C83 &lt;&gt; "",IFERROR(IF(PAAR!$B$10="English",PAAR!$C83,IF(PAAR!$B$10="Français",_xlfn.XLOOKUP(PAAR!$C83,Interventions!$I$11:$I$288,Interventions!$B$11:$B$288,0,0,1),IF(PAAR!$B$10="Español",_xlfn.XLOOKUP(PAAR!$C83,Interventions!$J$11:$J$288,Interventions!$B$11:$B$288,0,0,1)))),0),""),"")</f>
        <v/>
      </c>
      <c r="D83" s="91" t="str">
        <f>IF(PAAR!$D83&lt;&gt;"", PAAR!$D83,"")</f>
        <v/>
      </c>
      <c r="E83" s="90" t="str">
        <f>IF(PAAR!$E83&lt;&gt;"",PAAR!$E83,"")</f>
        <v/>
      </c>
      <c r="F83" s="67"/>
      <c r="G83" s="68"/>
      <c r="H83" s="15"/>
      <c r="I83" s="90" t="str">
        <f>IF(ISBLANK(H83),"",IF(IF(Modules!$D$4="EUR",ROUND($K83*(Modules!$B$5),0),$K83)=0,0,IF(Modules!$D$4="EUR",ROUND($K83*(Modules!$B$5),0),$K83)))</f>
        <v/>
      </c>
      <c r="J83" s="67"/>
      <c r="K83" s="74">
        <f t="shared" si="0"/>
        <v>0</v>
      </c>
    </row>
    <row r="84" spans="1:11" ht="45.5" customHeight="1" x14ac:dyDescent="0.2">
      <c r="A84" s="82" t="str">
        <f>IF(NOT(ISBLANK(PAAR!$A84)),IF(PAAR!$A84 &lt;&gt; "",IFERROR(IF(PAAR!$B$10="English",PAAR!$A84,IF(PAAR!$B$10="Français",VLOOKUP(PAAR!$A84,For_EN[],3,0),IF(PAAR!$B$10="Español",VLOOKUP(PAAR!$A84,For_EN[[Español]:[English]],2,0)))),0),""),"")</f>
        <v/>
      </c>
      <c r="B84" s="82" t="str">
        <f>IF(NOT(ISBLANK(PAAR!$B84)),IF(PAAR!$B84 &lt;&gt; "",IFERROR(IF(PAAR!$B$10="English",PAAR!$B84,IF(PAAR!$B$10="Français",VLOOKUP(PAAR!$B84,Modules!$C$11:$G$83,3,0),IF(PAAR!$B$10="Español",VLOOKUP(PAAR!$B84,Modules!$C$11:$G$83,3,0)))),0),""),"")</f>
        <v/>
      </c>
      <c r="C84" s="82" t="str">
        <f>IF(NOT(ISBLANK(PAAR!$C84)),IF(PAAR!$C84 &lt;&gt; "",IFERROR(IF(PAAR!$B$10="English",PAAR!$C84,IF(PAAR!$B$10="Français",_xlfn.XLOOKUP(PAAR!$C84,Interventions!$I$11:$I$288,Interventions!$B$11:$B$288,0,0,1),IF(PAAR!$B$10="Español",_xlfn.XLOOKUP(PAAR!$C84,Interventions!$J$11:$J$288,Interventions!$B$11:$B$288,0,0,1)))),0),""),"")</f>
        <v/>
      </c>
      <c r="D84" s="91" t="str">
        <f>IF(PAAR!$D84&lt;&gt;"", PAAR!$D84,"")</f>
        <v/>
      </c>
      <c r="E84" s="90" t="str">
        <f>IF(PAAR!$E84&lt;&gt;"",PAAR!$E84,"")</f>
        <v/>
      </c>
      <c r="F84" s="67"/>
      <c r="G84" s="68"/>
      <c r="H84" s="15"/>
      <c r="I84" s="90" t="str">
        <f>IF(ISBLANK(H84),"",IF(IF(Modules!$D$4="EUR",ROUND($K84*(Modules!$B$5),0),$K84)=0,0,IF(Modules!$D$4="EUR",ROUND($K84*(Modules!$B$5),0),$K84)))</f>
        <v/>
      </c>
      <c r="J84" s="67"/>
      <c r="K84" s="74">
        <f t="shared" si="0"/>
        <v>0</v>
      </c>
    </row>
    <row r="85" spans="1:11" ht="45.5" customHeight="1" x14ac:dyDescent="0.2">
      <c r="A85" s="82" t="str">
        <f>IF(NOT(ISBLANK(PAAR!$A85)),IF(PAAR!$A85 &lt;&gt; "",IFERROR(IF(PAAR!$B$10="English",PAAR!$A85,IF(PAAR!$B$10="Français",VLOOKUP(PAAR!$A85,For_EN[],3,0),IF(PAAR!$B$10="Español",VLOOKUP(PAAR!$A85,For_EN[[Español]:[English]],2,0)))),0),""),"")</f>
        <v/>
      </c>
      <c r="B85" s="82" t="str">
        <f>IF(NOT(ISBLANK(PAAR!$B85)),IF(PAAR!$B85 &lt;&gt; "",IFERROR(IF(PAAR!$B$10="English",PAAR!$B85,IF(PAAR!$B$10="Français",VLOOKUP(PAAR!$B85,Modules!$C$11:$G$83,3,0),IF(PAAR!$B$10="Español",VLOOKUP(PAAR!$B85,Modules!$C$11:$G$83,3,0)))),0),""),"")</f>
        <v/>
      </c>
      <c r="C85" s="82" t="str">
        <f>IF(NOT(ISBLANK(PAAR!$C85)),IF(PAAR!$C85 &lt;&gt; "",IFERROR(IF(PAAR!$B$10="English",PAAR!$C85,IF(PAAR!$B$10="Français",_xlfn.XLOOKUP(PAAR!$C85,Interventions!$I$11:$I$288,Interventions!$B$11:$B$288,0,0,1),IF(PAAR!$B$10="Español",_xlfn.XLOOKUP(PAAR!$C85,Interventions!$J$11:$J$288,Interventions!$B$11:$B$288,0,0,1)))),0),""),"")</f>
        <v/>
      </c>
      <c r="D85" s="91" t="str">
        <f>IF(PAAR!$D85&lt;&gt;"", PAAR!$D85,"")</f>
        <v/>
      </c>
      <c r="E85" s="90" t="str">
        <f>IF(PAAR!$E85&lt;&gt;"",PAAR!$E85,"")</f>
        <v/>
      </c>
      <c r="F85" s="67"/>
      <c r="G85" s="68"/>
      <c r="H85" s="15"/>
      <c r="I85" s="90" t="str">
        <f>IF(ISBLANK(H85),"",IF(IF(Modules!$D$4="EUR",ROUND($K85*(Modules!$B$5),0),$K85)=0,0,IF(Modules!$D$4="EUR",ROUND($K85*(Modules!$B$5),0),$K85)))</f>
        <v/>
      </c>
      <c r="J85" s="67"/>
      <c r="K85" s="74">
        <f t="shared" si="0"/>
        <v>0</v>
      </c>
    </row>
    <row r="86" spans="1:11" ht="45.5" customHeight="1" x14ac:dyDescent="0.2">
      <c r="A86" s="82" t="str">
        <f>IF(NOT(ISBLANK(PAAR!$A86)),IF(PAAR!$A86 &lt;&gt; "",IFERROR(IF(PAAR!$B$10="English",PAAR!$A86,IF(PAAR!$B$10="Français",VLOOKUP(PAAR!$A86,For_EN[],3,0),IF(PAAR!$B$10="Español",VLOOKUP(PAAR!$A86,For_EN[[Español]:[English]],2,0)))),0),""),"")</f>
        <v/>
      </c>
      <c r="B86" s="82" t="str">
        <f>IF(NOT(ISBLANK(PAAR!$B86)),IF(PAAR!$B86 &lt;&gt; "",IFERROR(IF(PAAR!$B$10="English",PAAR!$B86,IF(PAAR!$B$10="Français",VLOOKUP(PAAR!$B86,Modules!$C$11:$G$83,3,0),IF(PAAR!$B$10="Español",VLOOKUP(PAAR!$B86,Modules!$C$11:$G$83,3,0)))),0),""),"")</f>
        <v/>
      </c>
      <c r="C86" s="82" t="str">
        <f>IF(NOT(ISBLANK(PAAR!$C86)),IF(PAAR!$C86 &lt;&gt; "",IFERROR(IF(PAAR!$B$10="English",PAAR!$C86,IF(PAAR!$B$10="Français",_xlfn.XLOOKUP(PAAR!$C86,Interventions!$I$11:$I$288,Interventions!$B$11:$B$288,0,0,1),IF(PAAR!$B$10="Español",_xlfn.XLOOKUP(PAAR!$C86,Interventions!$J$11:$J$288,Interventions!$B$11:$B$288,0,0,1)))),0),""),"")</f>
        <v/>
      </c>
      <c r="D86" s="91" t="str">
        <f>IF(PAAR!$D86&lt;&gt;"", PAAR!$D86,"")</f>
        <v/>
      </c>
      <c r="E86" s="90" t="str">
        <f>IF(PAAR!$E86&lt;&gt;"",PAAR!$E86,"")</f>
        <v/>
      </c>
      <c r="F86" s="67"/>
      <c r="G86" s="68"/>
      <c r="H86" s="15"/>
      <c r="I86" s="90" t="str">
        <f>IF(ISBLANK(H86),"",IF(IF(Modules!$D$4="EUR",ROUND($K86*(Modules!$B$5),0),$K86)=0,0,IF(Modules!$D$4="EUR",ROUND($K86*(Modules!$B$5),0),$K86)))</f>
        <v/>
      </c>
      <c r="J86" s="67"/>
      <c r="K86" s="74">
        <f t="shared" si="0"/>
        <v>0</v>
      </c>
    </row>
    <row r="87" spans="1:11" ht="45.5" customHeight="1" x14ac:dyDescent="0.2">
      <c r="A87" s="82" t="str">
        <f>IF(NOT(ISBLANK(PAAR!$A87)),IF(PAAR!$A87 &lt;&gt; "",IFERROR(IF(PAAR!$B$10="English",PAAR!$A87,IF(PAAR!$B$10="Français",VLOOKUP(PAAR!$A87,For_EN[],3,0),IF(PAAR!$B$10="Español",VLOOKUP(PAAR!$A87,For_EN[[Español]:[English]],2,0)))),0),""),"")</f>
        <v/>
      </c>
      <c r="B87" s="82" t="str">
        <f>IF(NOT(ISBLANK(PAAR!$B87)),IF(PAAR!$B87 &lt;&gt; "",IFERROR(IF(PAAR!$B$10="English",PAAR!$B87,IF(PAAR!$B$10="Français",VLOOKUP(PAAR!$B87,Modules!$C$11:$G$83,3,0),IF(PAAR!$B$10="Español",VLOOKUP(PAAR!$B87,Modules!$C$11:$G$83,3,0)))),0),""),"")</f>
        <v/>
      </c>
      <c r="C87" s="82" t="str">
        <f>IF(NOT(ISBLANK(PAAR!$C87)),IF(PAAR!$C87 &lt;&gt; "",IFERROR(IF(PAAR!$B$10="English",PAAR!$C87,IF(PAAR!$B$10="Français",_xlfn.XLOOKUP(PAAR!$C87,Interventions!$I$11:$I$288,Interventions!$B$11:$B$288,0,0,1),IF(PAAR!$B$10="Español",_xlfn.XLOOKUP(PAAR!$C87,Interventions!$J$11:$J$288,Interventions!$B$11:$B$288,0,0,1)))),0),""),"")</f>
        <v/>
      </c>
      <c r="D87" s="91" t="str">
        <f>IF(PAAR!$D87&lt;&gt;"", PAAR!$D87,"")</f>
        <v/>
      </c>
      <c r="E87" s="90" t="str">
        <f>IF(PAAR!$E87&lt;&gt;"",PAAR!$E87,"")</f>
        <v/>
      </c>
      <c r="F87" s="67"/>
      <c r="G87" s="68"/>
      <c r="H87" s="15"/>
      <c r="I87" s="90" t="str">
        <f>IF(ISBLANK(H87),"",IF(IF(Modules!$D$4="EUR",ROUND($K87*(Modules!$B$5),0),$K87)=0,0,IF(Modules!$D$4="EUR",ROUND($K87*(Modules!$B$5),0),$K87)))</f>
        <v/>
      </c>
      <c r="J87" s="67"/>
      <c r="K87" s="74">
        <f t="shared" si="0"/>
        <v>0</v>
      </c>
    </row>
    <row r="88" spans="1:11" ht="45.5" customHeight="1" x14ac:dyDescent="0.2">
      <c r="A88" s="82" t="str">
        <f>IF(NOT(ISBLANK(PAAR!$A88)),IF(PAAR!$A88 &lt;&gt; "",IFERROR(IF(PAAR!$B$10="English",PAAR!$A88,IF(PAAR!$B$10="Français",VLOOKUP(PAAR!$A88,For_EN[],3,0),IF(PAAR!$B$10="Español",VLOOKUP(PAAR!$A88,For_EN[[Español]:[English]],2,0)))),0),""),"")</f>
        <v/>
      </c>
      <c r="B88" s="82" t="str">
        <f>IF(NOT(ISBLANK(PAAR!$B88)),IF(PAAR!$B88 &lt;&gt; "",IFERROR(IF(PAAR!$B$10="English",PAAR!$B88,IF(PAAR!$B$10="Français",VLOOKUP(PAAR!$B88,Modules!$C$11:$G$83,3,0),IF(PAAR!$B$10="Español",VLOOKUP(PAAR!$B88,Modules!$C$11:$G$83,3,0)))),0),""),"")</f>
        <v/>
      </c>
      <c r="C88" s="82" t="str">
        <f>IF(NOT(ISBLANK(PAAR!$C88)),IF(PAAR!$C88 &lt;&gt; "",IFERROR(IF(PAAR!$B$10="English",PAAR!$C88,IF(PAAR!$B$10="Français",_xlfn.XLOOKUP(PAAR!$C88,Interventions!$I$11:$I$288,Interventions!$B$11:$B$288,0,0,1),IF(PAAR!$B$10="Español",_xlfn.XLOOKUP(PAAR!$C88,Interventions!$J$11:$J$288,Interventions!$B$11:$B$288,0,0,1)))),0),""),"")</f>
        <v/>
      </c>
      <c r="D88" s="91" t="str">
        <f>IF(PAAR!$D88&lt;&gt;"", PAAR!$D88,"")</f>
        <v/>
      </c>
      <c r="E88" s="90" t="str">
        <f>IF(PAAR!$E88&lt;&gt;"",PAAR!$E88,"")</f>
        <v/>
      </c>
      <c r="F88" s="67"/>
      <c r="G88" s="68"/>
      <c r="H88" s="15"/>
      <c r="I88" s="90" t="str">
        <f>IF(ISBLANK(H88),"",IF(IF(Modules!$D$4="EUR",ROUND($K88*(Modules!$B$5),0),$K88)=0,0,IF(Modules!$D$4="EUR",ROUND($K88*(Modules!$B$5),0),$K88)))</f>
        <v/>
      </c>
      <c r="J88" s="67"/>
      <c r="K88" s="74">
        <f t="shared" si="0"/>
        <v>0</v>
      </c>
    </row>
    <row r="89" spans="1:11" ht="45.5" customHeight="1" x14ac:dyDescent="0.2">
      <c r="A89" s="82" t="str">
        <f>IF(NOT(ISBLANK(PAAR!$A89)),IF(PAAR!$A89 &lt;&gt; "",IFERROR(IF(PAAR!$B$10="English",PAAR!$A89,IF(PAAR!$B$10="Français",VLOOKUP(PAAR!$A89,For_EN[],3,0),IF(PAAR!$B$10="Español",VLOOKUP(PAAR!$A89,For_EN[[Español]:[English]],2,0)))),0),""),"")</f>
        <v/>
      </c>
      <c r="B89" s="82" t="str">
        <f>IF(NOT(ISBLANK(PAAR!$B89)),IF(PAAR!$B89 &lt;&gt; "",IFERROR(IF(PAAR!$B$10="English",PAAR!$B89,IF(PAAR!$B$10="Français",VLOOKUP(PAAR!$B89,Modules!$C$11:$G$83,3,0),IF(PAAR!$B$10="Español",VLOOKUP(PAAR!$B89,Modules!$C$11:$G$83,3,0)))),0),""),"")</f>
        <v/>
      </c>
      <c r="C89" s="82" t="str">
        <f>IF(NOT(ISBLANK(PAAR!$C89)),IF(PAAR!$C89 &lt;&gt; "",IFERROR(IF(PAAR!$B$10="English",PAAR!$C89,IF(PAAR!$B$10="Français",_xlfn.XLOOKUP(PAAR!$C89,Interventions!$I$11:$I$288,Interventions!$B$11:$B$288,0,0,1),IF(PAAR!$B$10="Español",_xlfn.XLOOKUP(PAAR!$C89,Interventions!$J$11:$J$288,Interventions!$B$11:$B$288,0,0,1)))),0),""),"")</f>
        <v/>
      </c>
      <c r="D89" s="91" t="str">
        <f>IF(PAAR!$D89&lt;&gt;"", PAAR!$D89,"")</f>
        <v/>
      </c>
      <c r="E89" s="90" t="str">
        <f>IF(PAAR!$E89&lt;&gt;"",PAAR!$E89,"")</f>
        <v/>
      </c>
      <c r="F89" s="67"/>
      <c r="G89" s="68"/>
      <c r="H89" s="15"/>
      <c r="I89" s="90" t="str">
        <f>IF(ISBLANK(H89),"",IF(IF(Modules!$D$4="EUR",ROUND($K89*(Modules!$B$5),0),$K89)=0,0,IF(Modules!$D$4="EUR",ROUND($K89*(Modules!$B$5),0),$K89)))</f>
        <v/>
      </c>
      <c r="J89" s="67"/>
      <c r="K89" s="74">
        <f t="shared" si="0"/>
        <v>0</v>
      </c>
    </row>
    <row r="90" spans="1:11" ht="45.5" customHeight="1" x14ac:dyDescent="0.2">
      <c r="A90" s="82" t="str">
        <f>IF(NOT(ISBLANK(PAAR!$A90)),IF(PAAR!$A90 &lt;&gt; "",IFERROR(IF(PAAR!$B$10="English",PAAR!$A90,IF(PAAR!$B$10="Français",VLOOKUP(PAAR!$A90,For_EN[],3,0),IF(PAAR!$B$10="Español",VLOOKUP(PAAR!$A90,For_EN[[Español]:[English]],2,0)))),0),""),"")</f>
        <v/>
      </c>
      <c r="B90" s="82" t="str">
        <f>IF(NOT(ISBLANK(PAAR!$B90)),IF(PAAR!$B90 &lt;&gt; "",IFERROR(IF(PAAR!$B$10="English",PAAR!$B90,IF(PAAR!$B$10="Français",VLOOKUP(PAAR!$B90,Modules!$C$11:$G$83,3,0),IF(PAAR!$B$10="Español",VLOOKUP(PAAR!$B90,Modules!$C$11:$G$83,3,0)))),0),""),"")</f>
        <v/>
      </c>
      <c r="C90" s="82" t="str">
        <f>IF(NOT(ISBLANK(PAAR!$C90)),IF(PAAR!$C90 &lt;&gt; "",IFERROR(IF(PAAR!$B$10="English",PAAR!$C90,IF(PAAR!$B$10="Français",_xlfn.XLOOKUP(PAAR!$C90,Interventions!$I$11:$I$288,Interventions!$B$11:$B$288,0,0,1),IF(PAAR!$B$10="Español",_xlfn.XLOOKUP(PAAR!$C90,Interventions!$J$11:$J$288,Interventions!$B$11:$B$288,0,0,1)))),0),""),"")</f>
        <v/>
      </c>
      <c r="D90" s="91" t="str">
        <f>IF(PAAR!$D90&lt;&gt;"", PAAR!$D90,"")</f>
        <v/>
      </c>
      <c r="E90" s="90" t="str">
        <f>IF(PAAR!$E90&lt;&gt;"",PAAR!$E90,"")</f>
        <v/>
      </c>
      <c r="F90" s="67"/>
      <c r="G90" s="68"/>
      <c r="H90" s="15"/>
      <c r="I90" s="90" t="str">
        <f>IF(ISBLANK(H90),"",IF(IF(Modules!$D$4="EUR",ROUND($K90*(Modules!$B$5),0),$K90)=0,0,IF(Modules!$D$4="EUR",ROUND($K90*(Modules!$B$5),0),$K90)))</f>
        <v/>
      </c>
      <c r="J90" s="67"/>
      <c r="K90" s="74">
        <f t="shared" si="0"/>
        <v>0</v>
      </c>
    </row>
    <row r="91" spans="1:11" ht="45.5" customHeight="1" x14ac:dyDescent="0.2">
      <c r="A91" s="82" t="str">
        <f>IF(NOT(ISBLANK(PAAR!$A91)),IF(PAAR!$A91 &lt;&gt; "",IFERROR(IF(PAAR!$B$10="English",PAAR!$A91,IF(PAAR!$B$10="Français",VLOOKUP(PAAR!$A91,For_EN[],3,0),IF(PAAR!$B$10="Español",VLOOKUP(PAAR!$A91,For_EN[[Español]:[English]],2,0)))),0),""),"")</f>
        <v/>
      </c>
      <c r="B91" s="82" t="str">
        <f>IF(NOT(ISBLANK(PAAR!$B91)),IF(PAAR!$B91 &lt;&gt; "",IFERROR(IF(PAAR!$B$10="English",PAAR!$B91,IF(PAAR!$B$10="Français",VLOOKUP(PAAR!$B91,Modules!$C$11:$G$83,3,0),IF(PAAR!$B$10="Español",VLOOKUP(PAAR!$B91,Modules!$C$11:$G$83,3,0)))),0),""),"")</f>
        <v/>
      </c>
      <c r="C91" s="82" t="str">
        <f>IF(NOT(ISBLANK(PAAR!$C91)),IF(PAAR!$C91 &lt;&gt; "",IFERROR(IF(PAAR!$B$10="English",PAAR!$C91,IF(PAAR!$B$10="Français",_xlfn.XLOOKUP(PAAR!$C91,Interventions!$I$11:$I$288,Interventions!$B$11:$B$288,0,0,1),IF(PAAR!$B$10="Español",_xlfn.XLOOKUP(PAAR!$C91,Interventions!$J$11:$J$288,Interventions!$B$11:$B$288,0,0,1)))),0),""),"")</f>
        <v/>
      </c>
      <c r="D91" s="91" t="str">
        <f>IF(PAAR!$D91&lt;&gt;"", PAAR!$D91,"")</f>
        <v/>
      </c>
      <c r="E91" s="90" t="str">
        <f>IF(PAAR!$E91&lt;&gt;"",PAAR!$E91,"")</f>
        <v/>
      </c>
      <c r="F91" s="67"/>
      <c r="G91" s="68"/>
      <c r="H91" s="15"/>
      <c r="I91" s="90" t="str">
        <f>IF(ISBLANK(H91),"",IF(IF(Modules!$D$4="EUR",ROUND($K91*(Modules!$B$5),0),$K91)=0,0,IF(Modules!$D$4="EUR",ROUND($K91*(Modules!$B$5),0),$K91)))</f>
        <v/>
      </c>
      <c r="J91" s="67"/>
      <c r="K91" s="74">
        <f t="shared" si="0"/>
        <v>0</v>
      </c>
    </row>
    <row r="92" spans="1:11" ht="45.5" customHeight="1" x14ac:dyDescent="0.2">
      <c r="A92" s="82" t="str">
        <f>IF(NOT(ISBLANK(PAAR!$A92)),IF(PAAR!$A92 &lt;&gt; "",IFERROR(IF(PAAR!$B$10="English",PAAR!$A92,IF(PAAR!$B$10="Français",VLOOKUP(PAAR!$A92,For_EN[],3,0),IF(PAAR!$B$10="Español",VLOOKUP(PAAR!$A92,For_EN[[Español]:[English]],2,0)))),0),""),"")</f>
        <v/>
      </c>
      <c r="B92" s="82" t="str">
        <f>IF(NOT(ISBLANK(PAAR!$B92)),IF(PAAR!$B92 &lt;&gt; "",IFERROR(IF(PAAR!$B$10="English",PAAR!$B92,IF(PAAR!$B$10="Français",VLOOKUP(PAAR!$B92,Modules!$C$11:$G$83,3,0),IF(PAAR!$B$10="Español",VLOOKUP(PAAR!$B92,Modules!$C$11:$G$83,3,0)))),0),""),"")</f>
        <v/>
      </c>
      <c r="C92" s="82" t="str">
        <f>IF(NOT(ISBLANK(PAAR!$C92)),IF(PAAR!$C92 &lt;&gt; "",IFERROR(IF(PAAR!$B$10="English",PAAR!$C92,IF(PAAR!$B$10="Français",_xlfn.XLOOKUP(PAAR!$C92,Interventions!$I$11:$I$288,Interventions!$B$11:$B$288,0,0,1),IF(PAAR!$B$10="Español",_xlfn.XLOOKUP(PAAR!$C92,Interventions!$J$11:$J$288,Interventions!$B$11:$B$288,0,0,1)))),0),""),"")</f>
        <v/>
      </c>
      <c r="D92" s="91" t="str">
        <f>IF(PAAR!$D92&lt;&gt;"", PAAR!$D92,"")</f>
        <v/>
      </c>
      <c r="E92" s="90" t="str">
        <f>IF(PAAR!$E92&lt;&gt;"",PAAR!$E92,"")</f>
        <v/>
      </c>
      <c r="F92" s="67"/>
      <c r="G92" s="68"/>
      <c r="H92" s="15"/>
      <c r="I92" s="90" t="str">
        <f>IF(ISBLANK(H92),"",IF(IF(Modules!$D$4="EUR",ROUND($K92*(Modules!$B$5),0),$K92)=0,0,IF(Modules!$D$4="EUR",ROUND($K92*(Modules!$B$5),0),$K92)))</f>
        <v/>
      </c>
      <c r="J92" s="67"/>
      <c r="K92" s="74">
        <f t="shared" si="0"/>
        <v>0</v>
      </c>
    </row>
    <row r="93" spans="1:11" ht="45.5" customHeight="1" x14ac:dyDescent="0.2">
      <c r="A93" s="82" t="str">
        <f>IF(NOT(ISBLANK(PAAR!$A93)),IF(PAAR!$A93 &lt;&gt; "",IFERROR(IF(PAAR!$B$10="English",PAAR!$A93,IF(PAAR!$B$10="Français",VLOOKUP(PAAR!$A93,For_EN[],3,0),IF(PAAR!$B$10="Español",VLOOKUP(PAAR!$A93,For_EN[[Español]:[English]],2,0)))),0),""),"")</f>
        <v/>
      </c>
      <c r="B93" s="82" t="str">
        <f>IF(NOT(ISBLANK(PAAR!$B93)),IF(PAAR!$B93 &lt;&gt; "",IFERROR(IF(PAAR!$B$10="English",PAAR!$B93,IF(PAAR!$B$10="Français",VLOOKUP(PAAR!$B93,Modules!$C$11:$G$83,3,0),IF(PAAR!$B$10="Español",VLOOKUP(PAAR!$B93,Modules!$C$11:$G$83,3,0)))),0),""),"")</f>
        <v/>
      </c>
      <c r="C93" s="82" t="str">
        <f>IF(NOT(ISBLANK(PAAR!$C93)),IF(PAAR!$C93 &lt;&gt; "",IFERROR(IF(PAAR!$B$10="English",PAAR!$C93,IF(PAAR!$B$10="Français",_xlfn.XLOOKUP(PAAR!$C93,Interventions!$I$11:$I$288,Interventions!$B$11:$B$288,0,0,1),IF(PAAR!$B$10="Español",_xlfn.XLOOKUP(PAAR!$C93,Interventions!$J$11:$J$288,Interventions!$B$11:$B$288,0,0,1)))),0),""),"")</f>
        <v/>
      </c>
      <c r="D93" s="91" t="str">
        <f>IF(PAAR!$D93&lt;&gt;"", PAAR!$D93,"")</f>
        <v/>
      </c>
      <c r="E93" s="90" t="str">
        <f>IF(PAAR!$E93&lt;&gt;"",PAAR!$E93,"")</f>
        <v/>
      </c>
      <c r="F93" s="67"/>
      <c r="G93" s="68"/>
      <c r="H93" s="15"/>
      <c r="I93" s="90" t="str">
        <f>IF(ISBLANK(H93),"",IF(IF(Modules!$D$4="EUR",ROUND($K93*(Modules!$B$5),0),$K93)=0,0,IF(Modules!$D$4="EUR",ROUND($K93*(Modules!$B$5),0),$K93)))</f>
        <v/>
      </c>
      <c r="J93" s="67"/>
      <c r="K93" s="74">
        <f t="shared" si="0"/>
        <v>0</v>
      </c>
    </row>
    <row r="94" spans="1:11" ht="45.5" customHeight="1" x14ac:dyDescent="0.2">
      <c r="A94" s="82" t="str">
        <f>IF(NOT(ISBLANK(PAAR!$A94)),IF(PAAR!$A94 &lt;&gt; "",IFERROR(IF(PAAR!$B$10="English",PAAR!$A94,IF(PAAR!$B$10="Français",VLOOKUP(PAAR!$A94,For_EN[],3,0),IF(PAAR!$B$10="Español",VLOOKUP(PAAR!$A94,For_EN[[Español]:[English]],2,0)))),0),""),"")</f>
        <v/>
      </c>
      <c r="B94" s="82" t="str">
        <f>IF(NOT(ISBLANK(PAAR!$B94)),IF(PAAR!$B94 &lt;&gt; "",IFERROR(IF(PAAR!$B$10="English",PAAR!$B94,IF(PAAR!$B$10="Français",VLOOKUP(PAAR!$B94,Modules!$C$11:$G$83,3,0),IF(PAAR!$B$10="Español",VLOOKUP(PAAR!$B94,Modules!$C$11:$G$83,3,0)))),0),""),"")</f>
        <v/>
      </c>
      <c r="C94" s="82" t="str">
        <f>IF(NOT(ISBLANK(PAAR!$C94)),IF(PAAR!$C94 &lt;&gt; "",IFERROR(IF(PAAR!$B$10="English",PAAR!$C94,IF(PAAR!$B$10="Français",_xlfn.XLOOKUP(PAAR!$C94,Interventions!$I$11:$I$288,Interventions!$B$11:$B$288,0,0,1),IF(PAAR!$B$10="Español",_xlfn.XLOOKUP(PAAR!$C94,Interventions!$J$11:$J$288,Interventions!$B$11:$B$288,0,0,1)))),0),""),"")</f>
        <v/>
      </c>
      <c r="D94" s="91" t="str">
        <f>IF(PAAR!$D94&lt;&gt;"", PAAR!$D94,"")</f>
        <v/>
      </c>
      <c r="E94" s="90" t="str">
        <f>IF(PAAR!$E94&lt;&gt;"",PAAR!$E94,"")</f>
        <v/>
      </c>
      <c r="F94" s="67"/>
      <c r="G94" s="68"/>
      <c r="H94" s="15"/>
      <c r="I94" s="90" t="str">
        <f>IF(ISBLANK(H94),"",IF(IF(Modules!$D$4="EUR",ROUND($K94*(Modules!$B$5),0),$K94)=0,0,IF(Modules!$D$4="EUR",ROUND($K94*(Modules!$B$5),0),$K94)))</f>
        <v/>
      </c>
      <c r="J94" s="67"/>
      <c r="K94" s="74">
        <f t="shared" ref="K94:K116" si="1">ROUND($H94,0)</f>
        <v>0</v>
      </c>
    </row>
    <row r="95" spans="1:11" ht="45.5" customHeight="1" x14ac:dyDescent="0.2">
      <c r="A95" s="82" t="str">
        <f>IF(NOT(ISBLANK(PAAR!$A95)),IF(PAAR!$A95 &lt;&gt; "",IFERROR(IF(PAAR!$B$10="English",PAAR!$A95,IF(PAAR!$B$10="Français",VLOOKUP(PAAR!$A95,For_EN[],3,0),IF(PAAR!$B$10="Español",VLOOKUP(PAAR!$A95,For_EN[[Español]:[English]],2,0)))),0),""),"")</f>
        <v/>
      </c>
      <c r="B95" s="82" t="str">
        <f>IF(NOT(ISBLANK(PAAR!$B95)),IF(PAAR!$B95 &lt;&gt; "",IFERROR(IF(PAAR!$B$10="English",PAAR!$B95,IF(PAAR!$B$10="Français",VLOOKUP(PAAR!$B95,Modules!$C$11:$G$83,3,0),IF(PAAR!$B$10="Español",VLOOKUP(PAAR!$B95,Modules!$C$11:$G$83,3,0)))),0),""),"")</f>
        <v/>
      </c>
      <c r="C95" s="82" t="str">
        <f>IF(NOT(ISBLANK(PAAR!$C95)),IF(PAAR!$C95 &lt;&gt; "",IFERROR(IF(PAAR!$B$10="English",PAAR!$C95,IF(PAAR!$B$10="Français",_xlfn.XLOOKUP(PAAR!$C95,Interventions!$I$11:$I$288,Interventions!$B$11:$B$288,0,0,1),IF(PAAR!$B$10="Español",_xlfn.XLOOKUP(PAAR!$C95,Interventions!$J$11:$J$288,Interventions!$B$11:$B$288,0,0,1)))),0),""),"")</f>
        <v/>
      </c>
      <c r="D95" s="91" t="str">
        <f>IF(PAAR!$D95&lt;&gt;"", PAAR!$D95,"")</f>
        <v/>
      </c>
      <c r="E95" s="90" t="str">
        <f>IF(PAAR!$E95&lt;&gt;"",PAAR!$E95,"")</f>
        <v/>
      </c>
      <c r="F95" s="67"/>
      <c r="G95" s="68"/>
      <c r="H95" s="15"/>
      <c r="I95" s="90" t="str">
        <f>IF(ISBLANK(H95),"",IF(IF(Modules!$D$4="EUR",ROUND($K95*(Modules!$B$5),0),$K95)=0,0,IF(Modules!$D$4="EUR",ROUND($K95*(Modules!$B$5),0),$K95)))</f>
        <v/>
      </c>
      <c r="J95" s="67"/>
      <c r="K95" s="74">
        <f t="shared" si="1"/>
        <v>0</v>
      </c>
    </row>
    <row r="96" spans="1:11" ht="45.5" customHeight="1" x14ac:dyDescent="0.2">
      <c r="A96" s="82" t="str">
        <f>IF(NOT(ISBLANK(PAAR!$A96)),IF(PAAR!$A96 &lt;&gt; "",IFERROR(IF(PAAR!$B$10="English",PAAR!$A96,IF(PAAR!$B$10="Français",VLOOKUP(PAAR!$A96,For_EN[],3,0),IF(PAAR!$B$10="Español",VLOOKUP(PAAR!$A96,For_EN[[Español]:[English]],2,0)))),0),""),"")</f>
        <v/>
      </c>
      <c r="B96" s="82" t="str">
        <f>IF(NOT(ISBLANK(PAAR!$B96)),IF(PAAR!$B96 &lt;&gt; "",IFERROR(IF(PAAR!$B$10="English",PAAR!$B96,IF(PAAR!$B$10="Français",VLOOKUP(PAAR!$B96,Modules!$C$11:$G$83,3,0),IF(PAAR!$B$10="Español",VLOOKUP(PAAR!$B96,Modules!$C$11:$G$83,3,0)))),0),""),"")</f>
        <v/>
      </c>
      <c r="C96" s="82" t="str">
        <f>IF(NOT(ISBLANK(PAAR!$C96)),IF(PAAR!$C96 &lt;&gt; "",IFERROR(IF(PAAR!$B$10="English",PAAR!$C96,IF(PAAR!$B$10="Français",_xlfn.XLOOKUP(PAAR!$C96,Interventions!$I$11:$I$288,Interventions!$B$11:$B$288,0,0,1),IF(PAAR!$B$10="Español",_xlfn.XLOOKUP(PAAR!$C96,Interventions!$J$11:$J$288,Interventions!$B$11:$B$288,0,0,1)))),0),""),"")</f>
        <v/>
      </c>
      <c r="D96" s="91" t="str">
        <f>IF(PAAR!$D96&lt;&gt;"", PAAR!$D96,"")</f>
        <v/>
      </c>
      <c r="E96" s="90" t="str">
        <f>IF(PAAR!$E96&lt;&gt;"",PAAR!$E96,"")</f>
        <v/>
      </c>
      <c r="F96" s="67"/>
      <c r="G96" s="68"/>
      <c r="H96" s="15"/>
      <c r="I96" s="90" t="str">
        <f>IF(ISBLANK(H96),"",IF(IF(Modules!$D$4="EUR",ROUND($K96*(Modules!$B$5),0),$K96)=0,0,IF(Modules!$D$4="EUR",ROUND($K96*(Modules!$B$5),0),$K96)))</f>
        <v/>
      </c>
      <c r="J96" s="67"/>
      <c r="K96" s="74">
        <f t="shared" si="1"/>
        <v>0</v>
      </c>
    </row>
    <row r="97" spans="1:11" ht="45.5" customHeight="1" x14ac:dyDescent="0.2">
      <c r="A97" s="82" t="str">
        <f>IF(NOT(ISBLANK(PAAR!$A97)),IF(PAAR!$A97 &lt;&gt; "",IFERROR(IF(PAAR!$B$10="English",PAAR!$A97,IF(PAAR!$B$10="Français",VLOOKUP(PAAR!$A97,For_EN[],3,0),IF(PAAR!$B$10="Español",VLOOKUP(PAAR!$A97,For_EN[[Español]:[English]],2,0)))),0),""),"")</f>
        <v/>
      </c>
      <c r="B97" s="82" t="str">
        <f>IF(NOT(ISBLANK(PAAR!$B97)),IF(PAAR!$B97 &lt;&gt; "",IFERROR(IF(PAAR!$B$10="English",PAAR!$B97,IF(PAAR!$B$10="Français",VLOOKUP(PAAR!$B97,Modules!$C$11:$G$83,3,0),IF(PAAR!$B$10="Español",VLOOKUP(PAAR!$B97,Modules!$C$11:$G$83,3,0)))),0),""),"")</f>
        <v/>
      </c>
      <c r="C97" s="82" t="str">
        <f>IF(NOT(ISBLANK(PAAR!$C97)),IF(PAAR!$C97 &lt;&gt; "",IFERROR(IF(PAAR!$B$10="English",PAAR!$C97,IF(PAAR!$B$10="Français",_xlfn.XLOOKUP(PAAR!$C97,Interventions!$I$11:$I$288,Interventions!$B$11:$B$288,0,0,1),IF(PAAR!$B$10="Español",_xlfn.XLOOKUP(PAAR!$C97,Interventions!$J$11:$J$288,Interventions!$B$11:$B$288,0,0,1)))),0),""),"")</f>
        <v/>
      </c>
      <c r="D97" s="91" t="str">
        <f>IF(PAAR!$D97&lt;&gt;"", PAAR!$D97,"")</f>
        <v/>
      </c>
      <c r="E97" s="90" t="str">
        <f>IF(PAAR!$E97&lt;&gt;"",PAAR!$E97,"")</f>
        <v/>
      </c>
      <c r="F97" s="67"/>
      <c r="G97" s="68"/>
      <c r="H97" s="15"/>
      <c r="I97" s="90" t="str">
        <f>IF(ISBLANK(H97),"",IF(IF(Modules!$D$4="EUR",ROUND($K97*(Modules!$B$5),0),$K97)=0,0,IF(Modules!$D$4="EUR",ROUND($K97*(Modules!$B$5),0),$K97)))</f>
        <v/>
      </c>
      <c r="J97" s="67"/>
      <c r="K97" s="74">
        <f t="shared" si="1"/>
        <v>0</v>
      </c>
    </row>
    <row r="98" spans="1:11" ht="45.5" customHeight="1" x14ac:dyDescent="0.2">
      <c r="A98" s="82" t="str">
        <f>IF(NOT(ISBLANK(PAAR!$A98)),IF(PAAR!$A98 &lt;&gt; "",IFERROR(IF(PAAR!$B$10="English",PAAR!$A98,IF(PAAR!$B$10="Français",VLOOKUP(PAAR!$A98,For_EN[],3,0),IF(PAAR!$B$10="Español",VLOOKUP(PAAR!$A98,For_EN[[Español]:[English]],2,0)))),0),""),"")</f>
        <v/>
      </c>
      <c r="B98" s="82" t="str">
        <f>IF(NOT(ISBLANK(PAAR!$B98)),IF(PAAR!$B98 &lt;&gt; "",IFERROR(IF(PAAR!$B$10="English",PAAR!$B98,IF(PAAR!$B$10="Français",VLOOKUP(PAAR!$B98,Modules!$C$11:$G$83,3,0),IF(PAAR!$B$10="Español",VLOOKUP(PAAR!$B98,Modules!$C$11:$G$83,3,0)))),0),""),"")</f>
        <v/>
      </c>
      <c r="C98" s="82" t="str">
        <f>IF(NOT(ISBLANK(PAAR!$C98)),IF(PAAR!$C98 &lt;&gt; "",IFERROR(IF(PAAR!$B$10="English",PAAR!$C98,IF(PAAR!$B$10="Français",_xlfn.XLOOKUP(PAAR!$C98,Interventions!$I$11:$I$288,Interventions!$B$11:$B$288,0,0,1),IF(PAAR!$B$10="Español",_xlfn.XLOOKUP(PAAR!$C98,Interventions!$J$11:$J$288,Interventions!$B$11:$B$288,0,0,1)))),0),""),"")</f>
        <v/>
      </c>
      <c r="D98" s="91" t="str">
        <f>IF(PAAR!$D98&lt;&gt;"", PAAR!$D98,"")</f>
        <v/>
      </c>
      <c r="E98" s="90" t="str">
        <f>IF(PAAR!$E98&lt;&gt;"",PAAR!$E98,"")</f>
        <v/>
      </c>
      <c r="F98" s="67"/>
      <c r="G98" s="68"/>
      <c r="H98" s="15"/>
      <c r="I98" s="90" t="str">
        <f>IF(ISBLANK(H98),"",IF(IF(Modules!$D$4="EUR",ROUND($K98*(Modules!$B$5),0),$K98)=0,0,IF(Modules!$D$4="EUR",ROUND($K98*(Modules!$B$5),0),$K98)))</f>
        <v/>
      </c>
      <c r="J98" s="67"/>
      <c r="K98" s="74">
        <f t="shared" si="1"/>
        <v>0</v>
      </c>
    </row>
    <row r="99" spans="1:11" ht="45.5" customHeight="1" x14ac:dyDescent="0.2">
      <c r="A99" s="82" t="str">
        <f>IF(NOT(ISBLANK(PAAR!$A99)),IF(PAAR!$A99 &lt;&gt; "",IFERROR(IF(PAAR!$B$10="English",PAAR!$A99,IF(PAAR!$B$10="Français",VLOOKUP(PAAR!$A99,For_EN[],3,0),IF(PAAR!$B$10="Español",VLOOKUP(PAAR!$A99,For_EN[[Español]:[English]],2,0)))),0),""),"")</f>
        <v/>
      </c>
      <c r="B99" s="82" t="str">
        <f>IF(NOT(ISBLANK(PAAR!$B99)),IF(PAAR!$B99 &lt;&gt; "",IFERROR(IF(PAAR!$B$10="English",PAAR!$B99,IF(PAAR!$B$10="Français",VLOOKUP(PAAR!$B99,Modules!$C$11:$G$83,3,0),IF(PAAR!$B$10="Español",VLOOKUP(PAAR!$B99,Modules!$C$11:$G$83,3,0)))),0),""),"")</f>
        <v/>
      </c>
      <c r="C99" s="82" t="str">
        <f>IF(NOT(ISBLANK(PAAR!$C99)),IF(PAAR!$C99 &lt;&gt; "",IFERROR(IF(PAAR!$B$10="English",PAAR!$C99,IF(PAAR!$B$10="Français",_xlfn.XLOOKUP(PAAR!$C99,Interventions!$I$11:$I$288,Interventions!$B$11:$B$288,0,0,1),IF(PAAR!$B$10="Español",_xlfn.XLOOKUP(PAAR!$C99,Interventions!$J$11:$J$288,Interventions!$B$11:$B$288,0,0,1)))),0),""),"")</f>
        <v/>
      </c>
      <c r="D99" s="91" t="str">
        <f>IF(PAAR!$D99&lt;&gt;"", PAAR!$D99,"")</f>
        <v/>
      </c>
      <c r="E99" s="90" t="str">
        <f>IF(PAAR!$E99&lt;&gt;"",PAAR!$E99,"")</f>
        <v/>
      </c>
      <c r="F99" s="67"/>
      <c r="G99" s="68"/>
      <c r="H99" s="15"/>
      <c r="I99" s="90" t="str">
        <f>IF(ISBLANK(H99),"",IF(IF(Modules!$D$4="EUR",ROUND($K99*(Modules!$B$5),0),$K99)=0,0,IF(Modules!$D$4="EUR",ROUND($K99*(Modules!$B$5),0),$K99)))</f>
        <v/>
      </c>
      <c r="J99" s="67"/>
      <c r="K99" s="74">
        <f t="shared" si="1"/>
        <v>0</v>
      </c>
    </row>
    <row r="100" spans="1:11" ht="45.5" customHeight="1" x14ac:dyDescent="0.2">
      <c r="A100" s="82" t="str">
        <f>IF(NOT(ISBLANK(PAAR!$A100)),IF(PAAR!$A100 &lt;&gt; "",IFERROR(IF(PAAR!$B$10="English",PAAR!$A100,IF(PAAR!$B$10="Français",VLOOKUP(PAAR!$A100,For_EN[],3,0),IF(PAAR!$B$10="Español",VLOOKUP(PAAR!$A100,For_EN[[Español]:[English]],2,0)))),0),""),"")</f>
        <v/>
      </c>
      <c r="B100" s="82" t="str">
        <f>IF(NOT(ISBLANK(PAAR!$B100)),IF(PAAR!$B100 &lt;&gt; "",IFERROR(IF(PAAR!$B$10="English",PAAR!$B100,IF(PAAR!$B$10="Français",VLOOKUP(PAAR!$B100,Modules!$C$11:$G$83,3,0),IF(PAAR!$B$10="Español",VLOOKUP(PAAR!$B100,Modules!$C$11:$G$83,3,0)))),0),""),"")</f>
        <v/>
      </c>
      <c r="C100" s="82" t="str">
        <f>IF(NOT(ISBLANK(PAAR!$C100)),IF(PAAR!$C100 &lt;&gt; "",IFERROR(IF(PAAR!$B$10="English",PAAR!$C100,IF(PAAR!$B$10="Français",_xlfn.XLOOKUP(PAAR!$C100,Interventions!$I$11:$I$288,Interventions!$B$11:$B$288,0,0,1),IF(PAAR!$B$10="Español",_xlfn.XLOOKUP(PAAR!$C100,Interventions!$J$11:$J$288,Interventions!$B$11:$B$288,0,0,1)))),0),""),"")</f>
        <v/>
      </c>
      <c r="D100" s="91" t="str">
        <f>IF(PAAR!$D100&lt;&gt;"", PAAR!$D100,"")</f>
        <v/>
      </c>
      <c r="E100" s="90" t="str">
        <f>IF(PAAR!$E100&lt;&gt;"",PAAR!$E100,"")</f>
        <v/>
      </c>
      <c r="F100" s="67"/>
      <c r="G100" s="68"/>
      <c r="H100" s="15"/>
      <c r="I100" s="90" t="str">
        <f>IF(ISBLANK(H100),"",IF(IF(Modules!$D$4="EUR",ROUND($K100*(Modules!$B$5),0),$K100)=0,0,IF(Modules!$D$4="EUR",ROUND($K100*(Modules!$B$5),0),$K100)))</f>
        <v/>
      </c>
      <c r="J100" s="67"/>
      <c r="K100" s="74">
        <f t="shared" si="1"/>
        <v>0</v>
      </c>
    </row>
    <row r="101" spans="1:11" ht="45.5" customHeight="1" x14ac:dyDescent="0.2">
      <c r="A101" s="82" t="str">
        <f>IF(NOT(ISBLANK(PAAR!$A101)),IF(PAAR!$A101 &lt;&gt; "",IFERROR(IF(PAAR!$B$10="English",PAAR!$A101,IF(PAAR!$B$10="Français",VLOOKUP(PAAR!$A101,For_EN[],3,0),IF(PAAR!$B$10="Español",VLOOKUP(PAAR!$A101,For_EN[[Español]:[English]],2,0)))),0),""),"")</f>
        <v/>
      </c>
      <c r="B101" s="82" t="str">
        <f>IF(NOT(ISBLANK(PAAR!$B101)),IF(PAAR!$B101 &lt;&gt; "",IFERROR(IF(PAAR!$B$10="English",PAAR!$B101,IF(PAAR!$B$10="Français",VLOOKUP(PAAR!$B101,Modules!$C$11:$G$83,3,0),IF(PAAR!$B$10="Español",VLOOKUP(PAAR!$B101,Modules!$C$11:$G$83,3,0)))),0),""),"")</f>
        <v/>
      </c>
      <c r="C101" s="82" t="str">
        <f>IF(NOT(ISBLANK(PAAR!$C101)),IF(PAAR!$C101 &lt;&gt; "",IFERROR(IF(PAAR!$B$10="English",PAAR!$C101,IF(PAAR!$B$10="Français",_xlfn.XLOOKUP(PAAR!$C101,Interventions!$I$11:$I$288,Interventions!$B$11:$B$288,0,0,1),IF(PAAR!$B$10="Español",_xlfn.XLOOKUP(PAAR!$C101,Interventions!$J$11:$J$288,Interventions!$B$11:$B$288,0,0,1)))),0),""),"")</f>
        <v/>
      </c>
      <c r="D101" s="91" t="str">
        <f>IF(PAAR!$D101&lt;&gt;"", PAAR!$D101,"")</f>
        <v/>
      </c>
      <c r="E101" s="90" t="str">
        <f>IF(PAAR!$E101&lt;&gt;"",PAAR!$E101,"")</f>
        <v/>
      </c>
      <c r="F101" s="67"/>
      <c r="G101" s="68"/>
      <c r="H101" s="15"/>
      <c r="I101" s="90" t="str">
        <f>IF(ISBLANK(H101),"",IF(IF(Modules!$D$4="EUR",ROUND($K101*(Modules!$B$5),0),$K101)=0,0,IF(Modules!$D$4="EUR",ROUND($K101*(Modules!$B$5),0),$K101)))</f>
        <v/>
      </c>
      <c r="J101" s="67"/>
      <c r="K101" s="74">
        <f t="shared" si="1"/>
        <v>0</v>
      </c>
    </row>
    <row r="102" spans="1:11" ht="45.5" customHeight="1" x14ac:dyDescent="0.2">
      <c r="A102" s="82" t="str">
        <f>IF(NOT(ISBLANK(PAAR!$A102)),IF(PAAR!$A102 &lt;&gt; "",IFERROR(IF(PAAR!$B$10="English",PAAR!$A102,IF(PAAR!$B$10="Français",VLOOKUP(PAAR!$A102,For_EN[],3,0),IF(PAAR!$B$10="Español",VLOOKUP(PAAR!$A102,For_EN[[Español]:[English]],2,0)))),0),""),"")</f>
        <v/>
      </c>
      <c r="B102" s="82" t="str">
        <f>IF(NOT(ISBLANK(PAAR!$B102)),IF(PAAR!$B102 &lt;&gt; "",IFERROR(IF(PAAR!$B$10="English",PAAR!$B102,IF(PAAR!$B$10="Français",VLOOKUP(PAAR!$B102,Modules!$C$11:$G$83,3,0),IF(PAAR!$B$10="Español",VLOOKUP(PAAR!$B102,Modules!$C$11:$G$83,3,0)))),0),""),"")</f>
        <v/>
      </c>
      <c r="C102" s="82" t="str">
        <f>IF(NOT(ISBLANK(PAAR!$C102)),IF(PAAR!$C102 &lt;&gt; "",IFERROR(IF(PAAR!$B$10="English",PAAR!$C102,IF(PAAR!$B$10="Français",_xlfn.XLOOKUP(PAAR!$C102,Interventions!$I$11:$I$288,Interventions!$B$11:$B$288,0,0,1),IF(PAAR!$B$10="Español",_xlfn.XLOOKUP(PAAR!$C102,Interventions!$J$11:$J$288,Interventions!$B$11:$B$288,0,0,1)))),0),""),"")</f>
        <v/>
      </c>
      <c r="D102" s="91" t="str">
        <f>IF(PAAR!$D102&lt;&gt;"", PAAR!$D102,"")</f>
        <v/>
      </c>
      <c r="E102" s="90" t="str">
        <f>IF(PAAR!$E102&lt;&gt;"",PAAR!$E102,"")</f>
        <v/>
      </c>
      <c r="F102" s="67"/>
      <c r="G102" s="68"/>
      <c r="H102" s="15"/>
      <c r="I102" s="90" t="str">
        <f>IF(ISBLANK(H102),"",IF(IF(Modules!$D$4="EUR",ROUND($K102*(Modules!$B$5),0),$K102)=0,0,IF(Modules!$D$4="EUR",ROUND($K102*(Modules!$B$5),0),$K102)))</f>
        <v/>
      </c>
      <c r="J102" s="67"/>
      <c r="K102" s="74">
        <f t="shared" si="1"/>
        <v>0</v>
      </c>
    </row>
    <row r="103" spans="1:11" ht="45.5" customHeight="1" x14ac:dyDescent="0.2">
      <c r="A103" s="82" t="str">
        <f>IF(NOT(ISBLANK(PAAR!$A103)),IF(PAAR!$A103 &lt;&gt; "",IFERROR(IF(PAAR!$B$10="English",PAAR!$A103,IF(PAAR!$B$10="Français",VLOOKUP(PAAR!$A103,For_EN[],3,0),IF(PAAR!$B$10="Español",VLOOKUP(PAAR!$A103,For_EN[[Español]:[English]],2,0)))),0),""),"")</f>
        <v/>
      </c>
      <c r="B103" s="82" t="str">
        <f>IF(NOT(ISBLANK(PAAR!$B103)),IF(PAAR!$B103 &lt;&gt; "",IFERROR(IF(PAAR!$B$10="English",PAAR!$B103,IF(PAAR!$B$10="Français",VLOOKUP(PAAR!$B103,Modules!$C$11:$G$83,3,0),IF(PAAR!$B$10="Español",VLOOKUP(PAAR!$B103,Modules!$C$11:$G$83,3,0)))),0),""),"")</f>
        <v/>
      </c>
      <c r="C103" s="82" t="str">
        <f>IF(NOT(ISBLANK(PAAR!$C103)),IF(PAAR!$C103 &lt;&gt; "",IFERROR(IF(PAAR!$B$10="English",PAAR!$C103,IF(PAAR!$B$10="Français",_xlfn.XLOOKUP(PAAR!$C103,Interventions!$I$11:$I$288,Interventions!$B$11:$B$288,0,0,1),IF(PAAR!$B$10="Español",_xlfn.XLOOKUP(PAAR!$C103,Interventions!$J$11:$J$288,Interventions!$B$11:$B$288,0,0,1)))),0),""),"")</f>
        <v/>
      </c>
      <c r="D103" s="91" t="str">
        <f>IF(PAAR!$D103&lt;&gt;"", PAAR!$D103,"")</f>
        <v/>
      </c>
      <c r="E103" s="90" t="str">
        <f>IF(PAAR!$E103&lt;&gt;"",PAAR!$E103,"")</f>
        <v/>
      </c>
      <c r="F103" s="67"/>
      <c r="G103" s="68"/>
      <c r="H103" s="15"/>
      <c r="I103" s="90" t="str">
        <f>IF(ISBLANK(H103),"",IF(IF(Modules!$D$4="EUR",ROUND($K103*(Modules!$B$5),0),$K103)=0,0,IF(Modules!$D$4="EUR",ROUND($K103*(Modules!$B$5),0),$K103)))</f>
        <v/>
      </c>
      <c r="J103" s="67"/>
      <c r="K103" s="74">
        <f t="shared" si="1"/>
        <v>0</v>
      </c>
    </row>
    <row r="104" spans="1:11" ht="45.5" customHeight="1" x14ac:dyDescent="0.2">
      <c r="A104" s="82" t="str">
        <f>IF(NOT(ISBLANK(PAAR!$A104)),IF(PAAR!$A104 &lt;&gt; "",IFERROR(IF(PAAR!$B$10="English",PAAR!$A104,IF(PAAR!$B$10="Français",VLOOKUP(PAAR!$A104,For_EN[],3,0),IF(PAAR!$B$10="Español",VLOOKUP(PAAR!$A104,For_EN[[Español]:[English]],2,0)))),0),""),"")</f>
        <v/>
      </c>
      <c r="B104" s="82" t="str">
        <f>IF(NOT(ISBLANK(PAAR!$B104)),IF(PAAR!$B104 &lt;&gt; "",IFERROR(IF(PAAR!$B$10="English",PAAR!$B104,IF(PAAR!$B$10="Français",VLOOKUP(PAAR!$B104,Modules!$C$11:$G$83,3,0),IF(PAAR!$B$10="Español",VLOOKUP(PAAR!$B104,Modules!$C$11:$G$83,3,0)))),0),""),"")</f>
        <v/>
      </c>
      <c r="C104" s="82" t="str">
        <f>IF(NOT(ISBLANK(PAAR!$C104)),IF(PAAR!$C104 &lt;&gt; "",IFERROR(IF(PAAR!$B$10="English",PAAR!$C104,IF(PAAR!$B$10="Français",_xlfn.XLOOKUP(PAAR!$C104,Interventions!$I$11:$I$288,Interventions!$B$11:$B$288,0,0,1),IF(PAAR!$B$10="Español",_xlfn.XLOOKUP(PAAR!$C104,Interventions!$J$11:$J$288,Interventions!$B$11:$B$288,0,0,1)))),0),""),"")</f>
        <v/>
      </c>
      <c r="D104" s="91" t="str">
        <f>IF(PAAR!$D104&lt;&gt;"", PAAR!$D104,"")</f>
        <v/>
      </c>
      <c r="E104" s="90" t="str">
        <f>IF(PAAR!$E104&lt;&gt;"",PAAR!$E104,"")</f>
        <v/>
      </c>
      <c r="F104" s="67"/>
      <c r="G104" s="68"/>
      <c r="H104" s="15"/>
      <c r="I104" s="90" t="str">
        <f>IF(ISBLANK(H104),"",IF(IF(Modules!$D$4="EUR",ROUND($K104*(Modules!$B$5),0),$K104)=0,0,IF(Modules!$D$4="EUR",ROUND($K104*(Modules!$B$5),0),$K104)))</f>
        <v/>
      </c>
      <c r="J104" s="67"/>
      <c r="K104" s="74">
        <f t="shared" si="1"/>
        <v>0</v>
      </c>
    </row>
    <row r="105" spans="1:11" ht="45.5" customHeight="1" x14ac:dyDescent="0.2">
      <c r="A105" s="82" t="str">
        <f>IF(NOT(ISBLANK(PAAR!$A105)),IF(PAAR!$A105 &lt;&gt; "",IFERROR(IF(PAAR!$B$10="English",PAAR!$A105,IF(PAAR!$B$10="Français",VLOOKUP(PAAR!$A105,For_EN[],3,0),IF(PAAR!$B$10="Español",VLOOKUP(PAAR!$A105,For_EN[[Español]:[English]],2,0)))),0),""),"")</f>
        <v/>
      </c>
      <c r="B105" s="82" t="str">
        <f>IF(NOT(ISBLANK(PAAR!$B105)),IF(PAAR!$B105 &lt;&gt; "",IFERROR(IF(PAAR!$B$10="English",PAAR!$B105,IF(PAAR!$B$10="Français",VLOOKUP(PAAR!$B105,Modules!$C$11:$G$83,3,0),IF(PAAR!$B$10="Español",VLOOKUP(PAAR!$B105,Modules!$C$11:$G$83,3,0)))),0),""),"")</f>
        <v/>
      </c>
      <c r="C105" s="82" t="str">
        <f>IF(NOT(ISBLANK(PAAR!$C105)),IF(PAAR!$C105 &lt;&gt; "",IFERROR(IF(PAAR!$B$10="English",PAAR!$C105,IF(PAAR!$B$10="Français",_xlfn.XLOOKUP(PAAR!$C105,Interventions!$I$11:$I$288,Interventions!$B$11:$B$288,0,0,1),IF(PAAR!$B$10="Español",_xlfn.XLOOKUP(PAAR!$C105,Interventions!$J$11:$J$288,Interventions!$B$11:$B$288,0,0,1)))),0),""),"")</f>
        <v/>
      </c>
      <c r="D105" s="91" t="str">
        <f>IF(PAAR!$D105&lt;&gt;"", PAAR!$D105,"")</f>
        <v/>
      </c>
      <c r="E105" s="90" t="str">
        <f>IF(PAAR!$E105&lt;&gt;"",PAAR!$E105,"")</f>
        <v/>
      </c>
      <c r="F105" s="67"/>
      <c r="G105" s="68"/>
      <c r="H105" s="15"/>
      <c r="I105" s="90" t="str">
        <f>IF(ISBLANK(H105),"",IF(IF(Modules!$D$4="EUR",ROUND($K105*(Modules!$B$5),0),$K105)=0,0,IF(Modules!$D$4="EUR",ROUND($K105*(Modules!$B$5),0),$K105)))</f>
        <v/>
      </c>
      <c r="J105" s="67"/>
      <c r="K105" s="74">
        <f t="shared" si="1"/>
        <v>0</v>
      </c>
    </row>
    <row r="106" spans="1:11" ht="45.5" customHeight="1" x14ac:dyDescent="0.2">
      <c r="A106" s="82" t="str">
        <f>IF(NOT(ISBLANK(PAAR!$A106)),IF(PAAR!$A106 &lt;&gt; "",IFERROR(IF(PAAR!$B$10="English",PAAR!$A106,IF(PAAR!$B$10="Français",VLOOKUP(PAAR!$A106,For_EN[],3,0),IF(PAAR!$B$10="Español",VLOOKUP(PAAR!$A106,For_EN[[Español]:[English]],2,0)))),0),""),"")</f>
        <v/>
      </c>
      <c r="B106" s="82" t="str">
        <f>IF(NOT(ISBLANK(PAAR!$B106)),IF(PAAR!$B106 &lt;&gt; "",IFERROR(IF(PAAR!$B$10="English",PAAR!$B106,IF(PAAR!$B$10="Français",VLOOKUP(PAAR!$B106,Modules!$C$11:$G$83,3,0),IF(PAAR!$B$10="Español",VLOOKUP(PAAR!$B106,Modules!$C$11:$G$83,3,0)))),0),""),"")</f>
        <v/>
      </c>
      <c r="C106" s="82" t="str">
        <f>IF(NOT(ISBLANK(PAAR!$C106)),IF(PAAR!$C106 &lt;&gt; "",IFERROR(IF(PAAR!$B$10="English",PAAR!$C106,IF(PAAR!$B$10="Français",_xlfn.XLOOKUP(PAAR!$C106,Interventions!$I$11:$I$288,Interventions!$B$11:$B$288,0,0,1),IF(PAAR!$B$10="Español",_xlfn.XLOOKUP(PAAR!$C106,Interventions!$J$11:$J$288,Interventions!$B$11:$B$288,0,0,1)))),0),""),"")</f>
        <v/>
      </c>
      <c r="D106" s="91" t="str">
        <f>IF(PAAR!$D106&lt;&gt;"", PAAR!$D106,"")</f>
        <v/>
      </c>
      <c r="E106" s="90" t="str">
        <f>IF(PAAR!$E106&lt;&gt;"",PAAR!$E106,"")</f>
        <v/>
      </c>
      <c r="F106" s="67"/>
      <c r="G106" s="68"/>
      <c r="H106" s="15"/>
      <c r="I106" s="90" t="str">
        <f>IF(ISBLANK(H106),"",IF(IF(Modules!$D$4="EUR",ROUND($K106*(Modules!$B$5),0),$K106)=0,0,IF(Modules!$D$4="EUR",ROUND($K106*(Modules!$B$5),0),$K106)))</f>
        <v/>
      </c>
      <c r="J106" s="67"/>
      <c r="K106" s="74">
        <f t="shared" si="1"/>
        <v>0</v>
      </c>
    </row>
    <row r="107" spans="1:11" ht="45.5" customHeight="1" x14ac:dyDescent="0.2">
      <c r="A107" s="82" t="str">
        <f>IF(NOT(ISBLANK(PAAR!$A107)),IF(PAAR!$A107 &lt;&gt; "",IFERROR(IF(PAAR!$B$10="English",PAAR!$A107,IF(PAAR!$B$10="Français",VLOOKUP(PAAR!$A107,For_EN[],3,0),IF(PAAR!$B$10="Español",VLOOKUP(PAAR!$A107,For_EN[[Español]:[English]],2,0)))),0),""),"")</f>
        <v/>
      </c>
      <c r="B107" s="82" t="str">
        <f>IF(NOT(ISBLANK(PAAR!$B107)),IF(PAAR!$B107 &lt;&gt; "",IFERROR(IF(PAAR!$B$10="English",PAAR!$B107,IF(PAAR!$B$10="Français",VLOOKUP(PAAR!$B107,Modules!$C$11:$G$83,3,0),IF(PAAR!$B$10="Español",VLOOKUP(PAAR!$B107,Modules!$C$11:$G$83,3,0)))),0),""),"")</f>
        <v/>
      </c>
      <c r="C107" s="82" t="str">
        <f>IF(NOT(ISBLANK(PAAR!$C107)),IF(PAAR!$C107 &lt;&gt; "",IFERROR(IF(PAAR!$B$10="English",PAAR!$C107,IF(PAAR!$B$10="Français",_xlfn.XLOOKUP(PAAR!$C107,Interventions!$I$11:$I$288,Interventions!$B$11:$B$288,0,0,1),IF(PAAR!$B$10="Español",_xlfn.XLOOKUP(PAAR!$C107,Interventions!$J$11:$J$288,Interventions!$B$11:$B$288,0,0,1)))),0),""),"")</f>
        <v/>
      </c>
      <c r="D107" s="91" t="str">
        <f>IF(PAAR!$D107&lt;&gt;"", PAAR!$D107,"")</f>
        <v/>
      </c>
      <c r="E107" s="90" t="str">
        <f>IF(PAAR!$E107&lt;&gt;"",PAAR!$E107,"")</f>
        <v/>
      </c>
      <c r="F107" s="67"/>
      <c r="G107" s="68"/>
      <c r="H107" s="15"/>
      <c r="I107" s="90" t="str">
        <f>IF(ISBLANK(H107),"",IF(IF(Modules!$D$4="EUR",ROUND($K107*(Modules!$B$5),0),$K107)=0,0,IF(Modules!$D$4="EUR",ROUND($K107*(Modules!$B$5),0),$K107)))</f>
        <v/>
      </c>
      <c r="J107" s="67"/>
      <c r="K107" s="74">
        <f t="shared" si="1"/>
        <v>0</v>
      </c>
    </row>
    <row r="108" spans="1:11" ht="45.5" customHeight="1" x14ac:dyDescent="0.2">
      <c r="A108" s="82" t="str">
        <f>IF(NOT(ISBLANK(PAAR!$A108)),IF(PAAR!$A108 &lt;&gt; "",IFERROR(IF(PAAR!$B$10="English",PAAR!$A108,IF(PAAR!$B$10="Français",VLOOKUP(PAAR!$A108,For_EN[],3,0),IF(PAAR!$B$10="Español",VLOOKUP(PAAR!$A108,For_EN[[Español]:[English]],2,0)))),0),""),"")</f>
        <v/>
      </c>
      <c r="B108" s="82" t="str">
        <f>IF(NOT(ISBLANK(PAAR!$B108)),IF(PAAR!$B108 &lt;&gt; "",IFERROR(IF(PAAR!$B$10="English",PAAR!$B108,IF(PAAR!$B$10="Français",VLOOKUP(PAAR!$B108,Modules!$C$11:$G$83,3,0),IF(PAAR!$B$10="Español",VLOOKUP(PAAR!$B108,Modules!$C$11:$G$83,3,0)))),0),""),"")</f>
        <v/>
      </c>
      <c r="C108" s="82" t="str">
        <f>IF(NOT(ISBLANK(PAAR!$C108)),IF(PAAR!$C108 &lt;&gt; "",IFERROR(IF(PAAR!$B$10="English",PAAR!$C108,IF(PAAR!$B$10="Français",_xlfn.XLOOKUP(PAAR!$C108,Interventions!$I$11:$I$288,Interventions!$B$11:$B$288,0,0,1),IF(PAAR!$B$10="Español",_xlfn.XLOOKUP(PAAR!$C108,Interventions!$J$11:$J$288,Interventions!$B$11:$B$288,0,0,1)))),0),""),"")</f>
        <v/>
      </c>
      <c r="D108" s="91" t="str">
        <f>IF(PAAR!$D108&lt;&gt;"", PAAR!$D108,"")</f>
        <v/>
      </c>
      <c r="E108" s="90" t="str">
        <f>IF(PAAR!$E108&lt;&gt;"",PAAR!$E108,"")</f>
        <v/>
      </c>
      <c r="F108" s="67"/>
      <c r="G108" s="68"/>
      <c r="H108" s="15"/>
      <c r="I108" s="90" t="str">
        <f>IF(ISBLANK(H108),"",IF(IF(Modules!$D$4="EUR",ROUND($K108*(Modules!$B$5),0),$K108)=0,0,IF(Modules!$D$4="EUR",ROUND($K108*(Modules!$B$5),0),$K108)))</f>
        <v/>
      </c>
      <c r="J108" s="67"/>
      <c r="K108" s="74">
        <f t="shared" si="1"/>
        <v>0</v>
      </c>
    </row>
    <row r="109" spans="1:11" ht="45.5" customHeight="1" x14ac:dyDescent="0.2">
      <c r="A109" s="82" t="str">
        <f>IF(NOT(ISBLANK(PAAR!$A109)),IF(PAAR!$A109 &lt;&gt; "",IFERROR(IF(PAAR!$B$10="English",PAAR!$A109,IF(PAAR!$B$10="Français",VLOOKUP(PAAR!$A109,For_EN[],3,0),IF(PAAR!$B$10="Español",VLOOKUP(PAAR!$A109,For_EN[[Español]:[English]],2,0)))),0),""),"")</f>
        <v/>
      </c>
      <c r="B109" s="82" t="str">
        <f>IF(NOT(ISBLANK(PAAR!$B109)),IF(PAAR!$B109 &lt;&gt; "",IFERROR(IF(PAAR!$B$10="English",PAAR!$B109,IF(PAAR!$B$10="Français",VLOOKUP(PAAR!$B109,Modules!$C$11:$G$83,3,0),IF(PAAR!$B$10="Español",VLOOKUP(PAAR!$B109,Modules!$C$11:$G$83,3,0)))),0),""),"")</f>
        <v/>
      </c>
      <c r="C109" s="82" t="str">
        <f>IF(NOT(ISBLANK(PAAR!$C109)),IF(PAAR!$C109 &lt;&gt; "",IFERROR(IF(PAAR!$B$10="English",PAAR!$C109,IF(PAAR!$B$10="Français",_xlfn.XLOOKUP(PAAR!$C109,Interventions!$I$11:$I$288,Interventions!$B$11:$B$288,0,0,1),IF(PAAR!$B$10="Español",_xlfn.XLOOKUP(PAAR!$C109,Interventions!$J$11:$J$288,Interventions!$B$11:$B$288,0,0,1)))),0),""),"")</f>
        <v/>
      </c>
      <c r="D109" s="91" t="str">
        <f>IF(PAAR!$D109&lt;&gt;"", PAAR!$D109,"")</f>
        <v/>
      </c>
      <c r="E109" s="90" t="str">
        <f>IF(PAAR!$E109&lt;&gt;"",PAAR!$E109,"")</f>
        <v/>
      </c>
      <c r="F109" s="67"/>
      <c r="G109" s="68"/>
      <c r="H109" s="15"/>
      <c r="I109" s="90" t="str">
        <f>IF(ISBLANK(H109),"",IF(IF(Modules!$D$4="EUR",ROUND($K109*(Modules!$B$5),0),$K109)=0,0,IF(Modules!$D$4="EUR",ROUND($K109*(Modules!$B$5),0),$K109)))</f>
        <v/>
      </c>
      <c r="J109" s="67"/>
      <c r="K109" s="74">
        <f t="shared" si="1"/>
        <v>0</v>
      </c>
    </row>
    <row r="110" spans="1:11" ht="45.5" customHeight="1" x14ac:dyDescent="0.2">
      <c r="A110" s="82" t="str">
        <f>IF(NOT(ISBLANK(PAAR!$A110)),IF(PAAR!$A110 &lt;&gt; "",IFERROR(IF(PAAR!$B$10="English",PAAR!$A110,IF(PAAR!$B$10="Français",VLOOKUP(PAAR!$A110,For_EN[],3,0),IF(PAAR!$B$10="Español",VLOOKUP(PAAR!$A110,For_EN[[Español]:[English]],2,0)))),0),""),"")</f>
        <v/>
      </c>
      <c r="B110" s="82" t="str">
        <f>IF(NOT(ISBLANK(PAAR!$B110)),IF(PAAR!$B110 &lt;&gt; "",IFERROR(IF(PAAR!$B$10="English",PAAR!$B110,IF(PAAR!$B$10="Français",VLOOKUP(PAAR!$B110,Modules!$C$11:$G$83,3,0),IF(PAAR!$B$10="Español",VLOOKUP(PAAR!$B110,Modules!$C$11:$G$83,3,0)))),0),""),"")</f>
        <v/>
      </c>
      <c r="C110" s="82" t="str">
        <f>IF(NOT(ISBLANK(PAAR!$C110)),IF(PAAR!$C110 &lt;&gt; "",IFERROR(IF(PAAR!$B$10="English",PAAR!$C110,IF(PAAR!$B$10="Français",_xlfn.XLOOKUP(PAAR!$C110,Interventions!$I$11:$I$288,Interventions!$B$11:$B$288,0,0,1),IF(PAAR!$B$10="Español",_xlfn.XLOOKUP(PAAR!$C110,Interventions!$J$11:$J$288,Interventions!$B$11:$B$288,0,0,1)))),0),""),"")</f>
        <v/>
      </c>
      <c r="D110" s="91" t="str">
        <f>IF(PAAR!$D110&lt;&gt;"", PAAR!$D110,"")</f>
        <v/>
      </c>
      <c r="E110" s="90" t="str">
        <f>IF(PAAR!$E110&lt;&gt;"",PAAR!$E110,"")</f>
        <v/>
      </c>
      <c r="F110" s="67"/>
      <c r="G110" s="68"/>
      <c r="H110" s="15"/>
      <c r="I110" s="90" t="str">
        <f>IF(ISBLANK(H110),"",IF(IF(Modules!$D$4="EUR",ROUND($K110*(Modules!$B$5),0),$K110)=0,0,IF(Modules!$D$4="EUR",ROUND($K110*(Modules!$B$5),0),$K110)))</f>
        <v/>
      </c>
      <c r="J110" s="67"/>
      <c r="K110" s="74">
        <f t="shared" si="1"/>
        <v>0</v>
      </c>
    </row>
    <row r="111" spans="1:11" ht="45.5" customHeight="1" x14ac:dyDescent="0.2">
      <c r="A111" s="82" t="str">
        <f>IF(NOT(ISBLANK(PAAR!$A111)),IF(PAAR!$A111 &lt;&gt; "",IFERROR(IF(PAAR!$B$10="English",PAAR!$A111,IF(PAAR!$B$10="Français",VLOOKUP(PAAR!$A111,For_EN[],3,0),IF(PAAR!$B$10="Español",VLOOKUP(PAAR!$A111,For_EN[[Español]:[English]],2,0)))),0),""),"")</f>
        <v/>
      </c>
      <c r="B111" s="82" t="str">
        <f>IF(NOT(ISBLANK(PAAR!$B111)),IF(PAAR!$B111 &lt;&gt; "",IFERROR(IF(PAAR!$B$10="English",PAAR!$B111,IF(PAAR!$B$10="Français",VLOOKUP(PAAR!$B111,Modules!$C$11:$G$83,3,0),IF(PAAR!$B$10="Español",VLOOKUP(PAAR!$B111,Modules!$C$11:$G$83,3,0)))),0),""),"")</f>
        <v/>
      </c>
      <c r="C111" s="82" t="str">
        <f>IF(NOT(ISBLANK(PAAR!$C111)),IF(PAAR!$C111 &lt;&gt; "",IFERROR(IF(PAAR!$B$10="English",PAAR!$C111,IF(PAAR!$B$10="Français",_xlfn.XLOOKUP(PAAR!$C111,Interventions!$I$11:$I$288,Interventions!$B$11:$B$288,0,0,1),IF(PAAR!$B$10="Español",_xlfn.XLOOKUP(PAAR!$C111,Interventions!$J$11:$J$288,Interventions!$B$11:$B$288,0,0,1)))),0),""),"")</f>
        <v/>
      </c>
      <c r="D111" s="91" t="str">
        <f>IF(PAAR!$D111&lt;&gt;"", PAAR!$D111,"")</f>
        <v/>
      </c>
      <c r="E111" s="90" t="str">
        <f>IF(PAAR!$E111&lt;&gt;"",PAAR!$E111,"")</f>
        <v/>
      </c>
      <c r="F111" s="67"/>
      <c r="G111" s="68"/>
      <c r="H111" s="15"/>
      <c r="I111" s="90" t="str">
        <f>IF(ISBLANK(H111),"",IF(IF(Modules!$D$4="EUR",ROUND($K111*(Modules!$B$5),0),$K111)=0,0,IF(Modules!$D$4="EUR",ROUND($K111*(Modules!$B$5),0),$K111)))</f>
        <v/>
      </c>
      <c r="J111" s="67"/>
      <c r="K111" s="74">
        <f t="shared" si="1"/>
        <v>0</v>
      </c>
    </row>
    <row r="112" spans="1:11" ht="45.5" customHeight="1" x14ac:dyDescent="0.2">
      <c r="A112" s="82" t="str">
        <f>IF(NOT(ISBLANK(PAAR!$A112)),IF(PAAR!$A112 &lt;&gt; "",IFERROR(IF(PAAR!$B$10="English",PAAR!$A112,IF(PAAR!$B$10="Français",VLOOKUP(PAAR!$A112,For_EN[],3,0),IF(PAAR!$B$10="Español",VLOOKUP(PAAR!$A112,For_EN[[Español]:[English]],2,0)))),0),""),"")</f>
        <v/>
      </c>
      <c r="B112" s="82" t="str">
        <f>IF(NOT(ISBLANK(PAAR!$B112)),IF(PAAR!$B112 &lt;&gt; "",IFERROR(IF(PAAR!$B$10="English",PAAR!$B112,IF(PAAR!$B$10="Français",VLOOKUP(PAAR!$B112,Modules!$C$11:$G$83,3,0),IF(PAAR!$B$10="Español",VLOOKUP(PAAR!$B112,Modules!$C$11:$G$83,3,0)))),0),""),"")</f>
        <v/>
      </c>
      <c r="C112" s="82" t="str">
        <f>IF(NOT(ISBLANK(PAAR!$C112)),IF(PAAR!$C112 &lt;&gt; "",IFERROR(IF(PAAR!$B$10="English",PAAR!$C112,IF(PAAR!$B$10="Français",_xlfn.XLOOKUP(PAAR!$C112,Interventions!$I$11:$I$288,Interventions!$B$11:$B$288,0,0,1),IF(PAAR!$B$10="Español",_xlfn.XLOOKUP(PAAR!$C112,Interventions!$J$11:$J$288,Interventions!$B$11:$B$288,0,0,1)))),0),""),"")</f>
        <v/>
      </c>
      <c r="D112" s="91" t="str">
        <f>IF(PAAR!$D112&lt;&gt;"", PAAR!$D112,"")</f>
        <v/>
      </c>
      <c r="E112" s="90" t="str">
        <f>IF(PAAR!$E112&lt;&gt;"",PAAR!$E112,"")</f>
        <v/>
      </c>
      <c r="F112" s="67"/>
      <c r="G112" s="68"/>
      <c r="H112" s="15"/>
      <c r="I112" s="90" t="str">
        <f>IF(ISBLANK(H112),"",IF(IF(Modules!$D$4="EUR",ROUND($K112*(Modules!$B$5),0),$K112)=0,0,IF(Modules!$D$4="EUR",ROUND($K112*(Modules!$B$5),0),$K112)))</f>
        <v/>
      </c>
      <c r="J112" s="67"/>
      <c r="K112" s="74">
        <f t="shared" si="1"/>
        <v>0</v>
      </c>
    </row>
    <row r="113" spans="1:11" ht="45.5" customHeight="1" x14ac:dyDescent="0.2">
      <c r="A113" s="82" t="str">
        <f>IF(NOT(ISBLANK(PAAR!$A113)),IF(PAAR!$A113 &lt;&gt; "",IFERROR(IF(PAAR!$B$10="English",PAAR!$A113,IF(PAAR!$B$10="Français",VLOOKUP(PAAR!$A113,For_EN[],3,0),IF(PAAR!$B$10="Español",VLOOKUP(PAAR!$A113,For_EN[[Español]:[English]],2,0)))),0),""),"")</f>
        <v/>
      </c>
      <c r="B113" s="82" t="str">
        <f>IF(NOT(ISBLANK(PAAR!$B113)),IF(PAAR!$B113 &lt;&gt; "",IFERROR(IF(PAAR!$B$10="English",PAAR!$B113,IF(PAAR!$B$10="Français",VLOOKUP(PAAR!$B113,Modules!$C$11:$G$83,3,0),IF(PAAR!$B$10="Español",VLOOKUP(PAAR!$B113,Modules!$C$11:$G$83,3,0)))),0),""),"")</f>
        <v/>
      </c>
      <c r="C113" s="82" t="str">
        <f>IF(NOT(ISBLANK(PAAR!$C113)),IF(PAAR!$C113 &lt;&gt; "",IFERROR(IF(PAAR!$B$10="English",PAAR!$C113,IF(PAAR!$B$10="Français",_xlfn.XLOOKUP(PAAR!$C113,Interventions!$I$11:$I$288,Interventions!$B$11:$B$288,0,0,1),IF(PAAR!$B$10="Español",_xlfn.XLOOKUP(PAAR!$C113,Interventions!$J$11:$J$288,Interventions!$B$11:$B$288,0,0,1)))),0),""),"")</f>
        <v/>
      </c>
      <c r="D113" s="91" t="str">
        <f>IF(PAAR!$D113&lt;&gt;"", PAAR!$D113,"")</f>
        <v/>
      </c>
      <c r="E113" s="90" t="str">
        <f>IF(PAAR!$E113&lt;&gt;"",PAAR!$E113,"")</f>
        <v/>
      </c>
      <c r="F113" s="67"/>
      <c r="G113" s="68"/>
      <c r="H113" s="15"/>
      <c r="I113" s="90" t="str">
        <f>IF(ISBLANK(H113),"",IF(IF(Modules!$D$4="EUR",ROUND($K113*(Modules!$B$5),0),$K113)=0,0,IF(Modules!$D$4="EUR",ROUND($K113*(Modules!$B$5),0),$K113)))</f>
        <v/>
      </c>
      <c r="J113" s="67"/>
      <c r="K113" s="74">
        <f t="shared" si="1"/>
        <v>0</v>
      </c>
    </row>
    <row r="114" spans="1:11" ht="45.5" customHeight="1" x14ac:dyDescent="0.2">
      <c r="A114" s="82" t="str">
        <f>IF(NOT(ISBLANK(PAAR!$A114)),IF(PAAR!$A114 &lt;&gt; "",IFERROR(IF(PAAR!$B$10="English",PAAR!$A114,IF(PAAR!$B$10="Français",VLOOKUP(PAAR!$A114,For_EN[],3,0),IF(PAAR!$B$10="Español",VLOOKUP(PAAR!$A114,For_EN[[Español]:[English]],2,0)))),0),""),"")</f>
        <v/>
      </c>
      <c r="B114" s="82" t="str">
        <f>IF(NOT(ISBLANK(PAAR!$B114)),IF(PAAR!$B114 &lt;&gt; "",IFERROR(IF(PAAR!$B$10="English",PAAR!$B114,IF(PAAR!$B$10="Français",VLOOKUP(PAAR!$B114,Modules!$C$11:$G$83,3,0),IF(PAAR!$B$10="Español",VLOOKUP(PAAR!$B114,Modules!$C$11:$G$83,3,0)))),0),""),"")</f>
        <v/>
      </c>
      <c r="C114" s="82" t="str">
        <f>IF(NOT(ISBLANK(PAAR!$C114)),IF(PAAR!$C114 &lt;&gt; "",IFERROR(IF(PAAR!$B$10="English",PAAR!$C114,IF(PAAR!$B$10="Français",_xlfn.XLOOKUP(PAAR!$C114,Interventions!$I$11:$I$288,Interventions!$B$11:$B$288,0,0,1),IF(PAAR!$B$10="Español",_xlfn.XLOOKUP(PAAR!$C114,Interventions!$J$11:$J$288,Interventions!$B$11:$B$288,0,0,1)))),0),""),"")</f>
        <v/>
      </c>
      <c r="D114" s="91" t="str">
        <f>IF(PAAR!$D114&lt;&gt;"", PAAR!$D114,"")</f>
        <v/>
      </c>
      <c r="E114" s="90" t="str">
        <f>IF(PAAR!$E114&lt;&gt;"",PAAR!$E114,"")</f>
        <v/>
      </c>
      <c r="F114" s="67"/>
      <c r="G114" s="68"/>
      <c r="H114" s="15"/>
      <c r="I114" s="90" t="str">
        <f>IF(ISBLANK(H114),"",IF(IF(Modules!$D$4="EUR",ROUND($K114*(Modules!$B$5),0),$K114)=0,0,IF(Modules!$D$4="EUR",ROUND($K114*(Modules!$B$5),0),$K114)))</f>
        <v/>
      </c>
      <c r="J114" s="67"/>
      <c r="K114" s="74">
        <f t="shared" si="1"/>
        <v>0</v>
      </c>
    </row>
    <row r="115" spans="1:11" ht="45.5" customHeight="1" x14ac:dyDescent="0.2">
      <c r="A115" s="82" t="str">
        <f>IF(NOT(ISBLANK(PAAR!$A115)),IF(PAAR!$A115 &lt;&gt; "",IFERROR(IF(PAAR!$B$10="English",PAAR!$A115,IF(PAAR!$B$10="Français",VLOOKUP(PAAR!$A115,For_EN[],3,0),IF(PAAR!$B$10="Español",VLOOKUP(PAAR!$A115,For_EN[[Español]:[English]],2,0)))),0),""),"")</f>
        <v/>
      </c>
      <c r="B115" s="82" t="str">
        <f>IF(NOT(ISBLANK(PAAR!$B115)),IF(PAAR!$B115 &lt;&gt; "",IFERROR(IF(PAAR!$B$10="English",PAAR!$B115,IF(PAAR!$B$10="Français",VLOOKUP(PAAR!$B115,Modules!$C$11:$G$83,3,0),IF(PAAR!$B$10="Español",VLOOKUP(PAAR!$B115,Modules!$C$11:$G$83,3,0)))),0),""),"")</f>
        <v/>
      </c>
      <c r="C115" s="82" t="str">
        <f>IF(NOT(ISBLANK(PAAR!$C115)),IF(PAAR!$C115 &lt;&gt; "",IFERROR(IF(PAAR!$B$10="English",PAAR!$C115,IF(PAAR!$B$10="Français",_xlfn.XLOOKUP(PAAR!$C115,Interventions!$I$11:$I$288,Interventions!$B$11:$B$288,0,0,1),IF(PAAR!$B$10="Español",_xlfn.XLOOKUP(PAAR!$C115,Interventions!$J$11:$J$288,Interventions!$B$11:$B$288,0,0,1)))),0),""),"")</f>
        <v/>
      </c>
      <c r="D115" s="91" t="str">
        <f>IF(PAAR!$D115&lt;&gt;"", PAAR!$D115,"")</f>
        <v/>
      </c>
      <c r="E115" s="90" t="str">
        <f>IF(PAAR!$E115&lt;&gt;"",PAAR!$E115,"")</f>
        <v/>
      </c>
      <c r="F115" s="67"/>
      <c r="G115" s="68"/>
      <c r="H115" s="15"/>
      <c r="I115" s="90" t="str">
        <f>IF(ISBLANK(H115),"",IF(IF(Modules!$D$4="EUR",ROUND($K115*(Modules!$B$5),0),$K115)=0,0,IF(Modules!$D$4="EUR",ROUND($K115*(Modules!$B$5),0),$K115)))</f>
        <v/>
      </c>
      <c r="J115" s="67"/>
      <c r="K115" s="74">
        <f t="shared" si="1"/>
        <v>0</v>
      </c>
    </row>
    <row r="116" spans="1:11" ht="45.5" customHeight="1" x14ac:dyDescent="0.2">
      <c r="A116" s="82" t="str">
        <f>IF(NOT(ISBLANK(PAAR!$A116)),IF(PAAR!$A116 &lt;&gt; "",IFERROR(IF(PAAR!$B$10="English",PAAR!$A116,IF(PAAR!$B$10="Français",VLOOKUP(PAAR!$A116,For_EN[],3,0),IF(PAAR!$B$10="Español",VLOOKUP(PAAR!$A116,For_EN[[Español]:[English]],2,0)))),0),""),"")</f>
        <v/>
      </c>
      <c r="B116" s="82" t="str">
        <f>IF(NOT(ISBLANK(PAAR!$B116)),IF(PAAR!$B116 &lt;&gt; "",IFERROR(IF(PAAR!$B$10="English",PAAR!$B116,IF(PAAR!$B$10="Français",VLOOKUP(PAAR!$B116,Modules!$C$11:$G$83,3,0),IF(PAAR!$B$10="Español",VLOOKUP(PAAR!$B116,Modules!$C$11:$G$83,3,0)))),0),""),"")</f>
        <v/>
      </c>
      <c r="C116" s="82" t="str">
        <f>IF(NOT(ISBLANK(PAAR!$C116)),IF(PAAR!$C116 &lt;&gt; "",IFERROR(IF(PAAR!$B$10="English",PAAR!$C116,IF(PAAR!$B$10="Français",_xlfn.XLOOKUP(PAAR!$C116,Interventions!$I$11:$I$288,Interventions!$B$11:$B$288,0,0,1),IF(PAAR!$B$10="Español",_xlfn.XLOOKUP(PAAR!$C116,Interventions!$J$11:$J$288,Interventions!$B$11:$B$288,0,0,1)))),0),""),"")</f>
        <v/>
      </c>
      <c r="D116" s="91" t="str">
        <f>IF(PAAR!$D116&lt;&gt;"", PAAR!$D116,"")</f>
        <v/>
      </c>
      <c r="E116" s="90" t="str">
        <f>IF(PAAR!$E116&lt;&gt;"",PAAR!$E116,"")</f>
        <v/>
      </c>
      <c r="F116" s="67"/>
      <c r="G116" s="68"/>
      <c r="H116" s="15"/>
      <c r="I116" s="90" t="str">
        <f>IF(ISBLANK(H116),"",IF(IF(Modules!$D$4="EUR",ROUND($K116*(Modules!$B$5),0),$K116)=0,0,IF(Modules!$D$4="EUR",ROUND($K116*(Modules!$B$5),0),$K116)))</f>
        <v/>
      </c>
      <c r="J116" s="67"/>
      <c r="K116" s="74">
        <f t="shared" si="1"/>
        <v>0</v>
      </c>
    </row>
    <row r="117" spans="1:11" ht="25.25" hidden="1" customHeight="1" x14ac:dyDescent="0.2">
      <c r="A117" s="11" t="s">
        <v>1085</v>
      </c>
      <c r="B117" s="11"/>
      <c r="C117" s="11"/>
      <c r="D117" s="12">
        <f>PAAR!D117</f>
        <v>13000000</v>
      </c>
      <c r="E117" s="12">
        <f>PAAR!E117</f>
        <v>13000000</v>
      </c>
      <c r="F117" s="13"/>
      <c r="G117" s="13"/>
      <c r="H117" s="12">
        <f>SUM($K$29:$K$116)</f>
        <v>0</v>
      </c>
      <c r="I117" s="12">
        <f>ROUND(SUM($I$29:$I$116),0)</f>
        <v>0</v>
      </c>
      <c r="J117" s="13"/>
      <c r="K117" s="75"/>
    </row>
  </sheetData>
  <sheetProtection algorithmName="SHA-512" hashValue="z7XDS6s5dyVrXmA7Pe700rolx2Skmou7To6Sc/gbQou0+JI1kUkpxlo+7S0PoCeQDqp4GgkSe9VMn4grE8FQJw==" saltValue="uhbkQusi/7XJL92IhWBPkQ==" spinCount="100000" sheet="1" formatCells="0" formatRows="0"/>
  <protectedRanges>
    <protectedRange algorithmName="SHA-1" hashValue="DKnNE0XwXjrrqMjLNdRzz4IkN1s=" saltValue="ubYIog4ZPFK1I3OMc5C0+g==" spinCount="100000" sqref="B13:C16" name="Protected Data"/>
  </protectedRanges>
  <mergeCells count="14">
    <mergeCell ref="A12:C12"/>
    <mergeCell ref="A21:J21"/>
    <mergeCell ref="A22:J24"/>
    <mergeCell ref="A26:J26"/>
    <mergeCell ref="A27:J27"/>
    <mergeCell ref="A20:J20"/>
    <mergeCell ref="B13:C13"/>
    <mergeCell ref="B14:C14"/>
    <mergeCell ref="B15:C15"/>
    <mergeCell ref="A4:J4"/>
    <mergeCell ref="A5:J5"/>
    <mergeCell ref="A6:B6"/>
    <mergeCell ref="A7:B7"/>
    <mergeCell ref="A8:B8"/>
  </mergeCells>
  <dataValidations count="4">
    <dataValidation operator="greaterThanOrEqual" allowBlank="1" showInputMessage="1" showErrorMessage="1" error="Please input numbers only" sqref="D29:E116 F29:F117 G117 K117" xr:uid="{00000000-0002-0000-0900-000000000000}"/>
    <dataValidation type="whole" operator="greaterThan" allowBlank="1" sqref="I29:I116" xr:uid="{00000000-0002-0000-0900-000001000000}">
      <formula1>0</formula1>
    </dataValidation>
    <dataValidation operator="greaterThanOrEqual" allowBlank="1" showInputMessage="1" showErrorMessage="1" sqref="J29:J116" xr:uid="{00000000-0002-0000-0900-000002000000}"/>
    <dataValidation type="whole" operator="greaterThanOrEqual" allowBlank="1" showInputMessage="1" showErrorMessage="1" errorTitle="Error" error="Please enter a whole number._x000a_Merci de soumettre un chiffre rond._x000a_Por favor introduce un número entero." sqref="H29:H116" xr:uid="{00000000-0002-0000-0900-000003000000}">
      <formula1>0</formula1>
    </dataValidation>
  </dataValidations>
  <pageMargins left="0.25" right="0.25" top="0.75" bottom="0.75" header="0.3" footer="0.3"/>
  <pageSetup paperSize="8" scale="49" fitToHeight="0" orientation="landscape" r:id="rId1"/>
  <headerFooter>
    <oddHeader>&amp;LThe Global Fund&amp;CPrioritized Above Allocation Request (PAAR)&amp;RAllocation Period 2023-2025</oddHeader>
    <oddFooter>Page &amp;P of &amp;N</oddFooter>
  </headerFooter>
  <rowBreaks count="2" manualBreakCount="2">
    <brk id="27" max="9" man="1"/>
    <brk id="58" max="9" man="1"/>
  </rowBreaks>
  <drawing r:id="rId2"/>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errorTitle="Error" error="Please select an option from the drop-down list._x000a_Veuillez sélectionner une option dans la liste déroulante._x000a_Por favor seleccione una opción de la lista desplegable." xr:uid="{00000000-0002-0000-0900-000004000000}">
          <x14:formula1>
            <xm:f>'Dropdown Data'!$A$365:$A$368</xm:f>
          </x14:formula1>
          <xm:sqref>G29:G116</xm:sqref>
        </x14:dataValidation>
        <x14:dataValidation type="list" operator="greaterThanOrEqual" allowBlank="1" showInputMessage="1" showErrorMessage="1" xr:uid="{00000000-0002-0000-0900-000005000000}">
          <x14:formula1>
            <xm:f>OFFSET('Dropdown Data'!$I$6,MATCH($B$10,'Dropdown Data'!$H$7:$H$18,0),0,COUNTIFS('Dropdown Data'!$H$7:$H$18,$B$10),1)</xm:f>
          </x14:formula1>
          <xm:sqref>G29:G116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V35"/>
  <sheetViews>
    <sheetView view="pageBreakPreview" zoomScale="90" zoomScaleNormal="100" zoomScaleSheetLayoutView="90" workbookViewId="0">
      <selection activeCell="D22" sqref="D22:V22"/>
    </sheetView>
  </sheetViews>
  <sheetFormatPr baseColWidth="10" defaultColWidth="9.5" defaultRowHeight="14" x14ac:dyDescent="0.2"/>
  <cols>
    <col min="1" max="3" width="25.5" style="9" customWidth="1" collapsed="1"/>
    <col min="4" max="4" width="23.5" style="9" bestFit="1" customWidth="1" collapsed="1"/>
    <col min="5" max="16384" width="9.5" style="9" collapsed="1"/>
  </cols>
  <sheetData>
    <row r="1" spans="1:22" ht="18" x14ac:dyDescent="0.2">
      <c r="A1" s="170" t="s">
        <v>1086</v>
      </c>
      <c r="B1" s="170"/>
      <c r="C1" s="170"/>
      <c r="D1" s="170"/>
      <c r="E1" s="170"/>
      <c r="F1" s="170"/>
      <c r="G1" s="170"/>
      <c r="H1" s="170"/>
      <c r="I1" s="170"/>
      <c r="J1" s="170"/>
      <c r="K1" s="170"/>
      <c r="L1" s="170"/>
      <c r="M1" s="170"/>
      <c r="N1" s="170"/>
      <c r="O1" s="170"/>
      <c r="P1" s="170"/>
      <c r="Q1" s="170"/>
      <c r="R1" s="170"/>
      <c r="S1" s="170"/>
      <c r="T1" s="170"/>
      <c r="U1" s="170"/>
      <c r="V1" s="170"/>
    </row>
    <row r="2" spans="1:22" ht="90" customHeight="1" x14ac:dyDescent="0.2">
      <c r="A2" s="171" t="s">
        <v>1087</v>
      </c>
      <c r="B2" s="171"/>
      <c r="C2" s="171"/>
      <c r="D2" s="171"/>
      <c r="E2" s="171"/>
      <c r="F2" s="171"/>
      <c r="G2" s="171"/>
      <c r="H2" s="171"/>
      <c r="I2" s="171"/>
      <c r="J2" s="171"/>
      <c r="K2" s="171"/>
      <c r="L2" s="171"/>
      <c r="M2" s="171"/>
      <c r="N2" s="171"/>
      <c r="O2" s="171"/>
      <c r="P2" s="171"/>
      <c r="Q2" s="171"/>
      <c r="R2" s="171"/>
      <c r="S2" s="171"/>
      <c r="T2" s="171"/>
      <c r="U2" s="171"/>
      <c r="V2" s="171"/>
    </row>
    <row r="3" spans="1:22" ht="15" customHeight="1" x14ac:dyDescent="0.2">
      <c r="A3" s="16" t="s">
        <v>22</v>
      </c>
      <c r="B3" s="16" t="s">
        <v>1088</v>
      </c>
      <c r="C3" s="16" t="s">
        <v>1089</v>
      </c>
      <c r="D3" s="172" t="s">
        <v>1090</v>
      </c>
      <c r="E3" s="172"/>
      <c r="F3" s="172"/>
      <c r="G3" s="172"/>
      <c r="H3" s="172"/>
      <c r="I3" s="172"/>
      <c r="J3" s="172"/>
      <c r="K3" s="172"/>
      <c r="L3" s="172"/>
      <c r="M3" s="172"/>
      <c r="N3" s="172"/>
      <c r="O3" s="172"/>
      <c r="P3" s="172"/>
      <c r="Q3" s="172"/>
      <c r="R3" s="172"/>
      <c r="S3" s="172"/>
      <c r="T3" s="172"/>
      <c r="U3" s="172"/>
      <c r="V3" s="172"/>
    </row>
    <row r="4" spans="1:22" x14ac:dyDescent="0.2">
      <c r="A4" s="14">
        <f>IFERROR(IF(PAAR!$B$10="English",'Add Info-Info Supp-Info Ad'!$A4,IF(PAAR!$B$10="Français",VLOOKUP('Add Info-Info Supp-Info Ad'!$A4,For_EN[],3,0),IF(PAAR!$B$10="Español",VLOOKUP('Add Info-Info Supp-Info Ad'!$A4,For_EN[[Español]:[English]],2,0)))),0)</f>
        <v>0</v>
      </c>
      <c r="B4" s="14">
        <f>IFERROR(IF(PAAR!$B$10="English",'Add Info-Info Supp-Info Ad'!$B4,IF(PAAR!$B$10="Français",VLOOKUP('Add Info-Info Supp-Info Ad'!$B4,For_EN[],3,0),IF(PAAR!$B$10="Español",VLOOKUP('Add Info-Info Supp-Info Ad'!$B4,For_EN[[Español]:[English]],2,0)))),0)</f>
        <v>0</v>
      </c>
      <c r="C4" s="14">
        <f>IFERROR(IF(PAAR!$B$10="English",'Add Info-Info Supp-Info Ad'!$C4,IF(PAAR!$B$10="Français",VLOOKUP('Add Info-Info Supp-Info Ad'!$C4,For_EN[],3,0),IF(PAAR!$B$10="Español",VLOOKUP('Add Info-Info Supp-Info Ad'!$C4,For_EN[[Español]:[English]],2,0)))),0)</f>
        <v>0</v>
      </c>
      <c r="D4" s="174">
        <f>'Add Info-Info Supp-Info Ad'!D4</f>
        <v>0</v>
      </c>
      <c r="E4" s="174"/>
      <c r="F4" s="174"/>
      <c r="G4" s="174"/>
      <c r="H4" s="174"/>
      <c r="I4" s="174"/>
      <c r="J4" s="174"/>
      <c r="K4" s="174"/>
      <c r="L4" s="174"/>
      <c r="M4" s="174"/>
      <c r="N4" s="174"/>
      <c r="O4" s="174"/>
      <c r="P4" s="174"/>
      <c r="Q4" s="174"/>
      <c r="R4" s="174"/>
      <c r="S4" s="174"/>
      <c r="T4" s="174"/>
      <c r="U4" s="174"/>
      <c r="V4" s="174"/>
    </row>
    <row r="5" spans="1:22" ht="14.25" customHeight="1" x14ac:dyDescent="0.2">
      <c r="A5" s="14">
        <f>IFERROR(IF(PAAR!$B$10="English",'Add Info-Info Supp-Info Ad'!$A5,IF(PAAR!$B$10="Français",VLOOKUP('Add Info-Info Supp-Info Ad'!$A5,For_EN[],3,0),IF(PAAR!$B$10="Español",VLOOKUP('Add Info-Info Supp-Info Ad'!$A5,For_EN[[Español]:[English]],2,0)))),0)</f>
        <v>0</v>
      </c>
      <c r="B5" s="14">
        <f>IFERROR(IF(PAAR!$B$10="English",'Add Info-Info Supp-Info Ad'!$B5,IF(PAAR!$B$10="Français",VLOOKUP('Add Info-Info Supp-Info Ad'!$B5,For_EN[],3,0),IF(PAAR!$B$10="Español",VLOOKUP('Add Info-Info Supp-Info Ad'!$B5,For_EN[[Español]:[English]],2,0)))),0)</f>
        <v>0</v>
      </c>
      <c r="C5" s="14">
        <f>IFERROR(IF(PAAR!$B$10="English",'Add Info-Info Supp-Info Ad'!$C5,IF(PAAR!$B$10="Français",VLOOKUP('Add Info-Info Supp-Info Ad'!$C5,For_EN[],3,0),IF(PAAR!$B$10="Español",VLOOKUP('Add Info-Info Supp-Info Ad'!$C5,For_EN[[Español]:[English]],2,0)))),0)</f>
        <v>0</v>
      </c>
      <c r="D5" s="174">
        <f>'Add Info-Info Supp-Info Ad'!D5</f>
        <v>0</v>
      </c>
      <c r="E5" s="174"/>
      <c r="F5" s="174"/>
      <c r="G5" s="174"/>
      <c r="H5" s="174"/>
      <c r="I5" s="174"/>
      <c r="J5" s="174"/>
      <c r="K5" s="174"/>
      <c r="L5" s="174"/>
      <c r="M5" s="174"/>
      <c r="N5" s="174"/>
      <c r="O5" s="174"/>
      <c r="P5" s="174"/>
      <c r="Q5" s="174"/>
      <c r="R5" s="174"/>
      <c r="S5" s="174"/>
      <c r="T5" s="174"/>
      <c r="U5" s="174"/>
      <c r="V5" s="174"/>
    </row>
    <row r="6" spans="1:22" x14ac:dyDescent="0.2">
      <c r="A6" s="14">
        <f>IFERROR(IF(PAAR!$B$10="English",'Add Info-Info Supp-Info Ad'!$A6,IF(PAAR!$B$10="Français",VLOOKUP('Add Info-Info Supp-Info Ad'!$A6,For_EN[],3,0),IF(PAAR!$B$10="Español",VLOOKUP('Add Info-Info Supp-Info Ad'!$A6,For_EN[[Español]:[English]],2,0)))),0)</f>
        <v>0</v>
      </c>
      <c r="B6" s="14">
        <f>IFERROR(IF(PAAR!$B$10="English",'Add Info-Info Supp-Info Ad'!$B6,IF(PAAR!$B$10="Français",VLOOKUP('Add Info-Info Supp-Info Ad'!$B6,For_EN[],3,0),IF(PAAR!$B$10="Español",VLOOKUP('Add Info-Info Supp-Info Ad'!$B6,For_EN[[Español]:[English]],2,0)))),0)</f>
        <v>0</v>
      </c>
      <c r="C6" s="14">
        <f>IFERROR(IF(PAAR!$B$10="English",'Add Info-Info Supp-Info Ad'!$C6,IF(PAAR!$B$10="Français",VLOOKUP('Add Info-Info Supp-Info Ad'!$C6,For_EN[],3,0),IF(PAAR!$B$10="Español",VLOOKUP('Add Info-Info Supp-Info Ad'!$C6,For_EN[[Español]:[English]],2,0)))),0)</f>
        <v>0</v>
      </c>
      <c r="D6" s="174">
        <f>'Add Info-Info Supp-Info Ad'!D6</f>
        <v>0</v>
      </c>
      <c r="E6" s="174"/>
      <c r="F6" s="174"/>
      <c r="G6" s="174"/>
      <c r="H6" s="174"/>
      <c r="I6" s="174"/>
      <c r="J6" s="174"/>
      <c r="K6" s="174"/>
      <c r="L6" s="174"/>
      <c r="M6" s="174"/>
      <c r="N6" s="174"/>
      <c r="O6" s="174"/>
      <c r="P6" s="174"/>
      <c r="Q6" s="174"/>
      <c r="R6" s="174"/>
      <c r="S6" s="174"/>
      <c r="T6" s="174"/>
      <c r="U6" s="174"/>
      <c r="V6" s="174"/>
    </row>
    <row r="7" spans="1:22" x14ac:dyDescent="0.2">
      <c r="A7" s="14">
        <f>IFERROR(IF(PAAR!$B$10="English",'Add Info-Info Supp-Info Ad'!$A7,IF(PAAR!$B$10="Français",VLOOKUP('Add Info-Info Supp-Info Ad'!$A7,For_EN[],3,0),IF(PAAR!$B$10="Español",VLOOKUP('Add Info-Info Supp-Info Ad'!$A7,For_EN[[Español]:[English]],2,0)))),0)</f>
        <v>0</v>
      </c>
      <c r="B7" s="14">
        <f>IFERROR(IF(PAAR!$B$10="English",'Add Info-Info Supp-Info Ad'!$B7,IF(PAAR!$B$10="Français",VLOOKUP('Add Info-Info Supp-Info Ad'!$B7,For_EN[],3,0),IF(PAAR!$B$10="Español",VLOOKUP('Add Info-Info Supp-Info Ad'!$B7,For_EN[[Español]:[English]],2,0)))),0)</f>
        <v>0</v>
      </c>
      <c r="C7" s="14">
        <f>IFERROR(IF(PAAR!$B$10="English",'Add Info-Info Supp-Info Ad'!$C7,IF(PAAR!$B$10="Français",VLOOKUP('Add Info-Info Supp-Info Ad'!$C7,For_EN[],3,0),IF(PAAR!$B$10="Español",VLOOKUP('Add Info-Info Supp-Info Ad'!$C7,For_EN[[Español]:[English]],2,0)))),0)</f>
        <v>0</v>
      </c>
      <c r="D7" s="174">
        <f>'Add Info-Info Supp-Info Ad'!D7</f>
        <v>0</v>
      </c>
      <c r="E7" s="174"/>
      <c r="F7" s="174"/>
      <c r="G7" s="174"/>
      <c r="H7" s="174"/>
      <c r="I7" s="174"/>
      <c r="J7" s="174"/>
      <c r="K7" s="174"/>
      <c r="L7" s="174"/>
      <c r="M7" s="174"/>
      <c r="N7" s="174"/>
      <c r="O7" s="174"/>
      <c r="P7" s="174"/>
      <c r="Q7" s="174"/>
      <c r="R7" s="174"/>
      <c r="S7" s="174"/>
      <c r="T7" s="174"/>
      <c r="U7" s="174"/>
      <c r="V7" s="174"/>
    </row>
    <row r="8" spans="1:22" x14ac:dyDescent="0.2">
      <c r="A8" s="14">
        <f>IFERROR(IF(PAAR!$B$10="English",'Add Info-Info Supp-Info Ad'!$A8,IF(PAAR!$B$10="Français",VLOOKUP('Add Info-Info Supp-Info Ad'!$A8,For_EN[],3,0),IF(PAAR!$B$10="Español",VLOOKUP('Add Info-Info Supp-Info Ad'!$A8,For_EN[[Español]:[English]],2,0)))),0)</f>
        <v>0</v>
      </c>
      <c r="B8" s="14">
        <f>IFERROR(IF(PAAR!$B$10="English",'Add Info-Info Supp-Info Ad'!$B8,IF(PAAR!$B$10="Français",VLOOKUP('Add Info-Info Supp-Info Ad'!$B8,For_EN[],3,0),IF(PAAR!$B$10="Español",VLOOKUP('Add Info-Info Supp-Info Ad'!$B8,For_EN[[Español]:[English]],2,0)))),0)</f>
        <v>0</v>
      </c>
      <c r="C8" s="14">
        <f>IFERROR(IF(PAAR!$B$10="English",'Add Info-Info Supp-Info Ad'!$C8,IF(PAAR!$B$10="Français",VLOOKUP('Add Info-Info Supp-Info Ad'!$C8,For_EN[],3,0),IF(PAAR!$B$10="Español",VLOOKUP('Add Info-Info Supp-Info Ad'!$C8,For_EN[[Español]:[English]],2,0)))),0)</f>
        <v>0</v>
      </c>
      <c r="D8" s="174">
        <f>'Add Info-Info Supp-Info Ad'!D8</f>
        <v>0</v>
      </c>
      <c r="E8" s="174"/>
      <c r="F8" s="174"/>
      <c r="G8" s="174"/>
      <c r="H8" s="174"/>
      <c r="I8" s="174"/>
      <c r="J8" s="174"/>
      <c r="K8" s="174"/>
      <c r="L8" s="174"/>
      <c r="M8" s="174"/>
      <c r="N8" s="174"/>
      <c r="O8" s="174"/>
      <c r="P8" s="174"/>
      <c r="Q8" s="174"/>
      <c r="R8" s="174"/>
      <c r="S8" s="174"/>
      <c r="T8" s="174"/>
      <c r="U8" s="174"/>
      <c r="V8" s="174"/>
    </row>
    <row r="9" spans="1:22" x14ac:dyDescent="0.2">
      <c r="A9" s="14">
        <f>IFERROR(IF(PAAR!$B$10="English",'Add Info-Info Supp-Info Ad'!$A9,IF(PAAR!$B$10="Français",VLOOKUP('Add Info-Info Supp-Info Ad'!$A9,For_EN[],3,0),IF(PAAR!$B$10="Español",VLOOKUP('Add Info-Info Supp-Info Ad'!$A9,For_EN[[Español]:[English]],2,0)))),0)</f>
        <v>0</v>
      </c>
      <c r="B9" s="14">
        <f>IFERROR(IF(PAAR!$B$10="English",'Add Info-Info Supp-Info Ad'!$B9,IF(PAAR!$B$10="Français",VLOOKUP('Add Info-Info Supp-Info Ad'!$B9,For_EN[],3,0),IF(PAAR!$B$10="Español",VLOOKUP('Add Info-Info Supp-Info Ad'!$B9,For_EN[[Español]:[English]],2,0)))),0)</f>
        <v>0</v>
      </c>
      <c r="C9" s="14">
        <f>IFERROR(IF(PAAR!$B$10="English",'Add Info-Info Supp-Info Ad'!$C9,IF(PAAR!$B$10="Français",VLOOKUP('Add Info-Info Supp-Info Ad'!$C9,For_EN[],3,0),IF(PAAR!$B$10="Español",VLOOKUP('Add Info-Info Supp-Info Ad'!$C9,For_EN[[Español]:[English]],2,0)))),0)</f>
        <v>0</v>
      </c>
      <c r="D9" s="174">
        <f>'Add Info-Info Supp-Info Ad'!D9</f>
        <v>0</v>
      </c>
      <c r="E9" s="174"/>
      <c r="F9" s="174"/>
      <c r="G9" s="174"/>
      <c r="H9" s="174"/>
      <c r="I9" s="174"/>
      <c r="J9" s="174"/>
      <c r="K9" s="174"/>
      <c r="L9" s="174"/>
      <c r="M9" s="174"/>
      <c r="N9" s="174"/>
      <c r="O9" s="174"/>
      <c r="P9" s="174"/>
      <c r="Q9" s="174"/>
      <c r="R9" s="174"/>
      <c r="S9" s="174"/>
      <c r="T9" s="174"/>
      <c r="U9" s="174"/>
      <c r="V9" s="174"/>
    </row>
    <row r="10" spans="1:22" x14ac:dyDescent="0.2">
      <c r="A10" s="14">
        <f>IFERROR(IF(PAAR!$B$10="English",'Add Info-Info Supp-Info Ad'!$A10,IF(PAAR!$B$10="Français",VLOOKUP('Add Info-Info Supp-Info Ad'!$A10,For_EN[],3,0),IF(PAAR!$B$10="Español",VLOOKUP('Add Info-Info Supp-Info Ad'!$A10,For_EN[[Español]:[English]],2,0)))),0)</f>
        <v>0</v>
      </c>
      <c r="B10" s="14">
        <f>IFERROR(IF(PAAR!$B$10="English",'Add Info-Info Supp-Info Ad'!$B10,IF(PAAR!$B$10="Français",VLOOKUP('Add Info-Info Supp-Info Ad'!$B10,For_EN[],3,0),IF(PAAR!$B$10="Español",VLOOKUP('Add Info-Info Supp-Info Ad'!$B10,For_EN[[Español]:[English]],2,0)))),0)</f>
        <v>0</v>
      </c>
      <c r="C10" s="14">
        <f>IFERROR(IF(PAAR!$B$10="English",'Add Info-Info Supp-Info Ad'!$C10,IF(PAAR!$B$10="Français",VLOOKUP('Add Info-Info Supp-Info Ad'!$C10,For_EN[],3,0),IF(PAAR!$B$10="Español",VLOOKUP('Add Info-Info Supp-Info Ad'!$C10,For_EN[[Español]:[English]],2,0)))),0)</f>
        <v>0</v>
      </c>
      <c r="D10" s="174">
        <f>'Add Info-Info Supp-Info Ad'!D10</f>
        <v>0</v>
      </c>
      <c r="E10" s="174"/>
      <c r="F10" s="174"/>
      <c r="G10" s="174"/>
      <c r="H10" s="174"/>
      <c r="I10" s="174"/>
      <c r="J10" s="174"/>
      <c r="K10" s="174"/>
      <c r="L10" s="174"/>
      <c r="M10" s="174"/>
      <c r="N10" s="174"/>
      <c r="O10" s="174"/>
      <c r="P10" s="174"/>
      <c r="Q10" s="174"/>
      <c r="R10" s="174"/>
      <c r="S10" s="174"/>
      <c r="T10" s="174"/>
      <c r="U10" s="174"/>
      <c r="V10" s="174"/>
    </row>
    <row r="11" spans="1:22" x14ac:dyDescent="0.2">
      <c r="A11" s="14">
        <f>IFERROR(IF(PAAR!$B$10="English",'Add Info-Info Supp-Info Ad'!$A11,IF(PAAR!$B$10="Français",VLOOKUP('Add Info-Info Supp-Info Ad'!$A11,For_EN[],3,0),IF(PAAR!$B$10="Español",VLOOKUP('Add Info-Info Supp-Info Ad'!$A11,For_EN[[Español]:[English]],2,0)))),0)</f>
        <v>0</v>
      </c>
      <c r="B11" s="14">
        <f>IFERROR(IF(PAAR!$B$10="English",'Add Info-Info Supp-Info Ad'!$B11,IF(PAAR!$B$10="Français",VLOOKUP('Add Info-Info Supp-Info Ad'!$B11,For_EN[],3,0),IF(PAAR!$B$10="Español",VLOOKUP('Add Info-Info Supp-Info Ad'!$B11,For_EN[[Español]:[English]],2,0)))),0)</f>
        <v>0</v>
      </c>
      <c r="C11" s="14">
        <f>IFERROR(IF(PAAR!$B$10="English",'Add Info-Info Supp-Info Ad'!$C11,IF(PAAR!$B$10="Français",VLOOKUP('Add Info-Info Supp-Info Ad'!$C11,For_EN[],3,0),IF(PAAR!$B$10="Español",VLOOKUP('Add Info-Info Supp-Info Ad'!$C11,For_EN[[Español]:[English]],2,0)))),0)</f>
        <v>0</v>
      </c>
      <c r="D11" s="174">
        <f>'Add Info-Info Supp-Info Ad'!D11</f>
        <v>0</v>
      </c>
      <c r="E11" s="174"/>
      <c r="F11" s="174"/>
      <c r="G11" s="174"/>
      <c r="H11" s="174"/>
      <c r="I11" s="174"/>
      <c r="J11" s="174"/>
      <c r="K11" s="174"/>
      <c r="L11" s="174"/>
      <c r="M11" s="174"/>
      <c r="N11" s="174"/>
      <c r="O11" s="174"/>
      <c r="P11" s="174"/>
      <c r="Q11" s="174"/>
      <c r="R11" s="174"/>
      <c r="S11" s="174"/>
      <c r="T11" s="174"/>
      <c r="U11" s="174"/>
      <c r="V11" s="174"/>
    </row>
    <row r="12" spans="1:22" x14ac:dyDescent="0.2">
      <c r="A12" s="14">
        <f>IFERROR(IF(PAAR!$B$10="English",'Add Info-Info Supp-Info Ad'!$A12,IF(PAAR!$B$10="Français",VLOOKUP('Add Info-Info Supp-Info Ad'!$A12,For_EN[],3,0),IF(PAAR!$B$10="Español",VLOOKUP('Add Info-Info Supp-Info Ad'!$A12,For_EN[[Español]:[English]],2,0)))),0)</f>
        <v>0</v>
      </c>
      <c r="B12" s="14">
        <f>IFERROR(IF(PAAR!$B$10="English",'Add Info-Info Supp-Info Ad'!$B12,IF(PAAR!$B$10="Français",VLOOKUP('Add Info-Info Supp-Info Ad'!$B12,For_EN[],3,0),IF(PAAR!$B$10="Español",VLOOKUP('Add Info-Info Supp-Info Ad'!$B12,For_EN[[Español]:[English]],2,0)))),0)</f>
        <v>0</v>
      </c>
      <c r="C12" s="14">
        <f>IFERROR(IF(PAAR!$B$10="English",'Add Info-Info Supp-Info Ad'!$C12,IF(PAAR!$B$10="Français",VLOOKUP('Add Info-Info Supp-Info Ad'!$C12,For_EN[],3,0),IF(PAAR!$B$10="Español",VLOOKUP('Add Info-Info Supp-Info Ad'!$C12,For_EN[[Español]:[English]],2,0)))),0)</f>
        <v>0</v>
      </c>
      <c r="D12" s="174">
        <f>'Add Info-Info Supp-Info Ad'!D12</f>
        <v>0</v>
      </c>
      <c r="E12" s="174"/>
      <c r="F12" s="174"/>
      <c r="G12" s="174"/>
      <c r="H12" s="174"/>
      <c r="I12" s="174"/>
      <c r="J12" s="174"/>
      <c r="K12" s="174"/>
      <c r="L12" s="174"/>
      <c r="M12" s="174"/>
      <c r="N12" s="174"/>
      <c r="O12" s="174"/>
      <c r="P12" s="174"/>
      <c r="Q12" s="174"/>
      <c r="R12" s="174"/>
      <c r="S12" s="174"/>
      <c r="T12" s="174"/>
      <c r="U12" s="174"/>
      <c r="V12" s="174"/>
    </row>
    <row r="13" spans="1:22" x14ac:dyDescent="0.2">
      <c r="A13" s="14">
        <f>IFERROR(IF(PAAR!$B$10="English",'Add Info-Info Supp-Info Ad'!$A13,IF(PAAR!$B$10="Français",VLOOKUP('Add Info-Info Supp-Info Ad'!$A13,For_EN[],3,0),IF(PAAR!$B$10="Español",VLOOKUP('Add Info-Info Supp-Info Ad'!$A13,For_EN[[Español]:[English]],2,0)))),0)</f>
        <v>0</v>
      </c>
      <c r="B13" s="14">
        <f>IFERROR(IF(PAAR!$B$10="English",'Add Info-Info Supp-Info Ad'!$B13,IF(PAAR!$B$10="Français",VLOOKUP('Add Info-Info Supp-Info Ad'!$B13,For_EN[],3,0),IF(PAAR!$B$10="Español",VLOOKUP('Add Info-Info Supp-Info Ad'!$B13,For_EN[[Español]:[English]],2,0)))),0)</f>
        <v>0</v>
      </c>
      <c r="C13" s="14">
        <f>IFERROR(IF(PAAR!$B$10="English",'Add Info-Info Supp-Info Ad'!$C13,IF(PAAR!$B$10="Français",VLOOKUP('Add Info-Info Supp-Info Ad'!$C13,For_EN[],3,0),IF(PAAR!$B$10="Español",VLOOKUP('Add Info-Info Supp-Info Ad'!$C13,For_EN[[Español]:[English]],2,0)))),0)</f>
        <v>0</v>
      </c>
      <c r="D13" s="174">
        <f>'Add Info-Info Supp-Info Ad'!D13</f>
        <v>0</v>
      </c>
      <c r="E13" s="174"/>
      <c r="F13" s="174"/>
      <c r="G13" s="174"/>
      <c r="H13" s="174"/>
      <c r="I13" s="174"/>
      <c r="J13" s="174"/>
      <c r="K13" s="174"/>
      <c r="L13" s="174"/>
      <c r="M13" s="174"/>
      <c r="N13" s="174"/>
      <c r="O13" s="174"/>
      <c r="P13" s="174"/>
      <c r="Q13" s="174"/>
      <c r="R13" s="174"/>
      <c r="S13" s="174"/>
      <c r="T13" s="174"/>
      <c r="U13" s="174"/>
      <c r="V13" s="174"/>
    </row>
    <row r="14" spans="1:22" x14ac:dyDescent="0.2">
      <c r="A14" s="14">
        <f>IFERROR(IF(PAAR!$B$10="English",'Add Info-Info Supp-Info Ad'!$A14,IF(PAAR!$B$10="Français",VLOOKUP('Add Info-Info Supp-Info Ad'!$A14,For_EN[],3,0),IF(PAAR!$B$10="Español",VLOOKUP('Add Info-Info Supp-Info Ad'!$A14,For_EN[[Español]:[English]],2,0)))),0)</f>
        <v>0</v>
      </c>
      <c r="B14" s="14">
        <f>IFERROR(IF(PAAR!$B$10="English",'Add Info-Info Supp-Info Ad'!$B14,IF(PAAR!$B$10="Français",VLOOKUP('Add Info-Info Supp-Info Ad'!$B14,For_EN[],3,0),IF(PAAR!$B$10="Español",VLOOKUP('Add Info-Info Supp-Info Ad'!$B14,For_EN[[Español]:[English]],2,0)))),0)</f>
        <v>0</v>
      </c>
      <c r="C14" s="14">
        <f>IFERROR(IF(PAAR!$B$10="English",'Add Info-Info Supp-Info Ad'!$C14,IF(PAAR!$B$10="Français",VLOOKUP('Add Info-Info Supp-Info Ad'!$C14,For_EN[],3,0),IF(PAAR!$B$10="Español",VLOOKUP('Add Info-Info Supp-Info Ad'!$C14,For_EN[[Español]:[English]],2,0)))),0)</f>
        <v>0</v>
      </c>
      <c r="D14" s="174">
        <f>'Add Info-Info Supp-Info Ad'!D14</f>
        <v>0</v>
      </c>
      <c r="E14" s="174"/>
      <c r="F14" s="174"/>
      <c r="G14" s="174"/>
      <c r="H14" s="174"/>
      <c r="I14" s="174"/>
      <c r="J14" s="174"/>
      <c r="K14" s="174"/>
      <c r="L14" s="174"/>
      <c r="M14" s="174"/>
      <c r="N14" s="174"/>
      <c r="O14" s="174"/>
      <c r="P14" s="174"/>
      <c r="Q14" s="174"/>
      <c r="R14" s="174"/>
      <c r="S14" s="174"/>
      <c r="T14" s="174"/>
      <c r="U14" s="174"/>
      <c r="V14" s="174"/>
    </row>
    <row r="15" spans="1:22" x14ac:dyDescent="0.2">
      <c r="A15" s="14">
        <f>IFERROR(IF(PAAR!$B$10="English",'Add Info-Info Supp-Info Ad'!$A15,IF(PAAR!$B$10="Français",VLOOKUP('Add Info-Info Supp-Info Ad'!$A15,For_EN[],3,0),IF(PAAR!$B$10="Español",VLOOKUP('Add Info-Info Supp-Info Ad'!$A15,For_EN[[Español]:[English]],2,0)))),0)</f>
        <v>0</v>
      </c>
      <c r="B15" s="14">
        <f>IFERROR(IF(PAAR!$B$10="English",'Add Info-Info Supp-Info Ad'!$B15,IF(PAAR!$B$10="Français",VLOOKUP('Add Info-Info Supp-Info Ad'!$B15,For_EN[],3,0),IF(PAAR!$B$10="Español",VLOOKUP('Add Info-Info Supp-Info Ad'!$B15,For_EN[[Español]:[English]],2,0)))),0)</f>
        <v>0</v>
      </c>
      <c r="C15" s="14">
        <f>IFERROR(IF(PAAR!$B$10="English",'Add Info-Info Supp-Info Ad'!$C15,IF(PAAR!$B$10="Français",VLOOKUP('Add Info-Info Supp-Info Ad'!$C15,For_EN[],3,0),IF(PAAR!$B$10="Español",VLOOKUP('Add Info-Info Supp-Info Ad'!$C15,For_EN[[Español]:[English]],2,0)))),0)</f>
        <v>0</v>
      </c>
      <c r="D15" s="174">
        <f>'Add Info-Info Supp-Info Ad'!D15</f>
        <v>0</v>
      </c>
      <c r="E15" s="174"/>
      <c r="F15" s="174"/>
      <c r="G15" s="174"/>
      <c r="H15" s="174"/>
      <c r="I15" s="174"/>
      <c r="J15" s="174"/>
      <c r="K15" s="174"/>
      <c r="L15" s="174"/>
      <c r="M15" s="174"/>
      <c r="N15" s="174"/>
      <c r="O15" s="174"/>
      <c r="P15" s="174"/>
      <c r="Q15" s="174"/>
      <c r="R15" s="174"/>
      <c r="S15" s="174"/>
      <c r="T15" s="174"/>
      <c r="U15" s="174"/>
      <c r="V15" s="174"/>
    </row>
    <row r="16" spans="1:22" x14ac:dyDescent="0.2">
      <c r="A16" s="14">
        <f>IFERROR(IF(PAAR!$B$10="English",'Add Info-Info Supp-Info Ad'!$A16,IF(PAAR!$B$10="Français",VLOOKUP('Add Info-Info Supp-Info Ad'!$A16,For_EN[],3,0),IF(PAAR!$B$10="Español",VLOOKUP('Add Info-Info Supp-Info Ad'!$A16,For_EN[[Español]:[English]],2,0)))),0)</f>
        <v>0</v>
      </c>
      <c r="B16" s="14">
        <f>IFERROR(IF(PAAR!$B$10="English",'Add Info-Info Supp-Info Ad'!$B16,IF(PAAR!$B$10="Français",VLOOKUP('Add Info-Info Supp-Info Ad'!$B16,For_EN[],3,0),IF(PAAR!$B$10="Español",VLOOKUP('Add Info-Info Supp-Info Ad'!$B16,For_EN[[Español]:[English]],2,0)))),0)</f>
        <v>0</v>
      </c>
      <c r="C16" s="14">
        <f>IFERROR(IF(PAAR!$B$10="English",'Add Info-Info Supp-Info Ad'!$C16,IF(PAAR!$B$10="Français",VLOOKUP('Add Info-Info Supp-Info Ad'!$C16,For_EN[],3,0),IF(PAAR!$B$10="Español",VLOOKUP('Add Info-Info Supp-Info Ad'!$C16,For_EN[[Español]:[English]],2,0)))),0)</f>
        <v>0</v>
      </c>
      <c r="D16" s="174">
        <f>'Add Info-Info Supp-Info Ad'!D16</f>
        <v>0</v>
      </c>
      <c r="E16" s="174"/>
      <c r="F16" s="174"/>
      <c r="G16" s="174"/>
      <c r="H16" s="174"/>
      <c r="I16" s="174"/>
      <c r="J16" s="174"/>
      <c r="K16" s="174"/>
      <c r="L16" s="174"/>
      <c r="M16" s="174"/>
      <c r="N16" s="174"/>
      <c r="O16" s="174"/>
      <c r="P16" s="174"/>
      <c r="Q16" s="174"/>
      <c r="R16" s="174"/>
      <c r="S16" s="174"/>
      <c r="T16" s="174"/>
      <c r="U16" s="174"/>
      <c r="V16" s="174"/>
    </row>
    <row r="17" spans="1:22" x14ac:dyDescent="0.2">
      <c r="A17" s="14">
        <f>IFERROR(IF(PAAR!$B$10="English",'Add Info-Info Supp-Info Ad'!$A17,IF(PAAR!$B$10="Français",VLOOKUP('Add Info-Info Supp-Info Ad'!$A17,For_EN[],3,0),IF(PAAR!$B$10="Español",VLOOKUP('Add Info-Info Supp-Info Ad'!$A17,For_EN[[Español]:[English]],2,0)))),0)</f>
        <v>0</v>
      </c>
      <c r="B17" s="14">
        <f>IFERROR(IF(PAAR!$B$10="English",'Add Info-Info Supp-Info Ad'!$B17,IF(PAAR!$B$10="Français",VLOOKUP('Add Info-Info Supp-Info Ad'!$B17,For_EN[],3,0),IF(PAAR!$B$10="Español",VLOOKUP('Add Info-Info Supp-Info Ad'!$B17,For_EN[[Español]:[English]],2,0)))),0)</f>
        <v>0</v>
      </c>
      <c r="C17" s="14">
        <f>IFERROR(IF(PAAR!$B$10="English",'Add Info-Info Supp-Info Ad'!$C17,IF(PAAR!$B$10="Français",VLOOKUP('Add Info-Info Supp-Info Ad'!$C17,For_EN[],3,0),IF(PAAR!$B$10="Español",VLOOKUP('Add Info-Info Supp-Info Ad'!$C17,For_EN[[Español]:[English]],2,0)))),0)</f>
        <v>0</v>
      </c>
      <c r="D17" s="174">
        <f>'Add Info-Info Supp-Info Ad'!D17</f>
        <v>0</v>
      </c>
      <c r="E17" s="174"/>
      <c r="F17" s="174"/>
      <c r="G17" s="174"/>
      <c r="H17" s="174"/>
      <c r="I17" s="174"/>
      <c r="J17" s="174"/>
      <c r="K17" s="174"/>
      <c r="L17" s="174"/>
      <c r="M17" s="174"/>
      <c r="N17" s="174"/>
      <c r="O17" s="174"/>
      <c r="P17" s="174"/>
      <c r="Q17" s="174"/>
      <c r="R17" s="174"/>
      <c r="S17" s="174"/>
      <c r="T17" s="174"/>
      <c r="U17" s="174"/>
      <c r="V17" s="174"/>
    </row>
    <row r="18" spans="1:22" x14ac:dyDescent="0.2">
      <c r="A18" s="14">
        <f>IFERROR(IF(PAAR!$B$10="English",'Add Info-Info Supp-Info Ad'!$A18,IF(PAAR!$B$10="Français",VLOOKUP('Add Info-Info Supp-Info Ad'!$A18,For_EN[],3,0),IF(PAAR!$B$10="Español",VLOOKUP('Add Info-Info Supp-Info Ad'!$A18,For_EN[[Español]:[English]],2,0)))),0)</f>
        <v>0</v>
      </c>
      <c r="B18" s="14">
        <f>IFERROR(IF(PAAR!$B$10="English",'Add Info-Info Supp-Info Ad'!$B18,IF(PAAR!$B$10="Français",VLOOKUP('Add Info-Info Supp-Info Ad'!$B18,For_EN[],3,0),IF(PAAR!$B$10="Español",VLOOKUP('Add Info-Info Supp-Info Ad'!$B18,For_EN[[Español]:[English]],2,0)))),0)</f>
        <v>0</v>
      </c>
      <c r="C18" s="14">
        <f>IFERROR(IF(PAAR!$B$10="English",'Add Info-Info Supp-Info Ad'!$C18,IF(PAAR!$B$10="Français",VLOOKUP('Add Info-Info Supp-Info Ad'!$C18,For_EN[],3,0),IF(PAAR!$B$10="Español",VLOOKUP('Add Info-Info Supp-Info Ad'!$C18,For_EN[[Español]:[English]],2,0)))),0)</f>
        <v>0</v>
      </c>
      <c r="D18" s="174">
        <f>'Add Info-Info Supp-Info Ad'!D18</f>
        <v>0</v>
      </c>
      <c r="E18" s="174"/>
      <c r="F18" s="174"/>
      <c r="G18" s="174"/>
      <c r="H18" s="174"/>
      <c r="I18" s="174"/>
      <c r="J18" s="174"/>
      <c r="K18" s="174"/>
      <c r="L18" s="174"/>
      <c r="M18" s="174"/>
      <c r="N18" s="174"/>
      <c r="O18" s="174"/>
      <c r="P18" s="174"/>
      <c r="Q18" s="174"/>
      <c r="R18" s="174"/>
      <c r="S18" s="174"/>
      <c r="T18" s="174"/>
      <c r="U18" s="174"/>
      <c r="V18" s="174"/>
    </row>
    <row r="19" spans="1:22" x14ac:dyDescent="0.2">
      <c r="A19" s="14">
        <f>IFERROR(IF(PAAR!$B$10="English",'Add Info-Info Supp-Info Ad'!$A19,IF(PAAR!$B$10="Français",VLOOKUP('Add Info-Info Supp-Info Ad'!$A19,For_EN[],3,0),IF(PAAR!$B$10="Español",VLOOKUP('Add Info-Info Supp-Info Ad'!$A19,For_EN[[Español]:[English]],2,0)))),0)</f>
        <v>0</v>
      </c>
      <c r="B19" s="14">
        <f>IFERROR(IF(PAAR!$B$10="English",'Add Info-Info Supp-Info Ad'!$B19,IF(PAAR!$B$10="Français",VLOOKUP('Add Info-Info Supp-Info Ad'!$B19,For_EN[],3,0),IF(PAAR!$B$10="Español",VLOOKUP('Add Info-Info Supp-Info Ad'!$B19,For_EN[[Español]:[English]],2,0)))),0)</f>
        <v>0</v>
      </c>
      <c r="C19" s="14">
        <f>IFERROR(IF(PAAR!$B$10="English",'Add Info-Info Supp-Info Ad'!$C19,IF(PAAR!$B$10="Français",VLOOKUP('Add Info-Info Supp-Info Ad'!$C19,For_EN[],3,0),IF(PAAR!$B$10="Español",VLOOKUP('Add Info-Info Supp-Info Ad'!$C19,For_EN[[Español]:[English]],2,0)))),0)</f>
        <v>0</v>
      </c>
      <c r="D19" s="174">
        <f>'Add Info-Info Supp-Info Ad'!D19</f>
        <v>0</v>
      </c>
      <c r="E19" s="174"/>
      <c r="F19" s="174"/>
      <c r="G19" s="174"/>
      <c r="H19" s="174"/>
      <c r="I19" s="174"/>
      <c r="J19" s="174"/>
      <c r="K19" s="174"/>
      <c r="L19" s="174"/>
      <c r="M19" s="174"/>
      <c r="N19" s="174"/>
      <c r="O19" s="174"/>
      <c r="P19" s="174"/>
      <c r="Q19" s="174"/>
      <c r="R19" s="174"/>
      <c r="S19" s="174"/>
      <c r="T19" s="174"/>
      <c r="U19" s="174"/>
      <c r="V19" s="174"/>
    </row>
    <row r="20" spans="1:22" x14ac:dyDescent="0.2">
      <c r="A20" s="14">
        <f>IFERROR(IF(PAAR!$B$10="English",'Add Info-Info Supp-Info Ad'!$A20,IF(PAAR!$B$10="Français",VLOOKUP('Add Info-Info Supp-Info Ad'!$A20,For_EN[],3,0),IF(PAAR!$B$10="Español",VLOOKUP('Add Info-Info Supp-Info Ad'!$A20,For_EN[[Español]:[English]],2,0)))),0)</f>
        <v>0</v>
      </c>
      <c r="B20" s="14">
        <f>IFERROR(IF(PAAR!$B$10="English",'Add Info-Info Supp-Info Ad'!$B20,IF(PAAR!$B$10="Français",VLOOKUP('Add Info-Info Supp-Info Ad'!$B20,For_EN[],3,0),IF(PAAR!$B$10="Español",VLOOKUP('Add Info-Info Supp-Info Ad'!$B20,For_EN[[Español]:[English]],2,0)))),0)</f>
        <v>0</v>
      </c>
      <c r="C20" s="14">
        <f>IFERROR(IF(PAAR!$B$10="English",'Add Info-Info Supp-Info Ad'!$C20,IF(PAAR!$B$10="Français",VLOOKUP('Add Info-Info Supp-Info Ad'!$C20,For_EN[],3,0),IF(PAAR!$B$10="Español",VLOOKUP('Add Info-Info Supp-Info Ad'!$C20,For_EN[[Español]:[English]],2,0)))),0)</f>
        <v>0</v>
      </c>
      <c r="D20" s="174">
        <f>'Add Info-Info Supp-Info Ad'!D20</f>
        <v>0</v>
      </c>
      <c r="E20" s="174"/>
      <c r="F20" s="174"/>
      <c r="G20" s="174"/>
      <c r="H20" s="174"/>
      <c r="I20" s="174"/>
      <c r="J20" s="174"/>
      <c r="K20" s="174"/>
      <c r="L20" s="174"/>
      <c r="M20" s="174"/>
      <c r="N20" s="174"/>
      <c r="O20" s="174"/>
      <c r="P20" s="174"/>
      <c r="Q20" s="174"/>
      <c r="R20" s="174"/>
      <c r="S20" s="174"/>
      <c r="T20" s="174"/>
      <c r="U20" s="174"/>
      <c r="V20" s="174"/>
    </row>
    <row r="21" spans="1:22" x14ac:dyDescent="0.2">
      <c r="A21" s="14">
        <f>IFERROR(IF(PAAR!$B$10="English",'Add Info-Info Supp-Info Ad'!$A21,IF(PAAR!$B$10="Français",VLOOKUP('Add Info-Info Supp-Info Ad'!$A21,For_EN[],3,0),IF(PAAR!$B$10="Español",VLOOKUP('Add Info-Info Supp-Info Ad'!$A21,For_EN[[Español]:[English]],2,0)))),0)</f>
        <v>0</v>
      </c>
      <c r="B21" s="14">
        <f>IFERROR(IF(PAAR!$B$10="English",'Add Info-Info Supp-Info Ad'!$B21,IF(PAAR!$B$10="Français",VLOOKUP('Add Info-Info Supp-Info Ad'!$B21,For_EN[],3,0),IF(PAAR!$B$10="Español",VLOOKUP('Add Info-Info Supp-Info Ad'!$B21,For_EN[[Español]:[English]],2,0)))),0)</f>
        <v>0</v>
      </c>
      <c r="C21" s="14">
        <f>IFERROR(IF(PAAR!$B$10="English",'Add Info-Info Supp-Info Ad'!$C21,IF(PAAR!$B$10="Français",VLOOKUP('Add Info-Info Supp-Info Ad'!$C21,For_EN[],3,0),IF(PAAR!$B$10="Español",VLOOKUP('Add Info-Info Supp-Info Ad'!$C21,For_EN[[Español]:[English]],2,0)))),0)</f>
        <v>0</v>
      </c>
      <c r="D21" s="174">
        <f>'Add Info-Info Supp-Info Ad'!D21</f>
        <v>0</v>
      </c>
      <c r="E21" s="174"/>
      <c r="F21" s="174"/>
      <c r="G21" s="174"/>
      <c r="H21" s="174"/>
      <c r="I21" s="174"/>
      <c r="J21" s="174"/>
      <c r="K21" s="174"/>
      <c r="L21" s="174"/>
      <c r="M21" s="174"/>
      <c r="N21" s="174"/>
      <c r="O21" s="174"/>
      <c r="P21" s="174"/>
      <c r="Q21" s="174"/>
      <c r="R21" s="174"/>
      <c r="S21" s="174"/>
      <c r="T21" s="174"/>
      <c r="U21" s="174"/>
      <c r="V21" s="174"/>
    </row>
    <row r="22" spans="1:22" x14ac:dyDescent="0.2">
      <c r="A22" s="14">
        <f>IFERROR(IF(PAAR!$B$10="English",'Add Info-Info Supp-Info Ad'!$A22,IF(PAAR!$B$10="Français",VLOOKUP('Add Info-Info Supp-Info Ad'!$A22,For_EN[],3,0),IF(PAAR!$B$10="Español",VLOOKUP('Add Info-Info Supp-Info Ad'!$A22,For_EN[[Español]:[English]],2,0)))),0)</f>
        <v>0</v>
      </c>
      <c r="B22" s="14">
        <f>IFERROR(IF(PAAR!$B$10="English",'Add Info-Info Supp-Info Ad'!$B22,IF(PAAR!$B$10="Français",VLOOKUP('Add Info-Info Supp-Info Ad'!$B22,For_EN[],3,0),IF(PAAR!$B$10="Español",VLOOKUP('Add Info-Info Supp-Info Ad'!$B22,For_EN[[Español]:[English]],2,0)))),0)</f>
        <v>0</v>
      </c>
      <c r="C22" s="14">
        <f>IFERROR(IF(PAAR!$B$10="English",'Add Info-Info Supp-Info Ad'!$C22,IF(PAAR!$B$10="Français",VLOOKUP('Add Info-Info Supp-Info Ad'!$C22,For_EN[],3,0),IF(PAAR!$B$10="Español",VLOOKUP('Add Info-Info Supp-Info Ad'!$C22,For_EN[[Español]:[English]],2,0)))),0)</f>
        <v>0</v>
      </c>
      <c r="D22" s="174">
        <f>'Add Info-Info Supp-Info Ad'!D22</f>
        <v>0</v>
      </c>
      <c r="E22" s="174"/>
      <c r="F22" s="174"/>
      <c r="G22" s="174"/>
      <c r="H22" s="174"/>
      <c r="I22" s="174"/>
      <c r="J22" s="174"/>
      <c r="K22" s="174"/>
      <c r="L22" s="174"/>
      <c r="M22" s="174"/>
      <c r="N22" s="174"/>
      <c r="O22" s="174"/>
      <c r="P22" s="174"/>
      <c r="Q22" s="174"/>
      <c r="R22" s="174"/>
      <c r="S22" s="174"/>
      <c r="T22" s="174"/>
      <c r="U22" s="174"/>
      <c r="V22" s="174"/>
    </row>
    <row r="23" spans="1:22" x14ac:dyDescent="0.2">
      <c r="A23" s="14">
        <f>IFERROR(IF(PAAR!$B$10="English",'Add Info-Info Supp-Info Ad'!$A23,IF(PAAR!$B$10="Français",VLOOKUP('Add Info-Info Supp-Info Ad'!$A23,For_EN[],3,0),IF(PAAR!$B$10="Español",VLOOKUP('Add Info-Info Supp-Info Ad'!$A23,For_EN[[Español]:[English]],2,0)))),0)</f>
        <v>0</v>
      </c>
      <c r="B23" s="14">
        <f>IFERROR(IF(PAAR!$B$10="English",'Add Info-Info Supp-Info Ad'!$B23,IF(PAAR!$B$10="Français",VLOOKUP('Add Info-Info Supp-Info Ad'!$B23,For_EN[],3,0),IF(PAAR!$B$10="Español",VLOOKUP('Add Info-Info Supp-Info Ad'!$B23,For_EN[[Español]:[English]],2,0)))),0)</f>
        <v>0</v>
      </c>
      <c r="C23" s="14">
        <f>IFERROR(IF(PAAR!$B$10="English",'Add Info-Info Supp-Info Ad'!$C23,IF(PAAR!$B$10="Français",VLOOKUP('Add Info-Info Supp-Info Ad'!$C23,For_EN[],3,0),IF(PAAR!$B$10="Español",VLOOKUP('Add Info-Info Supp-Info Ad'!$C23,For_EN[[Español]:[English]],2,0)))),0)</f>
        <v>0</v>
      </c>
      <c r="D23" s="174">
        <f>'Add Info-Info Supp-Info Ad'!D23</f>
        <v>0</v>
      </c>
      <c r="E23" s="174"/>
      <c r="F23" s="174"/>
      <c r="G23" s="174"/>
      <c r="H23" s="174"/>
      <c r="I23" s="174"/>
      <c r="J23" s="174"/>
      <c r="K23" s="174"/>
      <c r="L23" s="174"/>
      <c r="M23" s="174"/>
      <c r="N23" s="174"/>
      <c r="O23" s="174"/>
      <c r="P23" s="174"/>
      <c r="Q23" s="174"/>
      <c r="R23" s="174"/>
      <c r="S23" s="174"/>
      <c r="T23" s="174"/>
      <c r="U23" s="174"/>
      <c r="V23" s="174"/>
    </row>
    <row r="24" spans="1:22" x14ac:dyDescent="0.2">
      <c r="A24" s="14">
        <f>IFERROR(IF(PAAR!$B$10="English",'Add Info-Info Supp-Info Ad'!$A24,IF(PAAR!$B$10="Français",VLOOKUP('Add Info-Info Supp-Info Ad'!$A24,For_EN[],3,0),IF(PAAR!$B$10="Español",VLOOKUP('Add Info-Info Supp-Info Ad'!$A24,For_EN[[Español]:[English]],2,0)))),0)</f>
        <v>0</v>
      </c>
      <c r="B24" s="14">
        <f>IFERROR(IF(PAAR!$B$10="English",'Add Info-Info Supp-Info Ad'!$B24,IF(PAAR!$B$10="Français",VLOOKUP('Add Info-Info Supp-Info Ad'!$B24,For_EN[],3,0),IF(PAAR!$B$10="Español",VLOOKUP('Add Info-Info Supp-Info Ad'!$B24,For_EN[[Español]:[English]],2,0)))),0)</f>
        <v>0</v>
      </c>
      <c r="C24" s="14">
        <f>IFERROR(IF(PAAR!$B$10="English",'Add Info-Info Supp-Info Ad'!$C24,IF(PAAR!$B$10="Français",VLOOKUP('Add Info-Info Supp-Info Ad'!$C24,For_EN[],3,0),IF(PAAR!$B$10="Español",VLOOKUP('Add Info-Info Supp-Info Ad'!$C24,For_EN[[Español]:[English]],2,0)))),0)</f>
        <v>0</v>
      </c>
      <c r="D24" s="174">
        <f>'Add Info-Info Supp-Info Ad'!D24</f>
        <v>0</v>
      </c>
      <c r="E24" s="174"/>
      <c r="F24" s="174"/>
      <c r="G24" s="174"/>
      <c r="H24" s="174"/>
      <c r="I24" s="174"/>
      <c r="J24" s="174"/>
      <c r="K24" s="174"/>
      <c r="L24" s="174"/>
      <c r="M24" s="174"/>
      <c r="N24" s="174"/>
      <c r="O24" s="174"/>
      <c r="P24" s="174"/>
      <c r="Q24" s="174"/>
      <c r="R24" s="174"/>
      <c r="S24" s="174"/>
      <c r="T24" s="174"/>
      <c r="U24" s="174"/>
      <c r="V24" s="174"/>
    </row>
    <row r="25" spans="1:22" x14ac:dyDescent="0.2">
      <c r="A25" s="14">
        <f>IFERROR(IF(PAAR!$B$10="English",'Add Info-Info Supp-Info Ad'!$A25,IF(PAAR!$B$10="Français",VLOOKUP('Add Info-Info Supp-Info Ad'!$A25,For_EN[],3,0),IF(PAAR!$B$10="Español",VLOOKUP('Add Info-Info Supp-Info Ad'!$A25,For_EN[[Español]:[English]],2,0)))),0)</f>
        <v>0</v>
      </c>
      <c r="B25" s="14">
        <f>IFERROR(IF(PAAR!$B$10="English",'Add Info-Info Supp-Info Ad'!$B25,IF(PAAR!$B$10="Français",VLOOKUP('Add Info-Info Supp-Info Ad'!$B25,For_EN[],3,0),IF(PAAR!$B$10="Español",VLOOKUP('Add Info-Info Supp-Info Ad'!$B25,For_EN[[Español]:[English]],2,0)))),0)</f>
        <v>0</v>
      </c>
      <c r="C25" s="14">
        <f>IFERROR(IF(PAAR!$B$10="English",'Add Info-Info Supp-Info Ad'!$C25,IF(PAAR!$B$10="Français",VLOOKUP('Add Info-Info Supp-Info Ad'!$C25,For_EN[],3,0),IF(PAAR!$B$10="Español",VLOOKUP('Add Info-Info Supp-Info Ad'!$C25,For_EN[[Español]:[English]],2,0)))),0)</f>
        <v>0</v>
      </c>
      <c r="D25" s="174">
        <f>'Add Info-Info Supp-Info Ad'!D25</f>
        <v>0</v>
      </c>
      <c r="E25" s="174"/>
      <c r="F25" s="174"/>
      <c r="G25" s="174"/>
      <c r="H25" s="174"/>
      <c r="I25" s="174"/>
      <c r="J25" s="174"/>
      <c r="K25" s="174"/>
      <c r="L25" s="174"/>
      <c r="M25" s="174"/>
      <c r="N25" s="174"/>
      <c r="O25" s="174"/>
      <c r="P25" s="174"/>
      <c r="Q25" s="174"/>
      <c r="R25" s="174"/>
      <c r="S25" s="174"/>
      <c r="T25" s="174"/>
      <c r="U25" s="174"/>
      <c r="V25" s="174"/>
    </row>
    <row r="26" spans="1:22" x14ac:dyDescent="0.2">
      <c r="A26" s="14">
        <f>IFERROR(IF(PAAR!$B$10="English",'Add Info-Info Supp-Info Ad'!$A26,IF(PAAR!$B$10="Français",VLOOKUP('Add Info-Info Supp-Info Ad'!$A26,For_EN[],3,0),IF(PAAR!$B$10="Español",VLOOKUP('Add Info-Info Supp-Info Ad'!$A26,For_EN[[Español]:[English]],2,0)))),0)</f>
        <v>0</v>
      </c>
      <c r="B26" s="14">
        <f>IFERROR(IF(PAAR!$B$10="English",'Add Info-Info Supp-Info Ad'!$B26,IF(PAAR!$B$10="Français",VLOOKUP('Add Info-Info Supp-Info Ad'!$B26,For_EN[],3,0),IF(PAAR!$B$10="Español",VLOOKUP('Add Info-Info Supp-Info Ad'!$B26,For_EN[[Español]:[English]],2,0)))),0)</f>
        <v>0</v>
      </c>
      <c r="C26" s="14">
        <f>IFERROR(IF(PAAR!$B$10="English",'Add Info-Info Supp-Info Ad'!$C26,IF(PAAR!$B$10="Français",VLOOKUP('Add Info-Info Supp-Info Ad'!$C26,For_EN[],3,0),IF(PAAR!$B$10="Español",VLOOKUP('Add Info-Info Supp-Info Ad'!$C26,For_EN[[Español]:[English]],2,0)))),0)</f>
        <v>0</v>
      </c>
      <c r="D26" s="174">
        <f>'Add Info-Info Supp-Info Ad'!D26</f>
        <v>0</v>
      </c>
      <c r="E26" s="174"/>
      <c r="F26" s="174"/>
      <c r="G26" s="174"/>
      <c r="H26" s="174"/>
      <c r="I26" s="174"/>
      <c r="J26" s="174"/>
      <c r="K26" s="174"/>
      <c r="L26" s="174"/>
      <c r="M26" s="174"/>
      <c r="N26" s="174"/>
      <c r="O26" s="174"/>
      <c r="P26" s="174"/>
      <c r="Q26" s="174"/>
      <c r="R26" s="174"/>
      <c r="S26" s="174"/>
      <c r="T26" s="174"/>
      <c r="U26" s="174"/>
      <c r="V26" s="174"/>
    </row>
    <row r="27" spans="1:22" x14ac:dyDescent="0.2">
      <c r="A27" s="14">
        <f>IFERROR(IF(PAAR!$B$10="English",'Add Info-Info Supp-Info Ad'!$A27,IF(PAAR!$B$10="Français",VLOOKUP('Add Info-Info Supp-Info Ad'!$A27,For_EN[],3,0),IF(PAAR!$B$10="Español",VLOOKUP('Add Info-Info Supp-Info Ad'!$A27,For_EN[[Español]:[English]],2,0)))),0)</f>
        <v>0</v>
      </c>
      <c r="B27" s="14">
        <f>IFERROR(IF(PAAR!$B$10="English",'Add Info-Info Supp-Info Ad'!$B27,IF(PAAR!$B$10="Français",VLOOKUP('Add Info-Info Supp-Info Ad'!$B27,For_EN[],3,0),IF(PAAR!$B$10="Español",VLOOKUP('Add Info-Info Supp-Info Ad'!$B27,For_EN[[Español]:[English]],2,0)))),0)</f>
        <v>0</v>
      </c>
      <c r="C27" s="14">
        <f>IFERROR(IF(PAAR!$B$10="English",'Add Info-Info Supp-Info Ad'!$C27,IF(PAAR!$B$10="Français",VLOOKUP('Add Info-Info Supp-Info Ad'!$C27,For_EN[],3,0),IF(PAAR!$B$10="Español",VLOOKUP('Add Info-Info Supp-Info Ad'!$C27,For_EN[[Español]:[English]],2,0)))),0)</f>
        <v>0</v>
      </c>
      <c r="D27" s="174">
        <f>'Add Info-Info Supp-Info Ad'!D27</f>
        <v>0</v>
      </c>
      <c r="E27" s="174"/>
      <c r="F27" s="174"/>
      <c r="G27" s="174"/>
      <c r="H27" s="174"/>
      <c r="I27" s="174"/>
      <c r="J27" s="174"/>
      <c r="K27" s="174"/>
      <c r="L27" s="174"/>
      <c r="M27" s="174"/>
      <c r="N27" s="174"/>
      <c r="O27" s="174"/>
      <c r="P27" s="174"/>
      <c r="Q27" s="174"/>
      <c r="R27" s="174"/>
      <c r="S27" s="174"/>
      <c r="T27" s="174"/>
      <c r="U27" s="174"/>
      <c r="V27" s="174"/>
    </row>
    <row r="28" spans="1:22" x14ac:dyDescent="0.2">
      <c r="A28" s="14">
        <f>IFERROR(IF(PAAR!$B$10="English",'Add Info-Info Supp-Info Ad'!$A28,IF(PAAR!$B$10="Français",VLOOKUP('Add Info-Info Supp-Info Ad'!$A28,For_EN[],3,0),IF(PAAR!$B$10="Español",VLOOKUP('Add Info-Info Supp-Info Ad'!$A28,For_EN[[Español]:[English]],2,0)))),0)</f>
        <v>0</v>
      </c>
      <c r="B28" s="14">
        <f>IFERROR(IF(PAAR!$B$10="English",'Add Info-Info Supp-Info Ad'!$B28,IF(PAAR!$B$10="Français",VLOOKUP('Add Info-Info Supp-Info Ad'!$B28,For_EN[],3,0),IF(PAAR!$B$10="Español",VLOOKUP('Add Info-Info Supp-Info Ad'!$B28,For_EN[[Español]:[English]],2,0)))),0)</f>
        <v>0</v>
      </c>
      <c r="C28" s="14">
        <f>IFERROR(IF(PAAR!$B$10="English",'Add Info-Info Supp-Info Ad'!$C28,IF(PAAR!$B$10="Français",VLOOKUP('Add Info-Info Supp-Info Ad'!$C28,For_EN[],3,0),IF(PAAR!$B$10="Español",VLOOKUP('Add Info-Info Supp-Info Ad'!$C28,For_EN[[Español]:[English]],2,0)))),0)</f>
        <v>0</v>
      </c>
      <c r="D28" s="174">
        <f>'Add Info-Info Supp-Info Ad'!D28</f>
        <v>0</v>
      </c>
      <c r="E28" s="174"/>
      <c r="F28" s="174"/>
      <c r="G28" s="174"/>
      <c r="H28" s="174"/>
      <c r="I28" s="174"/>
      <c r="J28" s="174"/>
      <c r="K28" s="174"/>
      <c r="L28" s="174"/>
      <c r="M28" s="174"/>
      <c r="N28" s="174"/>
      <c r="O28" s="174"/>
      <c r="P28" s="174"/>
      <c r="Q28" s="174"/>
      <c r="R28" s="174"/>
      <c r="S28" s="174"/>
      <c r="T28" s="174"/>
      <c r="U28" s="174"/>
      <c r="V28" s="174"/>
    </row>
    <row r="29" spans="1:22" x14ac:dyDescent="0.2">
      <c r="A29" s="14">
        <f>IFERROR(IF(PAAR!$B$10="English",'Add Info-Info Supp-Info Ad'!$A29,IF(PAAR!$B$10="Français",VLOOKUP('Add Info-Info Supp-Info Ad'!$A29,For_EN[],3,0),IF(PAAR!$B$10="Español",VLOOKUP('Add Info-Info Supp-Info Ad'!$A29,For_EN[[Español]:[English]],2,0)))),0)</f>
        <v>0</v>
      </c>
      <c r="B29" s="14">
        <f>IFERROR(IF(PAAR!$B$10="English",'Add Info-Info Supp-Info Ad'!$B29,IF(PAAR!$B$10="Français",VLOOKUP('Add Info-Info Supp-Info Ad'!$B29,For_EN[],3,0),IF(PAAR!$B$10="Español",VLOOKUP('Add Info-Info Supp-Info Ad'!$B29,For_EN[[Español]:[English]],2,0)))),0)</f>
        <v>0</v>
      </c>
      <c r="C29" s="14">
        <f>IFERROR(IF(PAAR!$B$10="English",'Add Info-Info Supp-Info Ad'!$C29,IF(PAAR!$B$10="Français",VLOOKUP('Add Info-Info Supp-Info Ad'!$C29,For_EN[],3,0),IF(PAAR!$B$10="Español",VLOOKUP('Add Info-Info Supp-Info Ad'!$C29,For_EN[[Español]:[English]],2,0)))),0)</f>
        <v>0</v>
      </c>
      <c r="D29" s="174">
        <f>'Add Info-Info Supp-Info Ad'!D29</f>
        <v>0</v>
      </c>
      <c r="E29" s="174"/>
      <c r="F29" s="174"/>
      <c r="G29" s="174"/>
      <c r="H29" s="174"/>
      <c r="I29" s="174"/>
      <c r="J29" s="174"/>
      <c r="K29" s="174"/>
      <c r="L29" s="174"/>
      <c r="M29" s="174"/>
      <c r="N29" s="174"/>
      <c r="O29" s="174"/>
      <c r="P29" s="174"/>
      <c r="Q29" s="174"/>
      <c r="R29" s="174"/>
      <c r="S29" s="174"/>
      <c r="T29" s="174"/>
      <c r="U29" s="174"/>
      <c r="V29" s="174"/>
    </row>
    <row r="30" spans="1:22" x14ac:dyDescent="0.2">
      <c r="A30" s="14">
        <f>IFERROR(IF(PAAR!$B$10="English",'Add Info-Info Supp-Info Ad'!$A30,IF(PAAR!$B$10="Français",VLOOKUP('Add Info-Info Supp-Info Ad'!$A30,For_EN[],3,0),IF(PAAR!$B$10="Español",VLOOKUP('Add Info-Info Supp-Info Ad'!$A30,For_EN[[Español]:[English]],2,0)))),0)</f>
        <v>0</v>
      </c>
      <c r="B30" s="14">
        <f>IFERROR(IF(PAAR!$B$10="English",'Add Info-Info Supp-Info Ad'!$B30,IF(PAAR!$B$10="Français",VLOOKUP('Add Info-Info Supp-Info Ad'!$B30,For_EN[],3,0),IF(PAAR!$B$10="Español",VLOOKUP('Add Info-Info Supp-Info Ad'!$B30,For_EN[[Español]:[English]],2,0)))),0)</f>
        <v>0</v>
      </c>
      <c r="C30" s="14">
        <f>IFERROR(IF(PAAR!$B$10="English",'Add Info-Info Supp-Info Ad'!$C30,IF(PAAR!$B$10="Français",VLOOKUP('Add Info-Info Supp-Info Ad'!$C30,For_EN[],3,0),IF(PAAR!$B$10="Español",VLOOKUP('Add Info-Info Supp-Info Ad'!$C30,For_EN[[Español]:[English]],2,0)))),0)</f>
        <v>0</v>
      </c>
      <c r="D30" s="174">
        <f>'Add Info-Info Supp-Info Ad'!D30</f>
        <v>0</v>
      </c>
      <c r="E30" s="174"/>
      <c r="F30" s="174"/>
      <c r="G30" s="174"/>
      <c r="H30" s="174"/>
      <c r="I30" s="174"/>
      <c r="J30" s="174"/>
      <c r="K30" s="174"/>
      <c r="L30" s="174"/>
      <c r="M30" s="174"/>
      <c r="N30" s="174"/>
      <c r="O30" s="174"/>
      <c r="P30" s="174"/>
      <c r="Q30" s="174"/>
      <c r="R30" s="174"/>
      <c r="S30" s="174"/>
      <c r="T30" s="174"/>
      <c r="U30" s="174"/>
      <c r="V30" s="174"/>
    </row>
    <row r="31" spans="1:22" x14ac:dyDescent="0.2">
      <c r="A31" s="14">
        <f>IFERROR(IF(PAAR!$B$10="English",'Add Info-Info Supp-Info Ad'!$A31,IF(PAAR!$B$10="Français",VLOOKUP('Add Info-Info Supp-Info Ad'!$A31,For_EN[],3,0),IF(PAAR!$B$10="Español",VLOOKUP('Add Info-Info Supp-Info Ad'!$A31,For_EN[[Español]:[English]],2,0)))),0)</f>
        <v>0</v>
      </c>
      <c r="B31" s="14">
        <f>IFERROR(IF(PAAR!$B$10="English",'Add Info-Info Supp-Info Ad'!$B31,IF(PAAR!$B$10="Français",VLOOKUP('Add Info-Info Supp-Info Ad'!$B31,For_EN[],3,0),IF(PAAR!$B$10="Español",VLOOKUP('Add Info-Info Supp-Info Ad'!$B31,For_EN[[Español]:[English]],2,0)))),0)</f>
        <v>0</v>
      </c>
      <c r="C31" s="14">
        <f>IFERROR(IF(PAAR!$B$10="English",'Add Info-Info Supp-Info Ad'!$C31,IF(PAAR!$B$10="Français",VLOOKUP('Add Info-Info Supp-Info Ad'!$C31,For_EN[],3,0),IF(PAAR!$B$10="Español",VLOOKUP('Add Info-Info Supp-Info Ad'!$C31,For_EN[[Español]:[English]],2,0)))),0)</f>
        <v>0</v>
      </c>
      <c r="D31" s="174">
        <f>'Add Info-Info Supp-Info Ad'!D31</f>
        <v>0</v>
      </c>
      <c r="E31" s="174"/>
      <c r="F31" s="174"/>
      <c r="G31" s="174"/>
      <c r="H31" s="174"/>
      <c r="I31" s="174"/>
      <c r="J31" s="174"/>
      <c r="K31" s="174"/>
      <c r="L31" s="174"/>
      <c r="M31" s="174"/>
      <c r="N31" s="174"/>
      <c r="O31" s="174"/>
      <c r="P31" s="174"/>
      <c r="Q31" s="174"/>
      <c r="R31" s="174"/>
      <c r="S31" s="174"/>
      <c r="T31" s="174"/>
      <c r="U31" s="174"/>
      <c r="V31" s="174"/>
    </row>
    <row r="32" spans="1:22" x14ac:dyDescent="0.2">
      <c r="A32" s="14">
        <f>IFERROR(IF(PAAR!$B$10="English",'Add Info-Info Supp-Info Ad'!$A32,IF(PAAR!$B$10="Français",VLOOKUP('Add Info-Info Supp-Info Ad'!$A32,For_EN[],3,0),IF(PAAR!$B$10="Español",VLOOKUP('Add Info-Info Supp-Info Ad'!$A32,For_EN[[Español]:[English]],2,0)))),0)</f>
        <v>0</v>
      </c>
      <c r="B32" s="14">
        <f>IFERROR(IF(PAAR!$B$10="English",'Add Info-Info Supp-Info Ad'!$B32,IF(PAAR!$B$10="Français",VLOOKUP('Add Info-Info Supp-Info Ad'!$B32,For_EN[],3,0),IF(PAAR!$B$10="Español",VLOOKUP('Add Info-Info Supp-Info Ad'!$B32,For_EN[[Español]:[English]],2,0)))),0)</f>
        <v>0</v>
      </c>
      <c r="C32" s="14">
        <f>IFERROR(IF(PAAR!$B$10="English",'Add Info-Info Supp-Info Ad'!$C32,IF(PAAR!$B$10="Français",VLOOKUP('Add Info-Info Supp-Info Ad'!$C32,For_EN[],3,0),IF(PAAR!$B$10="Español",VLOOKUP('Add Info-Info Supp-Info Ad'!$C32,For_EN[[Español]:[English]],2,0)))),0)</f>
        <v>0</v>
      </c>
      <c r="D32" s="174">
        <f>'Add Info-Info Supp-Info Ad'!D32</f>
        <v>0</v>
      </c>
      <c r="E32" s="174"/>
      <c r="F32" s="174"/>
      <c r="G32" s="174"/>
      <c r="H32" s="174"/>
      <c r="I32" s="174"/>
      <c r="J32" s="174"/>
      <c r="K32" s="174"/>
      <c r="L32" s="174"/>
      <c r="M32" s="174"/>
      <c r="N32" s="174"/>
      <c r="O32" s="174"/>
      <c r="P32" s="174"/>
      <c r="Q32" s="174"/>
      <c r="R32" s="174"/>
      <c r="S32" s="174"/>
      <c r="T32" s="174"/>
      <c r="U32" s="174"/>
      <c r="V32" s="174"/>
    </row>
    <row r="33" spans="1:22" x14ac:dyDescent="0.2">
      <c r="A33" s="14">
        <f>IFERROR(IF(PAAR!$B$10="English",'Add Info-Info Supp-Info Ad'!$A33,IF(PAAR!$B$10="Français",VLOOKUP('Add Info-Info Supp-Info Ad'!$A33,For_EN[],3,0),IF(PAAR!$B$10="Español",VLOOKUP('Add Info-Info Supp-Info Ad'!$A33,For_EN[[Español]:[English]],2,0)))),0)</f>
        <v>0</v>
      </c>
      <c r="B33" s="14">
        <f>IFERROR(IF(PAAR!$B$10="English",'Add Info-Info Supp-Info Ad'!$B33,IF(PAAR!$B$10="Français",VLOOKUP('Add Info-Info Supp-Info Ad'!$B33,For_EN[],3,0),IF(PAAR!$B$10="Español",VLOOKUP('Add Info-Info Supp-Info Ad'!$B33,For_EN[[Español]:[English]],2,0)))),0)</f>
        <v>0</v>
      </c>
      <c r="C33" s="14">
        <f>IFERROR(IF(PAAR!$B$10="English",'Add Info-Info Supp-Info Ad'!$C33,IF(PAAR!$B$10="Français",VLOOKUP('Add Info-Info Supp-Info Ad'!$C33,For_EN[],3,0),IF(PAAR!$B$10="Español",VLOOKUP('Add Info-Info Supp-Info Ad'!$C33,For_EN[[Español]:[English]],2,0)))),0)</f>
        <v>0</v>
      </c>
      <c r="D33" s="174">
        <f>'Add Info-Info Supp-Info Ad'!D33</f>
        <v>0</v>
      </c>
      <c r="E33" s="174"/>
      <c r="F33" s="174"/>
      <c r="G33" s="174"/>
      <c r="H33" s="174"/>
      <c r="I33" s="174"/>
      <c r="J33" s="174"/>
      <c r="K33" s="174"/>
      <c r="L33" s="174"/>
      <c r="M33" s="174"/>
      <c r="N33" s="174"/>
      <c r="O33" s="174"/>
      <c r="P33" s="174"/>
      <c r="Q33" s="174"/>
      <c r="R33" s="174"/>
      <c r="S33" s="174"/>
      <c r="T33" s="174"/>
      <c r="U33" s="174"/>
      <c r="V33" s="174"/>
    </row>
    <row r="34" spans="1:22" x14ac:dyDescent="0.2">
      <c r="A34" s="14">
        <f>IFERROR(IF(PAAR!$B$10="English",'Add Info-Info Supp-Info Ad'!$A34,IF(PAAR!$B$10="Français",VLOOKUP('Add Info-Info Supp-Info Ad'!$A34,For_EN[],3,0),IF(PAAR!$B$10="Español",VLOOKUP('Add Info-Info Supp-Info Ad'!$A34,For_EN[[Español]:[English]],2,0)))),0)</f>
        <v>0</v>
      </c>
      <c r="B34" s="14">
        <f>IFERROR(IF(PAAR!$B$10="English",'Add Info-Info Supp-Info Ad'!$B34,IF(PAAR!$B$10="Français",VLOOKUP('Add Info-Info Supp-Info Ad'!$B34,For_EN[],3,0),IF(PAAR!$B$10="Español",VLOOKUP('Add Info-Info Supp-Info Ad'!$B34,For_EN[[Español]:[English]],2,0)))),0)</f>
        <v>0</v>
      </c>
      <c r="C34" s="14">
        <f>IFERROR(IF(PAAR!$B$10="English",'Add Info-Info Supp-Info Ad'!$C34,IF(PAAR!$B$10="Français",VLOOKUP('Add Info-Info Supp-Info Ad'!$C34,For_EN[],3,0),IF(PAAR!$B$10="Español",VLOOKUP('Add Info-Info Supp-Info Ad'!$C34,For_EN[[Español]:[English]],2,0)))),0)</f>
        <v>0</v>
      </c>
      <c r="D34" s="174">
        <f>'Add Info-Info Supp-Info Ad'!D34</f>
        <v>0</v>
      </c>
      <c r="E34" s="174"/>
      <c r="F34" s="174"/>
      <c r="G34" s="174"/>
      <c r="H34" s="174"/>
      <c r="I34" s="174"/>
      <c r="J34" s="174"/>
      <c r="K34" s="174"/>
      <c r="L34" s="174"/>
      <c r="M34" s="174"/>
      <c r="N34" s="174"/>
      <c r="O34" s="174"/>
      <c r="P34" s="174"/>
      <c r="Q34" s="174"/>
      <c r="R34" s="174"/>
      <c r="S34" s="174"/>
      <c r="T34" s="174"/>
      <c r="U34" s="174"/>
      <c r="V34" s="174"/>
    </row>
    <row r="35" spans="1:22" x14ac:dyDescent="0.2">
      <c r="A35" s="14">
        <f>IFERROR(IF(PAAR!$B$10="English",'Add Info-Info Supp-Info Ad'!$A35,IF(PAAR!$B$10="Français",VLOOKUP('Add Info-Info Supp-Info Ad'!$A35,For_EN[],3,0),IF(PAAR!$B$10="Español",VLOOKUP('Add Info-Info Supp-Info Ad'!$A35,For_EN[[Español]:[English]],2,0)))),0)</f>
        <v>0</v>
      </c>
      <c r="B35" s="14">
        <f>IFERROR(IF(PAAR!$B$10="English",'Add Info-Info Supp-Info Ad'!$B35,IF(PAAR!$B$10="Français",VLOOKUP('Add Info-Info Supp-Info Ad'!$B35,For_EN[],3,0),IF(PAAR!$B$10="Español",VLOOKUP('Add Info-Info Supp-Info Ad'!$B35,For_EN[[Español]:[English]],2,0)))),0)</f>
        <v>0</v>
      </c>
      <c r="C35" s="14">
        <f>IFERROR(IF(PAAR!$B$10="English",'Add Info-Info Supp-Info Ad'!$C35,IF(PAAR!$B$10="Français",VLOOKUP('Add Info-Info Supp-Info Ad'!$C35,For_EN[],3,0),IF(PAAR!$B$10="Español",VLOOKUP('Add Info-Info Supp-Info Ad'!$C35,For_EN[[Español]:[English]],2,0)))),0)</f>
        <v>0</v>
      </c>
      <c r="D35" s="174">
        <f>'Add Info-Info Supp-Info Ad'!D35</f>
        <v>0</v>
      </c>
      <c r="E35" s="174"/>
      <c r="F35" s="174"/>
      <c r="G35" s="174"/>
      <c r="H35" s="174"/>
      <c r="I35" s="174"/>
      <c r="J35" s="174"/>
      <c r="K35" s="174"/>
      <c r="L35" s="174"/>
      <c r="M35" s="174"/>
      <c r="N35" s="174"/>
      <c r="O35" s="174"/>
      <c r="P35" s="174"/>
      <c r="Q35" s="174"/>
      <c r="R35" s="174"/>
      <c r="S35" s="174"/>
      <c r="T35" s="174"/>
      <c r="U35" s="174"/>
      <c r="V35" s="174"/>
    </row>
  </sheetData>
  <sheetProtection formatRows="0" insertRows="0"/>
  <mergeCells count="35">
    <mergeCell ref="D31:V31"/>
    <mergeCell ref="D32:V32"/>
    <mergeCell ref="D33:V33"/>
    <mergeCell ref="D34:V34"/>
    <mergeCell ref="D35:V35"/>
    <mergeCell ref="D30:V30"/>
    <mergeCell ref="D19:V19"/>
    <mergeCell ref="D20:V20"/>
    <mergeCell ref="D21:V21"/>
    <mergeCell ref="D22:V22"/>
    <mergeCell ref="D23:V23"/>
    <mergeCell ref="D24:V24"/>
    <mergeCell ref="D25:V25"/>
    <mergeCell ref="D26:V26"/>
    <mergeCell ref="D27:V27"/>
    <mergeCell ref="D28:V28"/>
    <mergeCell ref="D29:V29"/>
    <mergeCell ref="D18:V18"/>
    <mergeCell ref="D7:V7"/>
    <mergeCell ref="D8:V8"/>
    <mergeCell ref="D9:V9"/>
    <mergeCell ref="D10:V10"/>
    <mergeCell ref="D11:V11"/>
    <mergeCell ref="D12:V12"/>
    <mergeCell ref="D13:V13"/>
    <mergeCell ref="D14:V14"/>
    <mergeCell ref="D15:V15"/>
    <mergeCell ref="D16:V16"/>
    <mergeCell ref="D17:V17"/>
    <mergeCell ref="D6:V6"/>
    <mergeCell ref="A1:V1"/>
    <mergeCell ref="A2:V2"/>
    <mergeCell ref="D3:V3"/>
    <mergeCell ref="D4:V4"/>
    <mergeCell ref="D5:V5"/>
  </mergeCells>
  <pageMargins left="0.7" right="0.7" top="0.75" bottom="0.75" header="0.3" footer="0.3"/>
  <pageSetup paperSize="9" scale="3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0000"/>
  </sheetPr>
  <dimension ref="A1:DJ583"/>
  <sheetViews>
    <sheetView topLeftCell="W4" zoomScale="50" zoomScaleNormal="50" workbookViewId="0">
      <selection activeCell="Z4" sqref="Z4"/>
    </sheetView>
  </sheetViews>
  <sheetFormatPr baseColWidth="10" defaultColWidth="2.5" defaultRowHeight="15" x14ac:dyDescent="0.2"/>
  <cols>
    <col min="1" max="1" width="13.5" style="1" bestFit="1" customWidth="1" collapsed="1"/>
    <col min="2" max="2" width="14.5" style="1" bestFit="1" customWidth="1" collapsed="1"/>
    <col min="3" max="3" width="15.5" style="1" customWidth="1" collapsed="1"/>
    <col min="4" max="4" width="12.5" style="1" bestFit="1" customWidth="1" collapsed="1"/>
    <col min="5" max="5" width="15.5" style="1" customWidth="1" collapsed="1"/>
    <col min="6" max="6" width="19.5" style="1" bestFit="1" customWidth="1" collapsed="1"/>
    <col min="7" max="7" width="28.5" style="1" bestFit="1" customWidth="1" collapsed="1"/>
    <col min="8" max="8" width="19.5" style="1" bestFit="1" customWidth="1" collapsed="1"/>
    <col min="9" max="9" width="21.5" style="1" customWidth="1" collapsed="1"/>
    <col min="10" max="10" width="19.5" style="1" bestFit="1" customWidth="1" collapsed="1"/>
    <col min="11" max="11" width="19.5" style="1" customWidth="1" collapsed="1"/>
    <col min="12" max="12" width="100.5" style="1" customWidth="1" collapsed="1"/>
    <col min="13" max="13" width="19.5" style="1" customWidth="1" collapsed="1"/>
    <col min="14" max="14" width="120.5" style="1" customWidth="1" collapsed="1"/>
    <col min="15" max="17" width="19.5" style="1" customWidth="1" collapsed="1"/>
    <col min="18" max="19" width="11.5" style="1" bestFit="1" customWidth="1" collapsed="1"/>
    <col min="20" max="20" width="25.5" style="1" bestFit="1" customWidth="1" collapsed="1"/>
    <col min="21" max="21" width="18.5" style="1" customWidth="1" collapsed="1"/>
    <col min="22" max="22" width="17" bestFit="1" customWidth="1" collapsed="1"/>
    <col min="23" max="23" width="33.5" customWidth="1" collapsed="1"/>
    <col min="24" max="24" width="26.5" customWidth="1" collapsed="1"/>
    <col min="25" max="25" width="24.5" bestFit="1" customWidth="1" collapsed="1"/>
    <col min="26" max="26" width="32.5" style="1" customWidth="1" collapsed="1"/>
    <col min="27" max="27" width="28.5" style="1" customWidth="1" collapsed="1"/>
    <col min="28" max="29" width="20.5" style="1" bestFit="1" customWidth="1" collapsed="1"/>
    <col min="30" max="30" width="17.5" style="1" customWidth="1" collapsed="1"/>
    <col min="31" max="31" width="26.5" style="1" bestFit="1" customWidth="1" collapsed="1"/>
    <col min="32" max="32" width="12.5" style="1" bestFit="1" customWidth="1" collapsed="1"/>
    <col min="33" max="33" width="43.5" style="1" customWidth="1" collapsed="1"/>
    <col min="34" max="34" width="24.5" style="1" bestFit="1" customWidth="1"/>
    <col min="35" max="35" width="12.5" style="1" customWidth="1" collapsed="1"/>
    <col min="36" max="37" width="15.5" style="1" customWidth="1" collapsed="1"/>
    <col min="38" max="38" width="18.5" style="1" customWidth="1" collapsed="1"/>
    <col min="39" max="42" width="15.83203125" style="1" customWidth="1" collapsed="1"/>
    <col min="43" max="43" width="28.1640625" style="1" customWidth="1" collapsed="1"/>
    <col min="44" max="44" width="15.83203125" style="1" customWidth="1" collapsed="1"/>
    <col min="45" max="45" width="23.5" style="1" customWidth="1" collapsed="1"/>
    <col min="46" max="48" width="15.83203125" style="1" customWidth="1" collapsed="1"/>
    <col min="49" max="49" width="19.1640625" style="1" customWidth="1" collapsed="1"/>
    <col min="50" max="68" width="15.83203125" style="1" customWidth="1" collapsed="1"/>
    <col min="69" max="69" width="22.1640625" style="1" customWidth="1" collapsed="1"/>
    <col min="70" max="74" width="15.83203125" style="1" customWidth="1" collapsed="1"/>
    <col min="75" max="78" width="20" style="1" customWidth="1" collapsed="1"/>
    <col min="79" max="79" width="31.83203125" style="1" customWidth="1" collapsed="1"/>
    <col min="80" max="91" width="20" style="1" customWidth="1" collapsed="1"/>
    <col min="92" max="92" width="18.5" style="1" customWidth="1" collapsed="1"/>
    <col min="93" max="93" width="17.5" style="1" customWidth="1" collapsed="1"/>
    <col min="94" max="112" width="2.5" style="1" customWidth="1" collapsed="1"/>
    <col min="113" max="113" width="2.5" style="1" collapsed="1"/>
    <col min="114" max="114" width="2.5" style="1"/>
    <col min="115" max="16384" width="2.5" style="1" collapsed="1"/>
  </cols>
  <sheetData>
    <row r="1" spans="1:93" ht="54" customHeight="1" x14ac:dyDescent="0.2">
      <c r="A1" s="1" t="s">
        <v>1073</v>
      </c>
      <c r="B1" s="1" t="s">
        <v>1091</v>
      </c>
      <c r="C1" s="1" t="s">
        <v>1092</v>
      </c>
      <c r="D1" s="1" t="s">
        <v>1093</v>
      </c>
      <c r="E1" s="1" t="s">
        <v>1094</v>
      </c>
      <c r="F1" s="1" t="s">
        <v>1095</v>
      </c>
      <c r="G1" s="1" t="s">
        <v>1096</v>
      </c>
      <c r="H1" s="1" t="s">
        <v>1097</v>
      </c>
      <c r="I1" s="1" t="s">
        <v>1098</v>
      </c>
      <c r="J1" s="1" t="s">
        <v>1099</v>
      </c>
      <c r="K1" s="1" t="s">
        <v>1100</v>
      </c>
      <c r="L1" s="1" t="s">
        <v>1101</v>
      </c>
      <c r="M1" s="1" t="s">
        <v>1102</v>
      </c>
      <c r="N1" s="1" t="s">
        <v>1103</v>
      </c>
      <c r="O1" s="1" t="s">
        <v>1104</v>
      </c>
      <c r="P1" s="1" t="s">
        <v>1105</v>
      </c>
      <c r="Q1" s="1" t="s">
        <v>1106</v>
      </c>
      <c r="R1" s="1" t="s">
        <v>1107</v>
      </c>
      <c r="S1" s="1" t="s">
        <v>1108</v>
      </c>
      <c r="T1" s="1" t="s">
        <v>1109</v>
      </c>
      <c r="U1" s="1" t="s">
        <v>1110</v>
      </c>
      <c r="V1" s="1" t="s">
        <v>1111</v>
      </c>
      <c r="W1" s="1" t="s">
        <v>1112</v>
      </c>
      <c r="X1" s="1" t="s">
        <v>1113</v>
      </c>
      <c r="Y1" s="1" t="s">
        <v>1114</v>
      </c>
      <c r="Z1" s="1" t="s">
        <v>1115</v>
      </c>
      <c r="AA1" s="1" t="s">
        <v>1116</v>
      </c>
      <c r="AB1" s="1" t="s">
        <v>1117</v>
      </c>
      <c r="AC1" s="1" t="s">
        <v>1118</v>
      </c>
      <c r="AD1" s="1" t="s">
        <v>1119</v>
      </c>
      <c r="AE1" s="1" t="s">
        <v>1120</v>
      </c>
      <c r="AF1" s="1" t="s">
        <v>1121</v>
      </c>
      <c r="AG1" s="1" t="s">
        <v>1122</v>
      </c>
      <c r="AH1" s="1" t="s">
        <v>1123</v>
      </c>
      <c r="AI1" s="1" t="s">
        <v>1124</v>
      </c>
      <c r="AJ1" s="1" t="s">
        <v>1125</v>
      </c>
      <c r="AK1" s="1" t="s">
        <v>1126</v>
      </c>
      <c r="AL1" s="1" t="s">
        <v>1127</v>
      </c>
      <c r="AM1" s="1" t="s">
        <v>1128</v>
      </c>
      <c r="AN1" s="1" t="s">
        <v>1129</v>
      </c>
      <c r="AO1" s="1" t="s">
        <v>1130</v>
      </c>
      <c r="AP1" s="1" t="s">
        <v>1131</v>
      </c>
      <c r="AQ1" s="1" t="s">
        <v>1132</v>
      </c>
      <c r="AR1" s="1" t="s">
        <v>1133</v>
      </c>
      <c r="AS1" s="1" t="s">
        <v>1134</v>
      </c>
      <c r="AT1" s="1" t="s">
        <v>1135</v>
      </c>
      <c r="AU1" s="1" t="s">
        <v>1136</v>
      </c>
      <c r="AV1" s="1" t="s">
        <v>1137</v>
      </c>
      <c r="AW1" s="1" t="s">
        <v>1138</v>
      </c>
      <c r="AX1" s="1" t="s">
        <v>1139</v>
      </c>
      <c r="AY1" s="1" t="s">
        <v>1140</v>
      </c>
      <c r="AZ1" s="1" t="s">
        <v>1141</v>
      </c>
      <c r="BA1" s="1" t="s">
        <v>1142</v>
      </c>
      <c r="BB1" s="1" t="s">
        <v>1143</v>
      </c>
      <c r="BC1" s="1" t="s">
        <v>1144</v>
      </c>
      <c r="BD1" s="1" t="s">
        <v>1145</v>
      </c>
      <c r="BE1" s="1" t="s">
        <v>1146</v>
      </c>
      <c r="BF1" s="1" t="s">
        <v>1147</v>
      </c>
      <c r="BG1" s="1" t="s">
        <v>1148</v>
      </c>
      <c r="BH1" s="1" t="s">
        <v>1149</v>
      </c>
      <c r="BI1" s="1" t="s">
        <v>1150</v>
      </c>
      <c r="BJ1" s="1" t="s">
        <v>1151</v>
      </c>
      <c r="BK1" s="1" t="s">
        <v>1152</v>
      </c>
      <c r="BL1" s="1" t="s">
        <v>1153</v>
      </c>
      <c r="BM1" s="1" t="s">
        <v>1154</v>
      </c>
      <c r="BN1" s="1" t="s">
        <v>1155</v>
      </c>
      <c r="BO1" s="1" t="s">
        <v>1156</v>
      </c>
      <c r="BP1" s="1" t="s">
        <v>1157</v>
      </c>
      <c r="BQ1" s="1" t="s">
        <v>1158</v>
      </c>
      <c r="BR1" s="1" t="s">
        <v>1159</v>
      </c>
      <c r="BS1" s="1" t="s">
        <v>1160</v>
      </c>
      <c r="BT1" s="1" t="s">
        <v>1161</v>
      </c>
      <c r="BU1" s="1" t="s">
        <v>1162</v>
      </c>
      <c r="BV1" s="1" t="s">
        <v>1163</v>
      </c>
      <c r="BW1" s="1" t="s">
        <v>1164</v>
      </c>
      <c r="BX1" s="1" t="s">
        <v>1165</v>
      </c>
      <c r="BY1" s="1" t="s">
        <v>1166</v>
      </c>
      <c r="BZ1" s="1" t="s">
        <v>1167</v>
      </c>
      <c r="CA1" s="1" t="s">
        <v>1168</v>
      </c>
      <c r="CB1" s="1" t="s">
        <v>1169</v>
      </c>
      <c r="CC1" s="1" t="s">
        <v>1170</v>
      </c>
      <c r="CD1" s="1" t="s">
        <v>1171</v>
      </c>
      <c r="CE1" s="1" t="s">
        <v>1172</v>
      </c>
      <c r="CF1" s="1" t="s">
        <v>1173</v>
      </c>
      <c r="CG1" s="1" t="s">
        <v>1174</v>
      </c>
      <c r="CH1" s="1" t="s">
        <v>1175</v>
      </c>
      <c r="CI1" s="1" t="s">
        <v>1176</v>
      </c>
      <c r="CJ1" s="1" t="s">
        <v>1177</v>
      </c>
      <c r="CK1" s="1" t="s">
        <v>1178</v>
      </c>
      <c r="CL1" s="1" t="s">
        <v>1179</v>
      </c>
      <c r="CM1" s="1" t="s">
        <v>1180</v>
      </c>
      <c r="CN1" s="1" t="s">
        <v>1181</v>
      </c>
      <c r="CO1" s="1" t="s">
        <v>1182</v>
      </c>
    </row>
    <row r="2" spans="1:93" ht="344.5" customHeight="1" x14ac:dyDescent="0.2">
      <c r="A2" s="1" t="s">
        <v>7</v>
      </c>
      <c r="B2" s="1" t="s">
        <v>1073</v>
      </c>
      <c r="C2" s="1" t="s">
        <v>1072</v>
      </c>
      <c r="D2" s="1" t="s">
        <v>1183</v>
      </c>
      <c r="E2" s="1" t="s">
        <v>1184</v>
      </c>
      <c r="F2" s="1" t="s">
        <v>1185</v>
      </c>
      <c r="G2" s="1" t="s">
        <v>1186</v>
      </c>
      <c r="H2" s="1" t="s">
        <v>1187</v>
      </c>
      <c r="I2" s="1" t="s">
        <v>1188</v>
      </c>
      <c r="J2" s="1" t="s">
        <v>1189</v>
      </c>
      <c r="K2" s="1" t="s">
        <v>1075</v>
      </c>
      <c r="L2" s="1" t="s">
        <v>1076</v>
      </c>
      <c r="M2" s="1" t="s">
        <v>1072</v>
      </c>
      <c r="N2" s="1" t="s">
        <v>1190</v>
      </c>
      <c r="O2" s="1" t="s">
        <v>30</v>
      </c>
      <c r="P2" s="1" t="s">
        <v>22</v>
      </c>
      <c r="Q2" s="1" t="s">
        <v>1078</v>
      </c>
      <c r="R2" s="1" t="s">
        <v>1079</v>
      </c>
      <c r="S2" s="1" t="s">
        <v>1080</v>
      </c>
      <c r="T2" s="1" t="s">
        <v>1081</v>
      </c>
      <c r="U2" s="1" t="s">
        <v>1191</v>
      </c>
      <c r="V2" s="1" t="s">
        <v>1192</v>
      </c>
      <c r="W2" s="1" t="s">
        <v>38</v>
      </c>
      <c r="X2" s="1" t="s">
        <v>1193</v>
      </c>
      <c r="Y2" s="1" t="s">
        <v>1085</v>
      </c>
      <c r="Z2" s="1" t="s">
        <v>1084</v>
      </c>
      <c r="AA2" s="1" t="s">
        <v>1087</v>
      </c>
      <c r="AB2" s="1" t="s">
        <v>22</v>
      </c>
      <c r="AC2" s="1" t="s">
        <v>1088</v>
      </c>
      <c r="AD2" s="1" t="s">
        <v>1089</v>
      </c>
      <c r="AE2" s="1" t="s">
        <v>1090</v>
      </c>
      <c r="AF2" s="1" t="s">
        <v>1194</v>
      </c>
      <c r="AG2" s="48" t="s">
        <v>1195</v>
      </c>
      <c r="AH2" s="1" t="s">
        <v>1196</v>
      </c>
      <c r="AI2" s="1" t="s">
        <v>1197</v>
      </c>
      <c r="AJ2" s="1" t="s">
        <v>1198</v>
      </c>
      <c r="AK2" s="1" t="s">
        <v>1199</v>
      </c>
      <c r="AL2" s="1" t="s">
        <v>1200</v>
      </c>
      <c r="AM2" s="1" t="s">
        <v>1201</v>
      </c>
      <c r="AN2" s="1" t="s">
        <v>1202</v>
      </c>
      <c r="AO2" s="1" t="s">
        <v>1203</v>
      </c>
      <c r="AP2" s="66" t="s">
        <v>1204</v>
      </c>
      <c r="AQ2" s="1" t="s">
        <v>1205</v>
      </c>
      <c r="AR2" s="1" t="s">
        <v>1206</v>
      </c>
      <c r="AS2" s="1" t="s">
        <v>1207</v>
      </c>
      <c r="AT2" s="1" t="s">
        <v>1208</v>
      </c>
      <c r="AU2" s="1" t="s">
        <v>1209</v>
      </c>
      <c r="AV2" s="1" t="s">
        <v>1210</v>
      </c>
      <c r="AW2" s="1" t="s">
        <v>1211</v>
      </c>
      <c r="AX2" s="1" t="s">
        <v>1212</v>
      </c>
      <c r="AY2" s="1" t="s">
        <v>1213</v>
      </c>
      <c r="AZ2" s="1" t="s">
        <v>1214</v>
      </c>
      <c r="BA2" s="1" t="s">
        <v>1215</v>
      </c>
      <c r="BB2" s="1" t="s">
        <v>1216</v>
      </c>
      <c r="BC2" s="1" t="s">
        <v>1217</v>
      </c>
      <c r="BD2" s="1" t="s">
        <v>1218</v>
      </c>
      <c r="BE2" s="1" t="s">
        <v>1192</v>
      </c>
      <c r="BF2" s="1" t="s">
        <v>1219</v>
      </c>
      <c r="BG2" s="1" t="s">
        <v>1220</v>
      </c>
      <c r="BH2" s="1" t="s">
        <v>1221</v>
      </c>
      <c r="BI2" s="1" t="s">
        <v>1222</v>
      </c>
      <c r="BJ2" s="1" t="s">
        <v>1223</v>
      </c>
      <c r="BK2" s="1" t="s">
        <v>1224</v>
      </c>
      <c r="BL2" s="1" t="s">
        <v>1225</v>
      </c>
      <c r="BM2" s="1" t="s">
        <v>1226</v>
      </c>
      <c r="BN2" s="1" t="s">
        <v>1227</v>
      </c>
      <c r="BO2" s="1" t="s">
        <v>1228</v>
      </c>
      <c r="BP2" s="1" t="s">
        <v>1079</v>
      </c>
      <c r="BQ2" s="1" t="s">
        <v>1229</v>
      </c>
      <c r="BR2" s="1" t="s">
        <v>1230</v>
      </c>
      <c r="BS2" s="1" t="s">
        <v>1080</v>
      </c>
      <c r="BT2" s="1" t="s">
        <v>1231</v>
      </c>
      <c r="BU2" s="1" t="s">
        <v>31</v>
      </c>
      <c r="BV2" s="1" t="s">
        <v>1232</v>
      </c>
      <c r="BW2" s="1" t="s">
        <v>1233</v>
      </c>
      <c r="BX2" s="1" t="s">
        <v>1234</v>
      </c>
      <c r="BY2" s="1" t="s">
        <v>1235</v>
      </c>
      <c r="BZ2" s="1" t="s">
        <v>1236</v>
      </c>
      <c r="CA2" s="1" t="s">
        <v>1197</v>
      </c>
      <c r="CB2" s="1" t="s">
        <v>1237</v>
      </c>
      <c r="CC2" s="1" t="s">
        <v>1238</v>
      </c>
      <c r="CD2" s="1" t="s">
        <v>1239</v>
      </c>
      <c r="CE2" s="1" t="s">
        <v>1240</v>
      </c>
      <c r="CF2" s="1" t="s">
        <v>1241</v>
      </c>
      <c r="CG2" s="1" t="s">
        <v>1082</v>
      </c>
      <c r="CH2" s="1" t="s">
        <v>1083</v>
      </c>
      <c r="CI2" s="1" t="s">
        <v>1242</v>
      </c>
      <c r="CJ2" s="1" t="s">
        <v>1243</v>
      </c>
      <c r="CK2" s="1" t="s">
        <v>1244</v>
      </c>
      <c r="CL2" s="1" t="s">
        <v>1245</v>
      </c>
      <c r="CM2" s="1" t="s">
        <v>1246</v>
      </c>
      <c r="CN2" s="1" t="s">
        <v>1247</v>
      </c>
      <c r="CO2" s="1" t="s">
        <v>1074</v>
      </c>
    </row>
    <row r="3" spans="1:93" ht="409.6" x14ac:dyDescent="0.2">
      <c r="A3" s="1" t="s">
        <v>1248</v>
      </c>
      <c r="B3" s="1" t="s">
        <v>1249</v>
      </c>
      <c r="C3" s="1" t="s">
        <v>1250</v>
      </c>
      <c r="D3" s="1" t="s">
        <v>1251</v>
      </c>
      <c r="E3" s="1" t="s">
        <v>1252</v>
      </c>
      <c r="F3" s="1" t="s">
        <v>1253</v>
      </c>
      <c r="G3" s="1" t="s">
        <v>1254</v>
      </c>
      <c r="H3" s="1" t="s">
        <v>1255</v>
      </c>
      <c r="I3" s="1" t="s">
        <v>1256</v>
      </c>
      <c r="J3" s="1" t="s">
        <v>1257</v>
      </c>
      <c r="K3" s="1" t="s">
        <v>1258</v>
      </c>
      <c r="L3" s="1" t="s">
        <v>1259</v>
      </c>
      <c r="M3" s="1" t="s">
        <v>1260</v>
      </c>
      <c r="N3" s="1" t="s">
        <v>1261</v>
      </c>
      <c r="O3" s="1" t="s">
        <v>1262</v>
      </c>
      <c r="P3" s="1" t="s">
        <v>22</v>
      </c>
      <c r="Q3" s="1" t="s">
        <v>1078</v>
      </c>
      <c r="R3" s="1" t="s">
        <v>1263</v>
      </c>
      <c r="S3" s="1" t="s">
        <v>1264</v>
      </c>
      <c r="T3" s="49" t="s">
        <v>1265</v>
      </c>
      <c r="U3" s="1" t="s">
        <v>1266</v>
      </c>
      <c r="V3" s="1" t="s">
        <v>1267</v>
      </c>
      <c r="W3" s="1" t="s">
        <v>1268</v>
      </c>
      <c r="X3" s="1" t="s">
        <v>1269</v>
      </c>
      <c r="Y3" s="1" t="s">
        <v>1270</v>
      </c>
      <c r="Z3" s="1" t="s">
        <v>1271</v>
      </c>
      <c r="AA3" s="1" t="s">
        <v>1272</v>
      </c>
      <c r="AB3" s="1" t="s">
        <v>22</v>
      </c>
      <c r="AC3" s="1" t="s">
        <v>1088</v>
      </c>
      <c r="AD3" s="1" t="s">
        <v>1273</v>
      </c>
      <c r="AE3" s="1" t="s">
        <v>1274</v>
      </c>
      <c r="AF3" s="1" t="s">
        <v>1275</v>
      </c>
      <c r="AG3" s="48" t="s">
        <v>1276</v>
      </c>
      <c r="AH3" s="1" t="s">
        <v>1277</v>
      </c>
      <c r="AI3" s="1" t="s">
        <v>1278</v>
      </c>
      <c r="AJ3" s="1" t="s">
        <v>1279</v>
      </c>
      <c r="AK3" s="1" t="s">
        <v>1280</v>
      </c>
      <c r="AL3" s="1" t="s">
        <v>1281</v>
      </c>
      <c r="AM3" s="1" t="s">
        <v>1201</v>
      </c>
      <c r="AN3" s="1" t="s">
        <v>1282</v>
      </c>
      <c r="AO3" s="1" t="s">
        <v>1283</v>
      </c>
      <c r="AP3" s="1" t="s">
        <v>1284</v>
      </c>
      <c r="AQ3" s="1" t="s">
        <v>1285</v>
      </c>
      <c r="AR3" s="1" t="s">
        <v>1286</v>
      </c>
      <c r="AS3" s="1" t="s">
        <v>1287</v>
      </c>
      <c r="AT3" s="1" t="s">
        <v>1288</v>
      </c>
      <c r="AU3" s="1" t="s">
        <v>1289</v>
      </c>
      <c r="AV3" s="1" t="s">
        <v>1290</v>
      </c>
      <c r="AW3" s="1" t="s">
        <v>1291</v>
      </c>
      <c r="AX3" s="1" t="s">
        <v>1212</v>
      </c>
      <c r="AY3" s="1" t="s">
        <v>1292</v>
      </c>
      <c r="AZ3" s="1" t="s">
        <v>1293</v>
      </c>
      <c r="BA3" s="1" t="s">
        <v>1294</v>
      </c>
      <c r="BB3" s="1" t="s">
        <v>1295</v>
      </c>
      <c r="BC3" s="1" t="s">
        <v>1275</v>
      </c>
      <c r="BD3" s="1" t="s">
        <v>1296</v>
      </c>
      <c r="BE3" s="1" t="s">
        <v>1267</v>
      </c>
      <c r="BF3" s="1" t="s">
        <v>1297</v>
      </c>
      <c r="BG3" s="1" t="s">
        <v>1298</v>
      </c>
      <c r="BH3" s="1" t="s">
        <v>1299</v>
      </c>
      <c r="BI3" s="1" t="s">
        <v>1300</v>
      </c>
      <c r="BJ3" s="1" t="s">
        <v>1301</v>
      </c>
      <c r="BK3" s="1" t="s">
        <v>1302</v>
      </c>
      <c r="BL3" s="1" t="s">
        <v>1303</v>
      </c>
      <c r="BM3" s="1" t="s">
        <v>1304</v>
      </c>
      <c r="BN3" s="1" t="s">
        <v>1305</v>
      </c>
      <c r="BO3" s="1" t="s">
        <v>1306</v>
      </c>
      <c r="BP3" s="1" t="s">
        <v>1263</v>
      </c>
      <c r="BQ3" s="1" t="s">
        <v>1307</v>
      </c>
      <c r="BR3" s="1" t="s">
        <v>1308</v>
      </c>
      <c r="BS3" s="1" t="s">
        <v>1264</v>
      </c>
      <c r="BT3" s="1" t="s">
        <v>1309</v>
      </c>
      <c r="BU3" s="1" t="s">
        <v>1310</v>
      </c>
      <c r="BV3" s="1" t="s">
        <v>1311</v>
      </c>
      <c r="BW3" s="1" t="s">
        <v>1312</v>
      </c>
      <c r="BX3" s="1" t="s">
        <v>1313</v>
      </c>
      <c r="BY3" s="1" t="s">
        <v>1314</v>
      </c>
      <c r="BZ3" s="1" t="s">
        <v>1315</v>
      </c>
      <c r="CA3" s="1" t="s">
        <v>1278</v>
      </c>
      <c r="CB3" s="1" t="s">
        <v>1316</v>
      </c>
      <c r="CC3" s="1" t="s">
        <v>1317</v>
      </c>
      <c r="CD3" s="1" t="s">
        <v>1318</v>
      </c>
      <c r="CE3" s="1" t="s">
        <v>1319</v>
      </c>
      <c r="CF3" s="85" t="s">
        <v>1320</v>
      </c>
      <c r="CG3" s="1" t="s">
        <v>1266</v>
      </c>
      <c r="CH3" s="1" t="s">
        <v>1321</v>
      </c>
      <c r="CI3" s="1" t="s">
        <v>1322</v>
      </c>
      <c r="CJ3" s="1" t="s">
        <v>1323</v>
      </c>
      <c r="CK3" s="1" t="s">
        <v>1324</v>
      </c>
      <c r="CL3" s="1" t="s">
        <v>1325</v>
      </c>
      <c r="CM3" s="1" t="s">
        <v>1326</v>
      </c>
      <c r="CN3" s="1" t="s">
        <v>1327</v>
      </c>
      <c r="CO3" s="1" t="s">
        <v>1328</v>
      </c>
    </row>
    <row r="4" spans="1:93" ht="409.6" x14ac:dyDescent="0.2">
      <c r="A4" s="1" t="s">
        <v>1329</v>
      </c>
      <c r="B4" s="1" t="s">
        <v>1330</v>
      </c>
      <c r="C4" s="1" t="s">
        <v>1331</v>
      </c>
      <c r="D4" s="1" t="s">
        <v>1332</v>
      </c>
      <c r="E4" s="1" t="s">
        <v>1333</v>
      </c>
      <c r="F4" s="1" t="s">
        <v>1334</v>
      </c>
      <c r="G4" s="1" t="s">
        <v>1335</v>
      </c>
      <c r="H4" s="1" t="s">
        <v>1336</v>
      </c>
      <c r="I4" s="1" t="s">
        <v>1337</v>
      </c>
      <c r="J4" s="1" t="s">
        <v>1338</v>
      </c>
      <c r="K4" s="1" t="s">
        <v>1339</v>
      </c>
      <c r="L4" s="1" t="s">
        <v>1340</v>
      </c>
      <c r="M4" s="1" t="s">
        <v>1341</v>
      </c>
      <c r="N4" s="1" t="s">
        <v>1342</v>
      </c>
      <c r="O4" s="1" t="s">
        <v>1343</v>
      </c>
      <c r="P4" s="1" t="s">
        <v>1344</v>
      </c>
      <c r="Q4" s="94" t="s">
        <v>1345</v>
      </c>
      <c r="R4" s="1" t="s">
        <v>1346</v>
      </c>
      <c r="S4" s="1" t="s">
        <v>1347</v>
      </c>
      <c r="T4" s="49" t="s">
        <v>1348</v>
      </c>
      <c r="U4" s="1" t="s">
        <v>1349</v>
      </c>
      <c r="V4" s="1" t="s">
        <v>1350</v>
      </c>
      <c r="W4" s="1" t="s">
        <v>1351</v>
      </c>
      <c r="X4" s="1" t="s">
        <v>1352</v>
      </c>
      <c r="Y4" s="1" t="s">
        <v>1353</v>
      </c>
      <c r="Z4" s="1" t="s">
        <v>1354</v>
      </c>
      <c r="AA4" s="1" t="s">
        <v>1355</v>
      </c>
      <c r="AB4" s="1" t="s">
        <v>1344</v>
      </c>
      <c r="AC4" s="1" t="s">
        <v>1345</v>
      </c>
      <c r="AD4" s="1" t="s">
        <v>1346</v>
      </c>
      <c r="AE4" s="1" t="s">
        <v>1356</v>
      </c>
      <c r="AF4" s="1" t="s">
        <v>1357</v>
      </c>
      <c r="AG4" s="48" t="s">
        <v>1358</v>
      </c>
      <c r="AH4" s="1" t="s">
        <v>1359</v>
      </c>
      <c r="AI4" s="1" t="s">
        <v>1360</v>
      </c>
      <c r="AJ4" s="1" t="s">
        <v>1361</v>
      </c>
      <c r="AK4" s="1" t="s">
        <v>1362</v>
      </c>
      <c r="AL4" s="1" t="s">
        <v>1363</v>
      </c>
      <c r="AM4" s="1" t="s">
        <v>1364</v>
      </c>
      <c r="AN4" s="1" t="s">
        <v>1365</v>
      </c>
      <c r="AO4" s="1" t="s">
        <v>1366</v>
      </c>
      <c r="AP4" s="1" t="s">
        <v>1367</v>
      </c>
      <c r="AQ4" s="1" t="s">
        <v>1368</v>
      </c>
      <c r="AR4" s="1" t="s">
        <v>1369</v>
      </c>
      <c r="AS4" s="1" t="s">
        <v>1370</v>
      </c>
      <c r="AT4" s="1" t="s">
        <v>1371</v>
      </c>
      <c r="AU4" s="1" t="s">
        <v>1372</v>
      </c>
      <c r="AV4" s="1" t="s">
        <v>1373</v>
      </c>
      <c r="AW4" s="1" t="s">
        <v>1374</v>
      </c>
      <c r="AX4" s="1" t="s">
        <v>1375</v>
      </c>
      <c r="AY4" s="1" t="s">
        <v>1376</v>
      </c>
      <c r="AZ4" s="1" t="s">
        <v>1377</v>
      </c>
      <c r="BA4" s="1" t="s">
        <v>1378</v>
      </c>
      <c r="BB4" s="1" t="s">
        <v>1379</v>
      </c>
      <c r="BC4" s="1" t="s">
        <v>1357</v>
      </c>
      <c r="BD4" s="1" t="s">
        <v>1380</v>
      </c>
      <c r="BE4" s="1" t="s">
        <v>1350</v>
      </c>
      <c r="BF4" s="1" t="s">
        <v>1381</v>
      </c>
      <c r="BG4" s="1" t="s">
        <v>1382</v>
      </c>
      <c r="BH4" s="1" t="s">
        <v>1383</v>
      </c>
      <c r="BI4" s="1" t="s">
        <v>1384</v>
      </c>
      <c r="BJ4" s="1" t="s">
        <v>1385</v>
      </c>
      <c r="BK4" s="1" t="s">
        <v>1386</v>
      </c>
      <c r="BL4" s="1" t="s">
        <v>1387</v>
      </c>
      <c r="BM4" s="1" t="s">
        <v>1388</v>
      </c>
      <c r="BN4" s="1" t="s">
        <v>1389</v>
      </c>
      <c r="BO4" s="1" t="s">
        <v>1390</v>
      </c>
      <c r="BP4" s="1" t="s">
        <v>1346</v>
      </c>
      <c r="BQ4" s="1" t="s">
        <v>1391</v>
      </c>
      <c r="BR4" s="1" t="s">
        <v>1392</v>
      </c>
      <c r="BS4" s="1" t="s">
        <v>1347</v>
      </c>
      <c r="BT4" s="1" t="s">
        <v>1393</v>
      </c>
      <c r="BU4" s="1" t="s">
        <v>1394</v>
      </c>
      <c r="BV4" s="1" t="s">
        <v>1395</v>
      </c>
      <c r="BW4" s="1" t="s">
        <v>1396</v>
      </c>
      <c r="BX4" s="1" t="s">
        <v>1397</v>
      </c>
      <c r="BY4" s="1" t="s">
        <v>1398</v>
      </c>
      <c r="BZ4" s="1" t="s">
        <v>1399</v>
      </c>
      <c r="CA4" s="1" t="s">
        <v>1360</v>
      </c>
      <c r="CB4" s="1" t="s">
        <v>1400</v>
      </c>
      <c r="CC4" s="1" t="s">
        <v>1401</v>
      </c>
      <c r="CD4" s="1" t="s">
        <v>1402</v>
      </c>
      <c r="CE4" s="1" t="s">
        <v>1403</v>
      </c>
      <c r="CF4" s="1" t="s">
        <v>1404</v>
      </c>
      <c r="CG4" s="1" t="s">
        <v>1405</v>
      </c>
      <c r="CH4" s="1" t="s">
        <v>1406</v>
      </c>
      <c r="CI4" s="1" t="s">
        <v>1407</v>
      </c>
      <c r="CJ4" s="1" t="s">
        <v>1408</v>
      </c>
      <c r="CK4" s="1" t="s">
        <v>1409</v>
      </c>
      <c r="CL4" s="1" t="s">
        <v>1410</v>
      </c>
      <c r="CM4" s="1" t="s">
        <v>1246</v>
      </c>
      <c r="CN4" s="1" t="s">
        <v>1411</v>
      </c>
      <c r="CO4" s="1" t="s">
        <v>1412</v>
      </c>
    </row>
    <row r="5" spans="1:93" ht="51" x14ac:dyDescent="0.2">
      <c r="T5" s="49" t="s">
        <v>1413</v>
      </c>
      <c r="V5" s="1"/>
      <c r="W5" s="1"/>
      <c r="X5" s="1"/>
      <c r="Y5" s="1"/>
      <c r="AG5" s="50"/>
      <c r="AH5" s="50"/>
    </row>
    <row r="6" spans="1:93" ht="16" x14ac:dyDescent="0.2">
      <c r="A6" s="2" t="s">
        <v>1073</v>
      </c>
      <c r="B6" s="2" t="s">
        <v>1414</v>
      </c>
      <c r="D6" s="2" t="s">
        <v>1188</v>
      </c>
      <c r="F6" s="2" t="s">
        <v>1073</v>
      </c>
      <c r="G6" s="2" t="s">
        <v>30</v>
      </c>
      <c r="H6" s="2" t="s">
        <v>1073</v>
      </c>
      <c r="I6" s="2" t="s">
        <v>1415</v>
      </c>
      <c r="J6" s="2" t="s">
        <v>1073</v>
      </c>
      <c r="K6" s="2" t="s">
        <v>1414</v>
      </c>
      <c r="L6" s="2" t="s">
        <v>22</v>
      </c>
      <c r="N6" s="2" t="s">
        <v>1073</v>
      </c>
      <c r="O6" s="2" t="s">
        <v>22</v>
      </c>
      <c r="P6" s="2" t="s">
        <v>1088</v>
      </c>
      <c r="V6" s="1"/>
      <c r="Z6"/>
      <c r="AA6"/>
    </row>
    <row r="7" spans="1:93" ht="16" x14ac:dyDescent="0.2">
      <c r="A7" s="1" t="s">
        <v>7</v>
      </c>
      <c r="B7" s="1" t="s">
        <v>102</v>
      </c>
      <c r="D7" s="1" t="s">
        <v>61</v>
      </c>
      <c r="F7" s="1" t="s">
        <v>7</v>
      </c>
      <c r="G7" s="3" t="s">
        <v>1416</v>
      </c>
      <c r="H7" s="1" t="s">
        <v>7</v>
      </c>
      <c r="I7" s="3" t="s">
        <v>1416</v>
      </c>
      <c r="J7" s="1" t="s">
        <v>7</v>
      </c>
      <c r="K7" s="1" t="s">
        <v>102</v>
      </c>
      <c r="L7" s="4" t="s">
        <v>1417</v>
      </c>
      <c r="N7" s="1" t="s">
        <v>7</v>
      </c>
      <c r="O7" s="4" t="s">
        <v>1418</v>
      </c>
      <c r="P7" s="4" t="s">
        <v>1419</v>
      </c>
      <c r="V7" s="1"/>
      <c r="Z7"/>
      <c r="AA7"/>
    </row>
    <row r="8" spans="1:93" ht="16" x14ac:dyDescent="0.2">
      <c r="A8" s="1" t="s">
        <v>7</v>
      </c>
      <c r="B8" s="1" t="s">
        <v>48</v>
      </c>
      <c r="D8" s="1" t="s">
        <v>1420</v>
      </c>
      <c r="F8" s="1" t="s">
        <v>7</v>
      </c>
      <c r="G8" s="3" t="s">
        <v>1421</v>
      </c>
      <c r="H8" s="1" t="s">
        <v>7</v>
      </c>
      <c r="I8" s="3" t="s">
        <v>1421</v>
      </c>
      <c r="J8" s="1" t="s">
        <v>7</v>
      </c>
      <c r="K8" s="1" t="s">
        <v>102</v>
      </c>
      <c r="L8" s="4" t="s">
        <v>1422</v>
      </c>
      <c r="N8" s="1" t="s">
        <v>7</v>
      </c>
      <c r="O8" s="4" t="s">
        <v>1418</v>
      </c>
      <c r="P8" s="4" t="s">
        <v>1423</v>
      </c>
      <c r="V8" s="1"/>
      <c r="Z8"/>
      <c r="AA8"/>
    </row>
    <row r="9" spans="1:93" ht="16" x14ac:dyDescent="0.2">
      <c r="A9" s="1" t="s">
        <v>7</v>
      </c>
      <c r="B9" s="1" t="s">
        <v>1424</v>
      </c>
      <c r="F9" s="1" t="s">
        <v>7</v>
      </c>
      <c r="G9" s="3" t="s">
        <v>1425</v>
      </c>
      <c r="H9" s="1" t="s">
        <v>7</v>
      </c>
      <c r="I9" s="3" t="s">
        <v>1425</v>
      </c>
      <c r="J9" s="1" t="s">
        <v>7</v>
      </c>
      <c r="K9" s="1" t="s">
        <v>102</v>
      </c>
      <c r="L9" s="4" t="s">
        <v>1426</v>
      </c>
      <c r="N9" s="1" t="s">
        <v>7</v>
      </c>
      <c r="O9" s="4" t="s">
        <v>1418</v>
      </c>
      <c r="P9" s="4" t="s">
        <v>1427</v>
      </c>
      <c r="V9" s="1"/>
      <c r="Z9"/>
    </row>
    <row r="10" spans="1:93" ht="16" x14ac:dyDescent="0.2">
      <c r="A10" s="1" t="s">
        <v>7</v>
      </c>
      <c r="B10" s="1" t="s">
        <v>1428</v>
      </c>
      <c r="F10" s="1" t="s">
        <v>1248</v>
      </c>
      <c r="G10" s="1" t="s">
        <v>1429</v>
      </c>
      <c r="H10" s="1" t="s">
        <v>7</v>
      </c>
      <c r="I10" s="46" t="s">
        <v>1430</v>
      </c>
      <c r="J10" s="1" t="s">
        <v>7</v>
      </c>
      <c r="K10" s="1" t="s">
        <v>102</v>
      </c>
      <c r="L10" s="4" t="s">
        <v>1431</v>
      </c>
      <c r="N10" s="1" t="s">
        <v>7</v>
      </c>
      <c r="O10" s="4" t="s">
        <v>1418</v>
      </c>
      <c r="P10" s="4" t="s">
        <v>1432</v>
      </c>
      <c r="V10" s="1"/>
      <c r="Z10"/>
    </row>
    <row r="11" spans="1:93" ht="16" x14ac:dyDescent="0.2">
      <c r="A11" s="1" t="s">
        <v>7</v>
      </c>
      <c r="B11" s="1" t="s">
        <v>168</v>
      </c>
      <c r="F11" s="1" t="s">
        <v>1248</v>
      </c>
      <c r="G11" s="1" t="s">
        <v>1433</v>
      </c>
      <c r="H11" s="1" t="s">
        <v>1248</v>
      </c>
      <c r="I11" s="1" t="s">
        <v>1429</v>
      </c>
      <c r="J11" s="1" t="s">
        <v>7</v>
      </c>
      <c r="K11" s="1" t="s">
        <v>102</v>
      </c>
      <c r="L11" s="4" t="s">
        <v>1434</v>
      </c>
      <c r="N11" s="1" t="s">
        <v>7</v>
      </c>
      <c r="O11" s="4" t="s">
        <v>1418</v>
      </c>
      <c r="P11" s="4" t="s">
        <v>1435</v>
      </c>
      <c r="V11" s="1"/>
      <c r="Z11"/>
    </row>
    <row r="12" spans="1:93" ht="16" x14ac:dyDescent="0.2">
      <c r="A12" s="1" t="s">
        <v>7</v>
      </c>
      <c r="B12" s="1" t="s">
        <v>1436</v>
      </c>
      <c r="F12" s="1" t="s">
        <v>1248</v>
      </c>
      <c r="G12" s="1" t="s">
        <v>1437</v>
      </c>
      <c r="H12" s="1" t="s">
        <v>1248</v>
      </c>
      <c r="I12" s="1" t="s">
        <v>1433</v>
      </c>
      <c r="J12" s="1" t="s">
        <v>7</v>
      </c>
      <c r="K12" s="1" t="s">
        <v>102</v>
      </c>
      <c r="L12" s="4" t="s">
        <v>1438</v>
      </c>
      <c r="N12" s="1" t="s">
        <v>7</v>
      </c>
      <c r="O12" s="4" t="s">
        <v>1418</v>
      </c>
      <c r="P12" s="4" t="s">
        <v>1439</v>
      </c>
      <c r="V12" s="1"/>
      <c r="Z12"/>
    </row>
    <row r="13" spans="1:93" ht="16" x14ac:dyDescent="0.2">
      <c r="A13" s="1" t="s">
        <v>1248</v>
      </c>
      <c r="B13" s="1" t="s">
        <v>1440</v>
      </c>
      <c r="F13" s="1" t="s">
        <v>1329</v>
      </c>
      <c r="G13" s="1" t="s">
        <v>1441</v>
      </c>
      <c r="H13" s="1" t="s">
        <v>1248</v>
      </c>
      <c r="I13" s="1" t="s">
        <v>1437</v>
      </c>
      <c r="J13" s="1" t="s">
        <v>7</v>
      </c>
      <c r="K13" s="1" t="s">
        <v>102</v>
      </c>
      <c r="L13" s="4" t="s">
        <v>1442</v>
      </c>
      <c r="N13" s="1" t="s">
        <v>7</v>
      </c>
      <c r="O13" s="4" t="s">
        <v>1418</v>
      </c>
      <c r="P13" s="4" t="s">
        <v>1443</v>
      </c>
      <c r="V13" s="1"/>
      <c r="Z13"/>
    </row>
    <row r="14" spans="1:93" ht="16" x14ac:dyDescent="0.2">
      <c r="A14" s="1" t="s">
        <v>1248</v>
      </c>
      <c r="B14" s="1" t="s">
        <v>1444</v>
      </c>
      <c r="F14" s="1" t="s">
        <v>1329</v>
      </c>
      <c r="G14" s="1" t="s">
        <v>1445</v>
      </c>
      <c r="H14" s="1" t="s">
        <v>1248</v>
      </c>
      <c r="I14" s="46" t="s">
        <v>1446</v>
      </c>
      <c r="J14" s="1" t="s">
        <v>7</v>
      </c>
      <c r="K14" s="1" t="s">
        <v>102</v>
      </c>
      <c r="L14" s="4" t="s">
        <v>1447</v>
      </c>
      <c r="N14" s="1" t="s">
        <v>7</v>
      </c>
      <c r="O14" s="4" t="s">
        <v>1418</v>
      </c>
      <c r="P14" s="4" t="s">
        <v>1448</v>
      </c>
      <c r="V14" s="1"/>
      <c r="Z14"/>
    </row>
    <row r="15" spans="1:93" ht="16" x14ac:dyDescent="0.2">
      <c r="A15" s="1" t="s">
        <v>1248</v>
      </c>
      <c r="B15" s="1" t="s">
        <v>1449</v>
      </c>
      <c r="F15" s="1" t="s">
        <v>1329</v>
      </c>
      <c r="G15" s="1" t="s">
        <v>1450</v>
      </c>
      <c r="H15" s="1" t="s">
        <v>1329</v>
      </c>
      <c r="I15" s="1" t="s">
        <v>1441</v>
      </c>
      <c r="J15" s="1" t="s">
        <v>7</v>
      </c>
      <c r="K15" s="1" t="s">
        <v>102</v>
      </c>
      <c r="L15" s="4" t="s">
        <v>1418</v>
      </c>
      <c r="N15" s="1" t="s">
        <v>7</v>
      </c>
      <c r="O15" s="4" t="s">
        <v>1417</v>
      </c>
      <c r="P15" s="4" t="s">
        <v>1451</v>
      </c>
      <c r="V15" s="1"/>
      <c r="Z15"/>
    </row>
    <row r="16" spans="1:93" ht="16" x14ac:dyDescent="0.2">
      <c r="A16" s="1" t="s">
        <v>1248</v>
      </c>
      <c r="B16" s="1" t="s">
        <v>1452</v>
      </c>
      <c r="H16" s="1" t="s">
        <v>1329</v>
      </c>
      <c r="I16" s="1" t="s">
        <v>1445</v>
      </c>
      <c r="J16" s="1" t="s">
        <v>7</v>
      </c>
      <c r="K16" s="1" t="s">
        <v>102</v>
      </c>
      <c r="L16" s="4" t="s">
        <v>1453</v>
      </c>
      <c r="N16" s="1" t="s">
        <v>7</v>
      </c>
      <c r="O16" s="4" t="s">
        <v>1417</v>
      </c>
      <c r="P16" s="4" t="s">
        <v>1454</v>
      </c>
      <c r="V16" s="1"/>
      <c r="Z16"/>
    </row>
    <row r="17" spans="1:26" ht="16" x14ac:dyDescent="0.2">
      <c r="A17" s="1" t="s">
        <v>1248</v>
      </c>
      <c r="B17" s="1" t="s">
        <v>170</v>
      </c>
      <c r="H17" s="1" t="s">
        <v>1329</v>
      </c>
      <c r="I17" s="1" t="s">
        <v>1450</v>
      </c>
      <c r="J17" s="1" t="s">
        <v>7</v>
      </c>
      <c r="K17" s="1" t="s">
        <v>102</v>
      </c>
      <c r="L17" s="4" t="s">
        <v>207</v>
      </c>
      <c r="N17" s="1" t="s">
        <v>7</v>
      </c>
      <c r="O17" s="4" t="s">
        <v>1417</v>
      </c>
      <c r="P17" s="4" t="s">
        <v>1455</v>
      </c>
      <c r="V17" s="1"/>
      <c r="Z17"/>
    </row>
    <row r="18" spans="1:26" ht="16" x14ac:dyDescent="0.2">
      <c r="A18" s="1" t="s">
        <v>1248</v>
      </c>
      <c r="B18" s="1" t="s">
        <v>1456</v>
      </c>
      <c r="G18" s="46"/>
      <c r="H18" s="1" t="s">
        <v>1329</v>
      </c>
      <c r="I18" s="46" t="s">
        <v>1457</v>
      </c>
      <c r="J18" s="1" t="s">
        <v>7</v>
      </c>
      <c r="K18" s="1" t="s">
        <v>102</v>
      </c>
      <c r="L18" s="4" t="s">
        <v>1458</v>
      </c>
      <c r="N18" s="1" t="s">
        <v>7</v>
      </c>
      <c r="O18" s="4" t="s">
        <v>1417</v>
      </c>
      <c r="P18" s="4" t="s">
        <v>1459</v>
      </c>
      <c r="V18" s="1"/>
      <c r="Z18"/>
    </row>
    <row r="19" spans="1:26" ht="16" x14ac:dyDescent="0.2">
      <c r="A19" s="1" t="s">
        <v>1329</v>
      </c>
      <c r="B19" s="1" t="s">
        <v>1440</v>
      </c>
      <c r="F19" s="3"/>
      <c r="J19" s="1" t="s">
        <v>7</v>
      </c>
      <c r="K19" s="1" t="s">
        <v>102</v>
      </c>
      <c r="L19" s="4" t="s">
        <v>168</v>
      </c>
      <c r="N19" s="1" t="s">
        <v>7</v>
      </c>
      <c r="O19" s="4" t="s">
        <v>1417</v>
      </c>
      <c r="P19" s="4" t="s">
        <v>1460</v>
      </c>
      <c r="V19" s="1"/>
      <c r="Z19"/>
    </row>
    <row r="20" spans="1:26" ht="16" x14ac:dyDescent="0.2">
      <c r="A20" s="1" t="s">
        <v>1329</v>
      </c>
      <c r="B20" s="1" t="s">
        <v>48</v>
      </c>
      <c r="F20" s="3"/>
      <c r="J20" s="1" t="s">
        <v>7</v>
      </c>
      <c r="K20" s="1" t="s">
        <v>102</v>
      </c>
      <c r="L20" s="4" t="s">
        <v>139</v>
      </c>
      <c r="N20" s="1" t="s">
        <v>7</v>
      </c>
      <c r="O20" s="4" t="s">
        <v>1417</v>
      </c>
      <c r="P20" s="4" t="s">
        <v>1461</v>
      </c>
      <c r="V20" s="1"/>
      <c r="Z20"/>
    </row>
    <row r="21" spans="1:26" ht="16" x14ac:dyDescent="0.2">
      <c r="A21" s="1" t="s">
        <v>1329</v>
      </c>
      <c r="B21" s="1" t="s">
        <v>1424</v>
      </c>
      <c r="F21" s="3"/>
      <c r="J21" s="1" t="s">
        <v>7</v>
      </c>
      <c r="K21" s="1" t="s">
        <v>102</v>
      </c>
      <c r="L21" s="4" t="s">
        <v>1462</v>
      </c>
      <c r="N21" s="1" t="s">
        <v>7</v>
      </c>
      <c r="O21" s="4" t="s">
        <v>1417</v>
      </c>
      <c r="P21" s="4" t="s">
        <v>1463</v>
      </c>
      <c r="V21" s="1"/>
      <c r="Z21"/>
    </row>
    <row r="22" spans="1:26" ht="16" x14ac:dyDescent="0.2">
      <c r="A22" s="1" t="s">
        <v>1329</v>
      </c>
      <c r="B22" s="1" t="s">
        <v>1464</v>
      </c>
      <c r="J22" s="1" t="s">
        <v>7</v>
      </c>
      <c r="K22" s="1" t="s">
        <v>102</v>
      </c>
      <c r="L22" s="4" t="s">
        <v>1465</v>
      </c>
      <c r="N22" s="1" t="s">
        <v>7</v>
      </c>
      <c r="O22" s="4" t="s">
        <v>1417</v>
      </c>
      <c r="P22" s="4" t="s">
        <v>1466</v>
      </c>
      <c r="V22" s="1"/>
      <c r="Z22"/>
    </row>
    <row r="23" spans="1:26" ht="16" x14ac:dyDescent="0.2">
      <c r="A23" s="1" t="s">
        <v>1329</v>
      </c>
      <c r="B23" s="1" t="s">
        <v>170</v>
      </c>
      <c r="J23" s="1" t="s">
        <v>7</v>
      </c>
      <c r="K23" s="1" t="s">
        <v>102</v>
      </c>
      <c r="L23" s="4" t="s">
        <v>1467</v>
      </c>
      <c r="N23" s="1" t="s">
        <v>7</v>
      </c>
      <c r="O23" s="4" t="s">
        <v>1417</v>
      </c>
      <c r="P23" s="4" t="s">
        <v>1468</v>
      </c>
      <c r="V23" s="1"/>
      <c r="Z23"/>
    </row>
    <row r="24" spans="1:26" ht="16" x14ac:dyDescent="0.2">
      <c r="A24" s="1" t="s">
        <v>1329</v>
      </c>
      <c r="B24" s="1" t="s">
        <v>1469</v>
      </c>
      <c r="J24" s="1" t="s">
        <v>7</v>
      </c>
      <c r="K24" s="1" t="s">
        <v>102</v>
      </c>
      <c r="L24" s="4" t="s">
        <v>1470</v>
      </c>
      <c r="N24" s="1" t="s">
        <v>7</v>
      </c>
      <c r="O24" s="4" t="s">
        <v>1417</v>
      </c>
      <c r="P24" s="4" t="s">
        <v>1471</v>
      </c>
      <c r="V24" s="1"/>
      <c r="Z24"/>
    </row>
    <row r="25" spans="1:26" ht="16" x14ac:dyDescent="0.2">
      <c r="J25" s="1" t="s">
        <v>7</v>
      </c>
      <c r="K25" s="1" t="s">
        <v>102</v>
      </c>
      <c r="L25" s="4" t="s">
        <v>1472</v>
      </c>
      <c r="N25" s="1" t="s">
        <v>7</v>
      </c>
      <c r="O25" s="4" t="s">
        <v>1417</v>
      </c>
      <c r="P25" s="4" t="s">
        <v>1473</v>
      </c>
      <c r="V25" s="1"/>
      <c r="Z25"/>
    </row>
    <row r="26" spans="1:26" ht="16" x14ac:dyDescent="0.2">
      <c r="B26" s="3" t="s">
        <v>1248</v>
      </c>
      <c r="C26" s="3" t="s">
        <v>1329</v>
      </c>
      <c r="D26" s="3" t="s">
        <v>7</v>
      </c>
      <c r="J26" s="1" t="s">
        <v>7</v>
      </c>
      <c r="K26" s="1" t="s">
        <v>102</v>
      </c>
      <c r="L26" s="4" t="s">
        <v>1474</v>
      </c>
      <c r="N26" s="1" t="s">
        <v>7</v>
      </c>
      <c r="O26" s="4" t="s">
        <v>1426</v>
      </c>
      <c r="P26" s="4" t="s">
        <v>271</v>
      </c>
      <c r="V26" s="1"/>
      <c r="Z26"/>
    </row>
    <row r="27" spans="1:26" ht="16" x14ac:dyDescent="0.2">
      <c r="A27" s="7" t="s">
        <v>1475</v>
      </c>
      <c r="B27" s="3" t="s">
        <v>1440</v>
      </c>
      <c r="C27" s="3" t="s">
        <v>1440</v>
      </c>
      <c r="D27" s="3" t="s">
        <v>102</v>
      </c>
      <c r="J27" s="1" t="s">
        <v>7</v>
      </c>
      <c r="K27" s="1" t="s">
        <v>102</v>
      </c>
      <c r="L27" s="4" t="s">
        <v>1476</v>
      </c>
      <c r="N27" s="1" t="s">
        <v>7</v>
      </c>
      <c r="O27" s="4" t="s">
        <v>1426</v>
      </c>
      <c r="P27" s="4" t="s">
        <v>1477</v>
      </c>
      <c r="V27" s="1"/>
      <c r="Z27"/>
    </row>
    <row r="28" spans="1:26" ht="16" x14ac:dyDescent="0.2">
      <c r="B28" s="3" t="s">
        <v>1444</v>
      </c>
      <c r="C28" s="3" t="s">
        <v>48</v>
      </c>
      <c r="D28" s="3" t="s">
        <v>48</v>
      </c>
      <c r="J28" s="1" t="s">
        <v>7</v>
      </c>
      <c r="K28" s="1" t="s">
        <v>102</v>
      </c>
      <c r="L28" s="4" t="s">
        <v>1478</v>
      </c>
      <c r="N28" s="1" t="s">
        <v>7</v>
      </c>
      <c r="O28" s="4" t="s">
        <v>1426</v>
      </c>
      <c r="P28" s="4" t="s">
        <v>1479</v>
      </c>
      <c r="V28" s="1"/>
      <c r="Z28"/>
    </row>
    <row r="29" spans="1:26" ht="16" x14ac:dyDescent="0.2">
      <c r="B29" s="3" t="s">
        <v>1449</v>
      </c>
      <c r="C29" s="3" t="s">
        <v>1424</v>
      </c>
      <c r="D29" s="3" t="s">
        <v>1424</v>
      </c>
      <c r="J29" s="1" t="s">
        <v>7</v>
      </c>
      <c r="K29" s="1" t="s">
        <v>48</v>
      </c>
      <c r="L29" s="4" t="s">
        <v>1480</v>
      </c>
      <c r="N29" s="1" t="s">
        <v>7</v>
      </c>
      <c r="O29" s="4" t="s">
        <v>1426</v>
      </c>
      <c r="P29" s="4" t="s">
        <v>1481</v>
      </c>
      <c r="V29" s="1"/>
      <c r="Z29"/>
    </row>
    <row r="30" spans="1:26" ht="16" x14ac:dyDescent="0.2">
      <c r="B30" s="3" t="s">
        <v>1452</v>
      </c>
      <c r="C30" s="3" t="s">
        <v>1464</v>
      </c>
      <c r="D30" s="3" t="s">
        <v>1428</v>
      </c>
      <c r="J30" s="1" t="s">
        <v>7</v>
      </c>
      <c r="K30" s="1" t="s">
        <v>48</v>
      </c>
      <c r="L30" s="4" t="s">
        <v>207</v>
      </c>
      <c r="N30" s="1" t="s">
        <v>7</v>
      </c>
      <c r="O30" s="4" t="s">
        <v>1426</v>
      </c>
      <c r="P30" s="4" t="s">
        <v>1482</v>
      </c>
      <c r="V30" s="1"/>
      <c r="Z30"/>
    </row>
    <row r="31" spans="1:26" ht="16" x14ac:dyDescent="0.2">
      <c r="B31" s="3" t="s">
        <v>170</v>
      </c>
      <c r="C31" s="3" t="s">
        <v>170</v>
      </c>
      <c r="D31" s="3" t="s">
        <v>168</v>
      </c>
      <c r="J31" s="1" t="s">
        <v>7</v>
      </c>
      <c r="K31" s="1" t="s">
        <v>48</v>
      </c>
      <c r="L31" s="4" t="s">
        <v>1483</v>
      </c>
      <c r="N31" s="1" t="s">
        <v>7</v>
      </c>
      <c r="O31" s="4" t="s">
        <v>1426</v>
      </c>
      <c r="P31" s="4" t="s">
        <v>1484</v>
      </c>
      <c r="V31" s="1"/>
      <c r="Z31"/>
    </row>
    <row r="32" spans="1:26" ht="16" x14ac:dyDescent="0.2">
      <c r="B32" s="3" t="s">
        <v>1456</v>
      </c>
      <c r="C32" s="3" t="s">
        <v>1469</v>
      </c>
      <c r="D32" s="3" t="s">
        <v>1436</v>
      </c>
      <c r="J32" s="1" t="s">
        <v>7</v>
      </c>
      <c r="K32" s="1" t="s">
        <v>48</v>
      </c>
      <c r="L32" s="4" t="s">
        <v>168</v>
      </c>
      <c r="N32" s="1" t="s">
        <v>7</v>
      </c>
      <c r="O32" s="4" t="s">
        <v>1426</v>
      </c>
      <c r="P32" s="4" t="s">
        <v>1485</v>
      </c>
      <c r="V32" s="1"/>
      <c r="Z32"/>
    </row>
    <row r="33" spans="1:26" ht="16" x14ac:dyDescent="0.2">
      <c r="A33" s="8" t="s">
        <v>1486</v>
      </c>
      <c r="B33" s="3" t="s">
        <v>1429</v>
      </c>
      <c r="C33" s="3" t="s">
        <v>1441</v>
      </c>
      <c r="D33" s="3" t="s">
        <v>1416</v>
      </c>
      <c r="J33" s="1" t="s">
        <v>7</v>
      </c>
      <c r="K33" s="1" t="s">
        <v>48</v>
      </c>
      <c r="L33" s="4" t="s">
        <v>1462</v>
      </c>
      <c r="N33" s="1" t="s">
        <v>7</v>
      </c>
      <c r="O33" s="4" t="s">
        <v>1426</v>
      </c>
      <c r="P33" s="4" t="s">
        <v>1487</v>
      </c>
      <c r="V33" s="1"/>
      <c r="Z33"/>
    </row>
    <row r="34" spans="1:26" ht="16" x14ac:dyDescent="0.2">
      <c r="B34" s="3" t="s">
        <v>1433</v>
      </c>
      <c r="C34" s="3" t="s">
        <v>1445</v>
      </c>
      <c r="D34" s="3" t="s">
        <v>1421</v>
      </c>
      <c r="J34" s="1" t="s">
        <v>7</v>
      </c>
      <c r="K34" s="1" t="s">
        <v>48</v>
      </c>
      <c r="L34" s="4" t="s">
        <v>1465</v>
      </c>
      <c r="N34" s="1" t="s">
        <v>7</v>
      </c>
      <c r="O34" s="4" t="s">
        <v>1426</v>
      </c>
      <c r="P34" s="4" t="s">
        <v>1488</v>
      </c>
      <c r="V34" s="1"/>
      <c r="Z34"/>
    </row>
    <row r="35" spans="1:26" ht="16" x14ac:dyDescent="0.2">
      <c r="B35" s="3" t="s">
        <v>1437</v>
      </c>
      <c r="C35" s="3" t="s">
        <v>1450</v>
      </c>
      <c r="D35" s="3" t="s">
        <v>1425</v>
      </c>
      <c r="J35" s="1" t="s">
        <v>7</v>
      </c>
      <c r="K35" s="1" t="s">
        <v>48</v>
      </c>
      <c r="L35" s="4" t="s">
        <v>1467</v>
      </c>
      <c r="N35" s="1" t="s">
        <v>7</v>
      </c>
      <c r="O35" s="4" t="s">
        <v>1426</v>
      </c>
      <c r="P35" s="4" t="s">
        <v>1489</v>
      </c>
      <c r="V35" s="1"/>
      <c r="Z35"/>
    </row>
    <row r="36" spans="1:26" x14ac:dyDescent="0.2">
      <c r="B36" s="46" t="s">
        <v>1446</v>
      </c>
      <c r="C36" s="46" t="s">
        <v>1457</v>
      </c>
      <c r="D36" s="46" t="s">
        <v>1430</v>
      </c>
      <c r="L36" s="4"/>
      <c r="O36" s="4"/>
      <c r="P36" s="4"/>
      <c r="V36" s="1"/>
      <c r="Z36"/>
    </row>
    <row r="37" spans="1:26" ht="16" x14ac:dyDescent="0.2">
      <c r="A37" s="7" t="s">
        <v>22</v>
      </c>
      <c r="B37" s="3" t="s">
        <v>1490</v>
      </c>
      <c r="C37" s="3" t="s">
        <v>1491</v>
      </c>
      <c r="D37" s="3" t="s">
        <v>1417</v>
      </c>
      <c r="J37" s="1" t="s">
        <v>7</v>
      </c>
      <c r="K37" s="1" t="s">
        <v>48</v>
      </c>
      <c r="L37" s="4" t="s">
        <v>1470</v>
      </c>
      <c r="N37" s="1" t="s">
        <v>7</v>
      </c>
      <c r="O37" s="4" t="s">
        <v>1426</v>
      </c>
      <c r="P37" s="4" t="s">
        <v>1492</v>
      </c>
      <c r="V37" s="1"/>
      <c r="Z37"/>
    </row>
    <row r="38" spans="1:26" ht="16" x14ac:dyDescent="0.2">
      <c r="B38" s="3" t="s">
        <v>1493</v>
      </c>
      <c r="C38" s="3" t="s">
        <v>1494</v>
      </c>
      <c r="D38" s="3" t="s">
        <v>1422</v>
      </c>
      <c r="J38" s="1" t="s">
        <v>7</v>
      </c>
      <c r="K38" s="1" t="s">
        <v>48</v>
      </c>
      <c r="L38" s="4" t="s">
        <v>1472</v>
      </c>
      <c r="N38" s="1" t="s">
        <v>7</v>
      </c>
      <c r="O38" s="4" t="s">
        <v>1422</v>
      </c>
      <c r="P38" s="4" t="s">
        <v>1495</v>
      </c>
      <c r="V38" s="1"/>
      <c r="Z38"/>
    </row>
    <row r="39" spans="1:26" ht="16" x14ac:dyDescent="0.2">
      <c r="B39" s="3" t="s">
        <v>1496</v>
      </c>
      <c r="C39" s="3" t="s">
        <v>1497</v>
      </c>
      <c r="D39" s="3" t="s">
        <v>1426</v>
      </c>
      <c r="J39" s="1" t="s">
        <v>7</v>
      </c>
      <c r="K39" s="1" t="s">
        <v>48</v>
      </c>
      <c r="L39" s="4" t="s">
        <v>1474</v>
      </c>
      <c r="N39" s="1" t="s">
        <v>7</v>
      </c>
      <c r="O39" s="4" t="s">
        <v>1422</v>
      </c>
      <c r="P39" s="4" t="s">
        <v>1498</v>
      </c>
      <c r="V39" s="1"/>
      <c r="Z39"/>
    </row>
    <row r="40" spans="1:26" ht="16" x14ac:dyDescent="0.2">
      <c r="B40" s="3" t="s">
        <v>1499</v>
      </c>
      <c r="C40" s="3" t="s">
        <v>1500</v>
      </c>
      <c r="D40" s="3" t="s">
        <v>1431</v>
      </c>
      <c r="J40" s="1" t="s">
        <v>7</v>
      </c>
      <c r="K40" s="1" t="s">
        <v>48</v>
      </c>
      <c r="L40" s="4" t="s">
        <v>1476</v>
      </c>
      <c r="N40" s="1" t="s">
        <v>7</v>
      </c>
      <c r="O40" s="4" t="s">
        <v>1422</v>
      </c>
      <c r="P40" s="4" t="s">
        <v>1501</v>
      </c>
      <c r="V40" s="1"/>
      <c r="Z40"/>
    </row>
    <row r="41" spans="1:26" ht="16" x14ac:dyDescent="0.2">
      <c r="B41" s="3" t="s">
        <v>1502</v>
      </c>
      <c r="C41" s="3" t="s">
        <v>1503</v>
      </c>
      <c r="D41" s="3" t="s">
        <v>1434</v>
      </c>
      <c r="J41" s="1" t="s">
        <v>7</v>
      </c>
      <c r="K41" s="1" t="s">
        <v>48</v>
      </c>
      <c r="L41" s="4" t="s">
        <v>1478</v>
      </c>
      <c r="N41" s="1" t="s">
        <v>7</v>
      </c>
      <c r="O41" s="4" t="s">
        <v>1422</v>
      </c>
      <c r="P41" s="4" t="s">
        <v>1504</v>
      </c>
      <c r="V41" s="1"/>
      <c r="Z41"/>
    </row>
    <row r="42" spans="1:26" ht="16" x14ac:dyDescent="0.2">
      <c r="B42" s="3" t="s">
        <v>1505</v>
      </c>
      <c r="C42" s="3" t="s">
        <v>1506</v>
      </c>
      <c r="D42" s="3" t="s">
        <v>1438</v>
      </c>
      <c r="J42" s="1" t="s">
        <v>7</v>
      </c>
      <c r="K42" s="1" t="s">
        <v>1424</v>
      </c>
      <c r="L42" s="4" t="s">
        <v>1507</v>
      </c>
      <c r="N42" s="1" t="s">
        <v>7</v>
      </c>
      <c r="O42" s="4" t="s">
        <v>1422</v>
      </c>
      <c r="P42" s="4" t="s">
        <v>1508</v>
      </c>
      <c r="V42" s="1"/>
      <c r="Z42"/>
    </row>
    <row r="43" spans="1:26" ht="16" x14ac:dyDescent="0.2">
      <c r="B43" s="3" t="s">
        <v>1509</v>
      </c>
      <c r="C43" s="3" t="s">
        <v>1510</v>
      </c>
      <c r="D43" s="3" t="s">
        <v>1442</v>
      </c>
      <c r="J43" s="1" t="s">
        <v>7</v>
      </c>
      <c r="K43" s="1" t="s">
        <v>1424</v>
      </c>
      <c r="L43" s="4" t="s">
        <v>207</v>
      </c>
      <c r="N43" s="1" t="s">
        <v>7</v>
      </c>
      <c r="O43" s="4" t="s">
        <v>1422</v>
      </c>
      <c r="P43" s="4" t="s">
        <v>1511</v>
      </c>
      <c r="V43" s="1"/>
      <c r="Z43"/>
    </row>
    <row r="44" spans="1:26" ht="16" x14ac:dyDescent="0.2">
      <c r="B44" s="3" t="s">
        <v>1512</v>
      </c>
      <c r="C44" s="3" t="s">
        <v>1513</v>
      </c>
      <c r="D44" s="3" t="s">
        <v>1447</v>
      </c>
      <c r="J44" s="1" t="s">
        <v>7</v>
      </c>
      <c r="K44" s="1" t="s">
        <v>1424</v>
      </c>
      <c r="L44" s="4" t="s">
        <v>1514</v>
      </c>
      <c r="N44" s="1" t="s">
        <v>7</v>
      </c>
      <c r="O44" s="4" t="s">
        <v>1422</v>
      </c>
      <c r="P44" s="4" t="s">
        <v>1515</v>
      </c>
      <c r="V44" s="1"/>
      <c r="Z44"/>
    </row>
    <row r="45" spans="1:26" ht="16" x14ac:dyDescent="0.2">
      <c r="B45" s="3" t="s">
        <v>1516</v>
      </c>
      <c r="C45" s="3" t="s">
        <v>1517</v>
      </c>
      <c r="D45" s="3" t="s">
        <v>1418</v>
      </c>
      <c r="J45" s="1" t="s">
        <v>7</v>
      </c>
      <c r="K45" s="1" t="s">
        <v>1424</v>
      </c>
      <c r="L45" s="4" t="s">
        <v>1518</v>
      </c>
      <c r="N45" s="1" t="s">
        <v>7</v>
      </c>
      <c r="O45" s="4" t="s">
        <v>1422</v>
      </c>
      <c r="P45" s="4" t="s">
        <v>1519</v>
      </c>
      <c r="V45" s="1"/>
      <c r="Z45"/>
    </row>
    <row r="46" spans="1:26" ht="16" x14ac:dyDescent="0.2">
      <c r="B46" s="3" t="s">
        <v>1520</v>
      </c>
      <c r="C46" s="3" t="s">
        <v>1521</v>
      </c>
      <c r="D46" s="3" t="s">
        <v>1453</v>
      </c>
      <c r="J46" s="1" t="s">
        <v>7</v>
      </c>
      <c r="K46" s="1" t="s">
        <v>1424</v>
      </c>
      <c r="L46" s="4" t="s">
        <v>1462</v>
      </c>
      <c r="N46" s="1" t="s">
        <v>7</v>
      </c>
      <c r="O46" s="4" t="s">
        <v>1422</v>
      </c>
      <c r="P46" s="4" t="s">
        <v>1522</v>
      </c>
      <c r="V46" s="1"/>
      <c r="Z46"/>
    </row>
    <row r="47" spans="1:26" ht="16" x14ac:dyDescent="0.2">
      <c r="B47" s="3" t="s">
        <v>209</v>
      </c>
      <c r="C47" s="3" t="s">
        <v>210</v>
      </c>
      <c r="D47" s="3" t="s">
        <v>207</v>
      </c>
      <c r="J47" s="1" t="s">
        <v>7</v>
      </c>
      <c r="K47" s="1" t="s">
        <v>1424</v>
      </c>
      <c r="L47" s="4" t="s">
        <v>1465</v>
      </c>
      <c r="N47" s="1" t="s">
        <v>7</v>
      </c>
      <c r="O47" s="4" t="s">
        <v>1422</v>
      </c>
      <c r="P47" s="4" t="s">
        <v>1523</v>
      </c>
      <c r="V47" s="1"/>
      <c r="Z47"/>
    </row>
    <row r="48" spans="1:26" ht="16" x14ac:dyDescent="0.2">
      <c r="B48" s="3" t="s">
        <v>1524</v>
      </c>
      <c r="C48" s="3" t="s">
        <v>1525</v>
      </c>
      <c r="D48" s="3" t="s">
        <v>1458</v>
      </c>
      <c r="J48" s="1" t="s">
        <v>7</v>
      </c>
      <c r="K48" s="1" t="s">
        <v>1424</v>
      </c>
      <c r="L48" s="4" t="s">
        <v>1467</v>
      </c>
      <c r="N48" s="1" t="s">
        <v>7</v>
      </c>
      <c r="O48" s="4" t="s">
        <v>1422</v>
      </c>
      <c r="P48" s="4" t="s">
        <v>1526</v>
      </c>
      <c r="V48" s="1"/>
      <c r="Z48"/>
    </row>
    <row r="49" spans="1:26" ht="16" x14ac:dyDescent="0.2">
      <c r="B49" s="3" t="s">
        <v>170</v>
      </c>
      <c r="C49" s="3" t="s">
        <v>170</v>
      </c>
      <c r="D49" s="3" t="s">
        <v>168</v>
      </c>
      <c r="J49" s="1" t="s">
        <v>7</v>
      </c>
      <c r="K49" s="1" t="s">
        <v>1424</v>
      </c>
      <c r="L49" s="4" t="s">
        <v>1470</v>
      </c>
      <c r="N49" s="1" t="s">
        <v>7</v>
      </c>
      <c r="O49" s="4" t="s">
        <v>1422</v>
      </c>
      <c r="P49" s="4" t="s">
        <v>1527</v>
      </c>
      <c r="V49" s="1"/>
      <c r="Z49"/>
    </row>
    <row r="50" spans="1:26" ht="16" x14ac:dyDescent="0.2">
      <c r="B50" s="3" t="s">
        <v>141</v>
      </c>
      <c r="C50" s="3" t="s">
        <v>142</v>
      </c>
      <c r="D50" s="3" t="s">
        <v>139</v>
      </c>
      <c r="J50" s="1" t="s">
        <v>7</v>
      </c>
      <c r="K50" s="1" t="s">
        <v>1424</v>
      </c>
      <c r="L50" s="4" t="s">
        <v>1472</v>
      </c>
      <c r="N50" s="1" t="s">
        <v>7</v>
      </c>
      <c r="O50" s="4" t="s">
        <v>1431</v>
      </c>
      <c r="P50" s="4" t="s">
        <v>302</v>
      </c>
      <c r="V50" s="1"/>
      <c r="Z50"/>
    </row>
    <row r="51" spans="1:26" ht="16" x14ac:dyDescent="0.2">
      <c r="B51" s="3" t="s">
        <v>1528</v>
      </c>
      <c r="C51" s="3" t="s">
        <v>1529</v>
      </c>
      <c r="D51" s="3" t="s">
        <v>1462</v>
      </c>
      <c r="J51" s="1" t="s">
        <v>7</v>
      </c>
      <c r="K51" s="1" t="s">
        <v>1424</v>
      </c>
      <c r="L51" s="4" t="s">
        <v>1474</v>
      </c>
      <c r="N51" s="1" t="s">
        <v>7</v>
      </c>
      <c r="O51" s="4" t="s">
        <v>1431</v>
      </c>
      <c r="P51" s="4" t="s">
        <v>1530</v>
      </c>
      <c r="V51" s="1"/>
      <c r="Z51"/>
    </row>
    <row r="52" spans="1:26" ht="16" x14ac:dyDescent="0.2">
      <c r="B52" s="3" t="s">
        <v>1531</v>
      </c>
      <c r="C52" s="3" t="s">
        <v>1532</v>
      </c>
      <c r="D52" s="3" t="s">
        <v>1465</v>
      </c>
      <c r="J52" s="1" t="s">
        <v>7</v>
      </c>
      <c r="K52" s="1" t="s">
        <v>1424</v>
      </c>
      <c r="L52" s="4" t="s">
        <v>1476</v>
      </c>
      <c r="N52" s="1" t="s">
        <v>7</v>
      </c>
      <c r="O52" s="4" t="s">
        <v>1431</v>
      </c>
      <c r="P52" s="4" t="s">
        <v>1533</v>
      </c>
      <c r="V52" s="1"/>
      <c r="Z52"/>
    </row>
    <row r="53" spans="1:26" ht="16" x14ac:dyDescent="0.2">
      <c r="B53" s="3" t="s">
        <v>1534</v>
      </c>
      <c r="C53" s="3" t="s">
        <v>1535</v>
      </c>
      <c r="D53" s="3" t="s">
        <v>1467</v>
      </c>
      <c r="J53" s="1" t="s">
        <v>7</v>
      </c>
      <c r="K53" s="1" t="s">
        <v>1424</v>
      </c>
      <c r="L53" s="4" t="s">
        <v>1478</v>
      </c>
      <c r="N53" s="1" t="s">
        <v>7</v>
      </c>
      <c r="O53" s="4" t="s">
        <v>1431</v>
      </c>
      <c r="P53" s="4" t="s">
        <v>1536</v>
      </c>
      <c r="V53" s="1"/>
      <c r="Z53"/>
    </row>
    <row r="54" spans="1:26" ht="16" x14ac:dyDescent="0.2">
      <c r="B54" s="3" t="s">
        <v>1537</v>
      </c>
      <c r="C54" s="3" t="s">
        <v>1538</v>
      </c>
      <c r="D54" s="3" t="s">
        <v>1470</v>
      </c>
      <c r="J54" s="1" t="s">
        <v>7</v>
      </c>
      <c r="K54" s="1" t="s">
        <v>168</v>
      </c>
      <c r="L54" s="4" t="s">
        <v>1417</v>
      </c>
      <c r="N54" s="1" t="s">
        <v>7</v>
      </c>
      <c r="O54" s="4" t="s">
        <v>1431</v>
      </c>
      <c r="P54" s="4" t="s">
        <v>1539</v>
      </c>
      <c r="V54" s="1"/>
      <c r="Z54"/>
    </row>
    <row r="55" spans="1:26" ht="16" x14ac:dyDescent="0.2">
      <c r="B55" s="3" t="s">
        <v>1540</v>
      </c>
      <c r="C55" s="3" t="s">
        <v>1541</v>
      </c>
      <c r="D55" s="3" t="s">
        <v>1472</v>
      </c>
      <c r="J55" s="1" t="s">
        <v>7</v>
      </c>
      <c r="K55" s="1" t="s">
        <v>168</v>
      </c>
      <c r="L55" s="4" t="s">
        <v>1422</v>
      </c>
      <c r="N55" s="1" t="s">
        <v>7</v>
      </c>
      <c r="O55" s="4" t="s">
        <v>1431</v>
      </c>
      <c r="P55" s="4" t="s">
        <v>1542</v>
      </c>
      <c r="V55" s="1"/>
      <c r="Z55"/>
    </row>
    <row r="56" spans="1:26" ht="16" x14ac:dyDescent="0.2">
      <c r="B56" s="3" t="s">
        <v>1543</v>
      </c>
      <c r="C56" s="3" t="s">
        <v>1544</v>
      </c>
      <c r="D56" s="3" t="s">
        <v>1474</v>
      </c>
      <c r="J56" s="1" t="s">
        <v>7</v>
      </c>
      <c r="K56" s="1" t="s">
        <v>168</v>
      </c>
      <c r="L56" s="4" t="s">
        <v>1426</v>
      </c>
      <c r="N56" s="1" t="s">
        <v>7</v>
      </c>
      <c r="O56" s="4" t="s">
        <v>1431</v>
      </c>
      <c r="P56" s="4" t="s">
        <v>1545</v>
      </c>
      <c r="V56" s="1"/>
      <c r="Z56"/>
    </row>
    <row r="57" spans="1:26" ht="16" x14ac:dyDescent="0.2">
      <c r="B57" s="3" t="s">
        <v>1546</v>
      </c>
      <c r="C57" s="3" t="s">
        <v>1547</v>
      </c>
      <c r="D57" s="3" t="s">
        <v>1476</v>
      </c>
      <c r="J57" s="1" t="s">
        <v>7</v>
      </c>
      <c r="K57" s="1" t="s">
        <v>168</v>
      </c>
      <c r="L57" s="4" t="s">
        <v>1431</v>
      </c>
      <c r="N57" s="1" t="s">
        <v>7</v>
      </c>
      <c r="O57" s="4" t="s">
        <v>1431</v>
      </c>
      <c r="P57" s="4" t="s">
        <v>1548</v>
      </c>
      <c r="V57" s="1"/>
      <c r="Z57"/>
    </row>
    <row r="58" spans="1:26" ht="16" x14ac:dyDescent="0.2">
      <c r="B58" s="3" t="s">
        <v>1549</v>
      </c>
      <c r="C58" s="3" t="s">
        <v>1550</v>
      </c>
      <c r="D58" s="3" t="s">
        <v>1478</v>
      </c>
      <c r="J58" s="1" t="s">
        <v>7</v>
      </c>
      <c r="K58" s="1" t="s">
        <v>168</v>
      </c>
      <c r="L58" s="4" t="s">
        <v>1434</v>
      </c>
      <c r="N58" s="1" t="s">
        <v>7</v>
      </c>
      <c r="O58" s="4" t="s">
        <v>1431</v>
      </c>
      <c r="P58" s="4" t="s">
        <v>1551</v>
      </c>
      <c r="V58" s="1"/>
      <c r="Z58"/>
    </row>
    <row r="59" spans="1:26" ht="16" x14ac:dyDescent="0.2">
      <c r="B59" s="3" t="s">
        <v>1552</v>
      </c>
      <c r="C59" s="3" t="s">
        <v>1553</v>
      </c>
      <c r="D59" s="3" t="s">
        <v>1480</v>
      </c>
      <c r="J59" s="1" t="s">
        <v>7</v>
      </c>
      <c r="K59" s="1" t="s">
        <v>168</v>
      </c>
      <c r="L59" s="4" t="s">
        <v>1438</v>
      </c>
      <c r="N59" s="1" t="s">
        <v>7</v>
      </c>
      <c r="O59" s="4" t="s">
        <v>1431</v>
      </c>
      <c r="P59" s="4" t="s">
        <v>1554</v>
      </c>
      <c r="V59" s="1"/>
      <c r="Z59"/>
    </row>
    <row r="60" spans="1:26" ht="16" x14ac:dyDescent="0.2">
      <c r="B60" t="s">
        <v>1555</v>
      </c>
      <c r="C60" s="3" t="s">
        <v>1556</v>
      </c>
      <c r="D60" s="3" t="s">
        <v>1483</v>
      </c>
      <c r="J60" s="1" t="s">
        <v>7</v>
      </c>
      <c r="K60" s="1" t="s">
        <v>168</v>
      </c>
      <c r="L60" s="4" t="s">
        <v>1480</v>
      </c>
      <c r="N60" s="1" t="s">
        <v>7</v>
      </c>
      <c r="O60" s="4" t="s">
        <v>1431</v>
      </c>
      <c r="P60" s="4" t="s">
        <v>1557</v>
      </c>
      <c r="V60" s="1"/>
      <c r="Z60"/>
    </row>
    <row r="61" spans="1:26" ht="16" x14ac:dyDescent="0.2">
      <c r="B61" t="s">
        <v>1558</v>
      </c>
      <c r="C61" s="3" t="s">
        <v>1559</v>
      </c>
      <c r="D61" s="3" t="s">
        <v>1507</v>
      </c>
      <c r="J61" s="1" t="s">
        <v>7</v>
      </c>
      <c r="K61" s="1" t="s">
        <v>168</v>
      </c>
      <c r="L61" s="4" t="s">
        <v>1442</v>
      </c>
      <c r="N61" s="1" t="s">
        <v>7</v>
      </c>
      <c r="O61" s="4" t="s">
        <v>1434</v>
      </c>
      <c r="P61" s="4" t="s">
        <v>1560</v>
      </c>
      <c r="V61" s="1"/>
      <c r="Z61"/>
    </row>
    <row r="62" spans="1:26" ht="16" x14ac:dyDescent="0.2">
      <c r="B62" t="s">
        <v>1561</v>
      </c>
      <c r="C62" s="3" t="s">
        <v>1562</v>
      </c>
      <c r="D62" s="3" t="s">
        <v>1514</v>
      </c>
      <c r="J62" s="1" t="s">
        <v>7</v>
      </c>
      <c r="K62" s="1" t="s">
        <v>168</v>
      </c>
      <c r="L62" s="4" t="s">
        <v>1447</v>
      </c>
      <c r="N62" s="1" t="s">
        <v>7</v>
      </c>
      <c r="O62" s="4" t="s">
        <v>1434</v>
      </c>
      <c r="P62" s="4" t="s">
        <v>1563</v>
      </c>
      <c r="V62" s="1"/>
      <c r="Z62"/>
    </row>
    <row r="63" spans="1:26" ht="16" x14ac:dyDescent="0.2">
      <c r="B63" t="s">
        <v>1564</v>
      </c>
      <c r="C63" s="3" t="s">
        <v>1565</v>
      </c>
      <c r="D63" s="3" t="s">
        <v>1518</v>
      </c>
      <c r="J63" s="1" t="s">
        <v>7</v>
      </c>
      <c r="K63" s="1" t="s">
        <v>168</v>
      </c>
      <c r="L63" s="4" t="s">
        <v>1418</v>
      </c>
      <c r="N63" s="1" t="s">
        <v>7</v>
      </c>
      <c r="O63" s="4" t="s">
        <v>1434</v>
      </c>
      <c r="P63" s="4" t="s">
        <v>1566</v>
      </c>
      <c r="V63" s="1"/>
      <c r="Z63"/>
    </row>
    <row r="64" spans="1:26" ht="16" x14ac:dyDescent="0.2">
      <c r="A64" s="7" t="s">
        <v>1088</v>
      </c>
      <c r="B64" s="3" t="s">
        <v>1567</v>
      </c>
      <c r="C64" s="3" t="s">
        <v>1568</v>
      </c>
      <c r="D64" s="3" t="s">
        <v>1419</v>
      </c>
      <c r="J64" s="1" t="s">
        <v>7</v>
      </c>
      <c r="K64" s="1" t="s">
        <v>168</v>
      </c>
      <c r="L64" s="4" t="s">
        <v>1453</v>
      </c>
      <c r="N64" s="1" t="s">
        <v>7</v>
      </c>
      <c r="O64" s="4" t="s">
        <v>1434</v>
      </c>
      <c r="P64" s="4" t="s">
        <v>1569</v>
      </c>
      <c r="V64" s="1"/>
      <c r="Z64"/>
    </row>
    <row r="65" spans="2:26" ht="16" x14ac:dyDescent="0.2">
      <c r="B65" s="3" t="s">
        <v>1570</v>
      </c>
      <c r="C65" s="3" t="s">
        <v>1571</v>
      </c>
      <c r="D65" s="3" t="s">
        <v>1423</v>
      </c>
      <c r="J65" s="1" t="s">
        <v>7</v>
      </c>
      <c r="K65" s="1" t="s">
        <v>168</v>
      </c>
      <c r="L65" s="4" t="s">
        <v>207</v>
      </c>
      <c r="N65" s="1" t="s">
        <v>7</v>
      </c>
      <c r="O65" s="4" t="s">
        <v>1434</v>
      </c>
      <c r="P65" s="4" t="s">
        <v>1572</v>
      </c>
      <c r="V65" s="1"/>
      <c r="Z65"/>
    </row>
    <row r="66" spans="2:26" ht="16" x14ac:dyDescent="0.2">
      <c r="B66" s="3" t="s">
        <v>1573</v>
      </c>
      <c r="C66" s="3" t="s">
        <v>1574</v>
      </c>
      <c r="D66" s="3" t="s">
        <v>1427</v>
      </c>
      <c r="J66" s="1" t="s">
        <v>7</v>
      </c>
      <c r="K66" s="1" t="s">
        <v>168</v>
      </c>
      <c r="L66" s="4" t="s">
        <v>1458</v>
      </c>
      <c r="N66" s="1" t="s">
        <v>7</v>
      </c>
      <c r="O66" s="4" t="s">
        <v>1434</v>
      </c>
      <c r="P66" s="4" t="s">
        <v>1575</v>
      </c>
      <c r="V66" s="1"/>
      <c r="Z66"/>
    </row>
    <row r="67" spans="2:26" ht="16" x14ac:dyDescent="0.2">
      <c r="B67" s="3" t="s">
        <v>1576</v>
      </c>
      <c r="C67" s="3" t="s">
        <v>1577</v>
      </c>
      <c r="D67" s="3" t="s">
        <v>1432</v>
      </c>
      <c r="J67" s="1" t="s">
        <v>7</v>
      </c>
      <c r="K67" s="1" t="s">
        <v>168</v>
      </c>
      <c r="L67" s="4" t="s">
        <v>1483</v>
      </c>
      <c r="N67" s="1" t="s">
        <v>7</v>
      </c>
      <c r="O67" s="4" t="s">
        <v>1434</v>
      </c>
      <c r="P67" s="4" t="s">
        <v>1578</v>
      </c>
      <c r="V67" s="1"/>
      <c r="Z67"/>
    </row>
    <row r="68" spans="2:26" ht="16" x14ac:dyDescent="0.2">
      <c r="B68" s="3" t="s">
        <v>1579</v>
      </c>
      <c r="C68" s="3" t="s">
        <v>1580</v>
      </c>
      <c r="D68" s="3" t="s">
        <v>1435</v>
      </c>
      <c r="J68" s="1" t="s">
        <v>7</v>
      </c>
      <c r="K68" s="1" t="s">
        <v>168</v>
      </c>
      <c r="L68" s="4" t="s">
        <v>168</v>
      </c>
      <c r="N68" s="1" t="s">
        <v>7</v>
      </c>
      <c r="O68" s="4" t="s">
        <v>1434</v>
      </c>
      <c r="P68" s="4" t="s">
        <v>1581</v>
      </c>
      <c r="V68" s="1"/>
      <c r="Z68"/>
    </row>
    <row r="69" spans="2:26" ht="16" x14ac:dyDescent="0.2">
      <c r="B69" s="3" t="s">
        <v>1582</v>
      </c>
      <c r="C69" s="3" t="s">
        <v>1583</v>
      </c>
      <c r="D69" s="3" t="s">
        <v>1439</v>
      </c>
      <c r="J69" s="1" t="s">
        <v>7</v>
      </c>
      <c r="K69" s="1" t="s">
        <v>168</v>
      </c>
      <c r="L69" s="4" t="s">
        <v>139</v>
      </c>
      <c r="N69" s="1" t="s">
        <v>7</v>
      </c>
      <c r="O69" s="4" t="s">
        <v>1434</v>
      </c>
      <c r="P69" s="4" t="s">
        <v>1584</v>
      </c>
      <c r="V69" s="1"/>
      <c r="Z69"/>
    </row>
    <row r="70" spans="2:26" ht="16" x14ac:dyDescent="0.2">
      <c r="B70" s="3" t="s">
        <v>1585</v>
      </c>
      <c r="C70" s="3" t="s">
        <v>1586</v>
      </c>
      <c r="D70" s="3" t="s">
        <v>1443</v>
      </c>
      <c r="J70" s="1" t="s">
        <v>7</v>
      </c>
      <c r="K70" s="1" t="s">
        <v>168</v>
      </c>
      <c r="L70" s="4" t="s">
        <v>1462</v>
      </c>
      <c r="N70" s="1" t="s">
        <v>7</v>
      </c>
      <c r="O70" s="4" t="s">
        <v>1434</v>
      </c>
      <c r="P70" s="4" t="s">
        <v>1587</v>
      </c>
      <c r="V70" s="1"/>
      <c r="Z70"/>
    </row>
    <row r="71" spans="2:26" ht="16" x14ac:dyDescent="0.2">
      <c r="B71" s="3" t="s">
        <v>1588</v>
      </c>
      <c r="C71" s="3" t="s">
        <v>1589</v>
      </c>
      <c r="D71" s="3" t="s">
        <v>1448</v>
      </c>
      <c r="J71" s="1" t="s">
        <v>7</v>
      </c>
      <c r="K71" s="1" t="s">
        <v>168</v>
      </c>
      <c r="L71" s="4" t="s">
        <v>1465</v>
      </c>
      <c r="N71" s="1" t="s">
        <v>7</v>
      </c>
      <c r="O71" s="4" t="s">
        <v>1453</v>
      </c>
      <c r="P71" s="4" t="s">
        <v>1590</v>
      </c>
      <c r="V71" s="1"/>
      <c r="Z71"/>
    </row>
    <row r="72" spans="2:26" ht="16" x14ac:dyDescent="0.2">
      <c r="B72" s="3" t="s">
        <v>1591</v>
      </c>
      <c r="C72" s="3" t="s">
        <v>1592</v>
      </c>
      <c r="D72" s="3" t="s">
        <v>1451</v>
      </c>
      <c r="J72" s="1" t="s">
        <v>7</v>
      </c>
      <c r="K72" s="1" t="s">
        <v>168</v>
      </c>
      <c r="L72" s="4" t="s">
        <v>1467</v>
      </c>
      <c r="N72" s="1" t="s">
        <v>7</v>
      </c>
      <c r="O72" s="4" t="s">
        <v>1453</v>
      </c>
      <c r="P72" s="4" t="s">
        <v>1593</v>
      </c>
      <c r="V72" s="1"/>
      <c r="Z72"/>
    </row>
    <row r="73" spans="2:26" ht="16" x14ac:dyDescent="0.2">
      <c r="B73" s="3" t="s">
        <v>1591</v>
      </c>
      <c r="C73" s="3" t="s">
        <v>1594</v>
      </c>
      <c r="D73" s="3" t="s">
        <v>1454</v>
      </c>
      <c r="J73" s="1" t="s">
        <v>7</v>
      </c>
      <c r="K73" s="1" t="s">
        <v>168</v>
      </c>
      <c r="L73" s="4" t="s">
        <v>1470</v>
      </c>
      <c r="N73" s="1" t="s">
        <v>7</v>
      </c>
      <c r="O73" s="4" t="s">
        <v>1453</v>
      </c>
      <c r="P73" s="4" t="s">
        <v>1595</v>
      </c>
      <c r="V73" s="1"/>
      <c r="Z73"/>
    </row>
    <row r="74" spans="2:26" ht="16" x14ac:dyDescent="0.2">
      <c r="B74" s="3" t="s">
        <v>1596</v>
      </c>
      <c r="C74" s="3" t="s">
        <v>1597</v>
      </c>
      <c r="D74" s="3" t="s">
        <v>1455</v>
      </c>
      <c r="J74" s="1" t="s">
        <v>7</v>
      </c>
      <c r="K74" s="1" t="s">
        <v>168</v>
      </c>
      <c r="L74" s="4" t="s">
        <v>1472</v>
      </c>
      <c r="N74" s="1" t="s">
        <v>7</v>
      </c>
      <c r="O74" s="4" t="s">
        <v>1453</v>
      </c>
      <c r="P74" s="4" t="s">
        <v>1598</v>
      </c>
      <c r="V74" s="1"/>
      <c r="Z74"/>
    </row>
    <row r="75" spans="2:26" ht="16" x14ac:dyDescent="0.2">
      <c r="B75" s="3" t="s">
        <v>1599</v>
      </c>
      <c r="C75" s="3" t="s">
        <v>228</v>
      </c>
      <c r="D75" s="3" t="s">
        <v>1459</v>
      </c>
      <c r="J75" s="1" t="s">
        <v>7</v>
      </c>
      <c r="K75" s="1" t="s">
        <v>168</v>
      </c>
      <c r="L75" s="4" t="s">
        <v>1474</v>
      </c>
      <c r="N75" s="1" t="s">
        <v>7</v>
      </c>
      <c r="O75" s="4" t="s">
        <v>1453</v>
      </c>
      <c r="P75" s="4" t="s">
        <v>1600</v>
      </c>
      <c r="V75" s="1"/>
      <c r="Z75"/>
    </row>
    <row r="76" spans="2:26" ht="16" x14ac:dyDescent="0.2">
      <c r="B76" s="3" t="s">
        <v>1601</v>
      </c>
      <c r="C76" s="3" t="s">
        <v>1602</v>
      </c>
      <c r="D76" s="3" t="s">
        <v>1460</v>
      </c>
      <c r="J76" s="1" t="s">
        <v>7</v>
      </c>
      <c r="K76" s="1" t="s">
        <v>168</v>
      </c>
      <c r="L76" s="4" t="s">
        <v>1476</v>
      </c>
      <c r="N76" s="1" t="s">
        <v>7</v>
      </c>
      <c r="O76" s="4" t="s">
        <v>1447</v>
      </c>
      <c r="P76" s="4" t="s">
        <v>1603</v>
      </c>
      <c r="V76" s="1"/>
      <c r="Z76"/>
    </row>
    <row r="77" spans="2:26" ht="16" x14ac:dyDescent="0.2">
      <c r="B77" s="3" t="s">
        <v>1604</v>
      </c>
      <c r="C77" s="3" t="s">
        <v>1605</v>
      </c>
      <c r="D77" s="3" t="s">
        <v>1461</v>
      </c>
      <c r="J77" s="1" t="s">
        <v>7</v>
      </c>
      <c r="K77" s="1" t="s">
        <v>168</v>
      </c>
      <c r="L77" s="4" t="s">
        <v>1478</v>
      </c>
      <c r="N77" s="1" t="s">
        <v>7</v>
      </c>
      <c r="O77" s="4" t="s">
        <v>1447</v>
      </c>
      <c r="P77" s="4" t="s">
        <v>1606</v>
      </c>
      <c r="V77" s="1"/>
      <c r="Z77"/>
    </row>
    <row r="78" spans="2:26" ht="16" x14ac:dyDescent="0.2">
      <c r="B78" s="3" t="s">
        <v>1607</v>
      </c>
      <c r="C78" s="3" t="s">
        <v>1608</v>
      </c>
      <c r="D78" s="3" t="s">
        <v>1463</v>
      </c>
      <c r="J78" s="1" t="s">
        <v>7</v>
      </c>
      <c r="K78" s="1" t="s">
        <v>1436</v>
      </c>
      <c r="L78" s="4" t="s">
        <v>1507</v>
      </c>
      <c r="N78" s="1" t="s">
        <v>7</v>
      </c>
      <c r="O78" s="4" t="s">
        <v>1447</v>
      </c>
      <c r="P78" s="4" t="s">
        <v>1609</v>
      </c>
      <c r="V78" s="1"/>
      <c r="Z78"/>
    </row>
    <row r="79" spans="2:26" ht="16" x14ac:dyDescent="0.2">
      <c r="B79" s="3" t="s">
        <v>1610</v>
      </c>
      <c r="C79" s="3" t="s">
        <v>1611</v>
      </c>
      <c r="D79" s="3" t="s">
        <v>1466</v>
      </c>
      <c r="J79" s="1" t="s">
        <v>7</v>
      </c>
      <c r="K79" s="1" t="s">
        <v>1436</v>
      </c>
      <c r="L79" s="4" t="s">
        <v>1417</v>
      </c>
      <c r="N79" s="1" t="s">
        <v>7</v>
      </c>
      <c r="O79" s="4" t="s">
        <v>1447</v>
      </c>
      <c r="P79" s="4" t="s">
        <v>1612</v>
      </c>
      <c r="V79" s="1"/>
      <c r="Z79"/>
    </row>
    <row r="80" spans="2:26" ht="16" x14ac:dyDescent="0.2">
      <c r="B80" s="3" t="s">
        <v>1613</v>
      </c>
      <c r="C80" s="3" t="s">
        <v>1614</v>
      </c>
      <c r="D80" s="3" t="s">
        <v>1468</v>
      </c>
      <c r="J80" s="1" t="s">
        <v>7</v>
      </c>
      <c r="K80" s="1" t="s">
        <v>1436</v>
      </c>
      <c r="L80" s="4" t="s">
        <v>1422</v>
      </c>
      <c r="N80" s="1" t="s">
        <v>7</v>
      </c>
      <c r="O80" s="4" t="s">
        <v>1447</v>
      </c>
      <c r="P80" s="4" t="s">
        <v>1615</v>
      </c>
      <c r="V80" s="1"/>
      <c r="Z80"/>
    </row>
    <row r="81" spans="2:26" ht="16" x14ac:dyDescent="0.2">
      <c r="B81" s="3" t="s">
        <v>1616</v>
      </c>
      <c r="C81" s="3" t="s">
        <v>1617</v>
      </c>
      <c r="D81" s="3" t="s">
        <v>1471</v>
      </c>
      <c r="J81" s="1" t="s">
        <v>7</v>
      </c>
      <c r="K81" s="1" t="s">
        <v>1436</v>
      </c>
      <c r="L81" s="4" t="s">
        <v>1426</v>
      </c>
      <c r="N81" s="1" t="s">
        <v>7</v>
      </c>
      <c r="O81" s="4" t="s">
        <v>1447</v>
      </c>
      <c r="P81" s="4" t="s">
        <v>1618</v>
      </c>
      <c r="V81" s="1"/>
      <c r="Z81"/>
    </row>
    <row r="82" spans="2:26" ht="16" x14ac:dyDescent="0.2">
      <c r="B82" s="3" t="s">
        <v>1619</v>
      </c>
      <c r="C82" s="3" t="s">
        <v>1620</v>
      </c>
      <c r="D82" s="3" t="s">
        <v>1473</v>
      </c>
      <c r="J82" s="1" t="s">
        <v>7</v>
      </c>
      <c r="K82" s="1" t="s">
        <v>1436</v>
      </c>
      <c r="L82" s="4" t="s">
        <v>1431</v>
      </c>
      <c r="N82" s="1" t="s">
        <v>7</v>
      </c>
      <c r="O82" s="4" t="s">
        <v>1447</v>
      </c>
      <c r="P82" s="4" t="s">
        <v>1621</v>
      </c>
      <c r="V82" s="1"/>
      <c r="Z82"/>
    </row>
    <row r="83" spans="2:26" ht="16" x14ac:dyDescent="0.2">
      <c r="B83" s="3" t="s">
        <v>1622</v>
      </c>
      <c r="C83" s="3" t="s">
        <v>1623</v>
      </c>
      <c r="D83" s="3" t="s">
        <v>271</v>
      </c>
      <c r="J83" s="1" t="s">
        <v>7</v>
      </c>
      <c r="K83" s="1" t="s">
        <v>1436</v>
      </c>
      <c r="L83" s="4" t="s">
        <v>1434</v>
      </c>
      <c r="N83" s="1" t="s">
        <v>7</v>
      </c>
      <c r="O83" s="4" t="s">
        <v>1447</v>
      </c>
      <c r="P83" s="4" t="s">
        <v>1624</v>
      </c>
      <c r="V83" s="1"/>
      <c r="Z83"/>
    </row>
    <row r="84" spans="2:26" ht="16" x14ac:dyDescent="0.2">
      <c r="B84" s="3" t="s">
        <v>1625</v>
      </c>
      <c r="C84" s="3" t="s">
        <v>1626</v>
      </c>
      <c r="D84" s="3" t="s">
        <v>1477</v>
      </c>
      <c r="J84" s="1" t="s">
        <v>7</v>
      </c>
      <c r="K84" s="1" t="s">
        <v>1436</v>
      </c>
      <c r="L84" s="4" t="s">
        <v>1438</v>
      </c>
      <c r="N84" s="1" t="s">
        <v>7</v>
      </c>
      <c r="O84" s="4" t="s">
        <v>1447</v>
      </c>
      <c r="P84" s="4" t="s">
        <v>1439</v>
      </c>
      <c r="V84" s="1"/>
      <c r="Z84"/>
    </row>
    <row r="85" spans="2:26" ht="16" x14ac:dyDescent="0.2">
      <c r="B85" s="3" t="s">
        <v>1627</v>
      </c>
      <c r="C85" s="3" t="s">
        <v>1628</v>
      </c>
      <c r="D85" s="3" t="s">
        <v>1479</v>
      </c>
      <c r="J85" s="1" t="s">
        <v>7</v>
      </c>
      <c r="K85" s="1" t="s">
        <v>1436</v>
      </c>
      <c r="L85" s="4" t="s">
        <v>1480</v>
      </c>
      <c r="N85" s="1" t="s">
        <v>7</v>
      </c>
      <c r="O85" s="4" t="s">
        <v>1447</v>
      </c>
      <c r="P85" s="4" t="s">
        <v>1629</v>
      </c>
      <c r="V85" s="1"/>
      <c r="Z85"/>
    </row>
    <row r="86" spans="2:26" ht="16" x14ac:dyDescent="0.2">
      <c r="B86" s="3" t="s">
        <v>1630</v>
      </c>
      <c r="C86" s="3" t="s">
        <v>1631</v>
      </c>
      <c r="D86" s="3" t="s">
        <v>1481</v>
      </c>
      <c r="J86" s="1" t="s">
        <v>7</v>
      </c>
      <c r="K86" s="1" t="s">
        <v>1436</v>
      </c>
      <c r="L86" s="4" t="s">
        <v>1442</v>
      </c>
      <c r="N86" s="1" t="s">
        <v>7</v>
      </c>
      <c r="O86" s="4" t="s">
        <v>1447</v>
      </c>
      <c r="P86" s="4" t="s">
        <v>1632</v>
      </c>
      <c r="V86" s="1"/>
      <c r="Z86"/>
    </row>
    <row r="87" spans="2:26" ht="16" x14ac:dyDescent="0.2">
      <c r="B87" s="3" t="s">
        <v>1633</v>
      </c>
      <c r="C87" s="3" t="s">
        <v>1634</v>
      </c>
      <c r="D87" s="3" t="s">
        <v>1482</v>
      </c>
      <c r="J87" s="1" t="s">
        <v>7</v>
      </c>
      <c r="K87" s="1" t="s">
        <v>1436</v>
      </c>
      <c r="L87" s="4" t="s">
        <v>1447</v>
      </c>
      <c r="N87" s="1" t="s">
        <v>7</v>
      </c>
      <c r="O87" s="4" t="s">
        <v>1442</v>
      </c>
      <c r="P87" s="4" t="s">
        <v>1635</v>
      </c>
      <c r="V87" s="1"/>
      <c r="Z87"/>
    </row>
    <row r="88" spans="2:26" ht="16" x14ac:dyDescent="0.2">
      <c r="B88" s="3" t="s">
        <v>1636</v>
      </c>
      <c r="C88" s="3" t="s">
        <v>1637</v>
      </c>
      <c r="D88" s="3" t="s">
        <v>1484</v>
      </c>
      <c r="J88" s="1" t="s">
        <v>7</v>
      </c>
      <c r="K88" s="1" t="s">
        <v>1436</v>
      </c>
      <c r="L88" s="4" t="s">
        <v>1418</v>
      </c>
      <c r="N88" s="1" t="s">
        <v>7</v>
      </c>
      <c r="O88" s="4" t="s">
        <v>1442</v>
      </c>
      <c r="P88" s="4" t="s">
        <v>1638</v>
      </c>
      <c r="V88" s="1"/>
      <c r="Z88"/>
    </row>
    <row r="89" spans="2:26" ht="16" x14ac:dyDescent="0.2">
      <c r="B89" s="3" t="s">
        <v>1639</v>
      </c>
      <c r="C89" s="3" t="s">
        <v>1640</v>
      </c>
      <c r="D89" s="3" t="s">
        <v>1485</v>
      </c>
      <c r="J89" s="1" t="s">
        <v>7</v>
      </c>
      <c r="K89" s="1" t="s">
        <v>1436</v>
      </c>
      <c r="L89" s="4" t="s">
        <v>1453</v>
      </c>
      <c r="N89" s="1" t="s">
        <v>7</v>
      </c>
      <c r="O89" s="4" t="s">
        <v>1442</v>
      </c>
      <c r="P89" s="4" t="s">
        <v>1641</v>
      </c>
      <c r="V89" s="1"/>
      <c r="Z89"/>
    </row>
    <row r="90" spans="2:26" ht="16" x14ac:dyDescent="0.2">
      <c r="B90" s="3" t="s">
        <v>1642</v>
      </c>
      <c r="C90" s="3" t="s">
        <v>1643</v>
      </c>
      <c r="D90" s="3" t="s">
        <v>1487</v>
      </c>
      <c r="J90" s="1" t="s">
        <v>7</v>
      </c>
      <c r="K90" s="1" t="s">
        <v>1436</v>
      </c>
      <c r="L90" s="4" t="s">
        <v>207</v>
      </c>
      <c r="N90" s="1" t="s">
        <v>7</v>
      </c>
      <c r="O90" s="4" t="s">
        <v>1442</v>
      </c>
      <c r="P90" s="4" t="s">
        <v>1644</v>
      </c>
      <c r="V90" s="1"/>
      <c r="Z90"/>
    </row>
    <row r="91" spans="2:26" ht="16" x14ac:dyDescent="0.2">
      <c r="B91" s="3" t="s">
        <v>1645</v>
      </c>
      <c r="C91" s="3" t="s">
        <v>1646</v>
      </c>
      <c r="D91" s="3" t="s">
        <v>1488</v>
      </c>
      <c r="J91" s="1" t="s">
        <v>7</v>
      </c>
      <c r="K91" s="1" t="s">
        <v>1436</v>
      </c>
      <c r="L91" s="4" t="s">
        <v>1458</v>
      </c>
      <c r="N91" s="1" t="s">
        <v>7</v>
      </c>
      <c r="O91" s="4" t="s">
        <v>1442</v>
      </c>
      <c r="P91" s="4" t="s">
        <v>1647</v>
      </c>
      <c r="V91" s="1"/>
      <c r="Z91"/>
    </row>
    <row r="92" spans="2:26" ht="16" x14ac:dyDescent="0.2">
      <c r="B92" s="3" t="s">
        <v>1648</v>
      </c>
      <c r="C92" s="3" t="s">
        <v>1649</v>
      </c>
      <c r="D92" s="3" t="s">
        <v>1489</v>
      </c>
      <c r="J92" s="1" t="s">
        <v>7</v>
      </c>
      <c r="K92" s="1" t="s">
        <v>1436</v>
      </c>
      <c r="L92" s="4" t="s">
        <v>1514</v>
      </c>
      <c r="N92" s="1" t="s">
        <v>7</v>
      </c>
      <c r="O92" s="4" t="s">
        <v>1438</v>
      </c>
      <c r="P92" s="4" t="s">
        <v>1650</v>
      </c>
      <c r="V92" s="1"/>
      <c r="Z92"/>
    </row>
    <row r="93" spans="2:26" ht="16" x14ac:dyDescent="0.2">
      <c r="B93" s="3" t="s">
        <v>1651</v>
      </c>
      <c r="C93" s="3" t="s">
        <v>1652</v>
      </c>
      <c r="D93" s="3" t="s">
        <v>1492</v>
      </c>
      <c r="J93" s="1" t="s">
        <v>7</v>
      </c>
      <c r="K93" s="1" t="s">
        <v>1436</v>
      </c>
      <c r="L93" s="4" t="s">
        <v>1483</v>
      </c>
      <c r="N93" s="1" t="s">
        <v>7</v>
      </c>
      <c r="O93" s="4" t="s">
        <v>139</v>
      </c>
      <c r="P93" s="4" t="s">
        <v>1653</v>
      </c>
      <c r="V93" s="1"/>
      <c r="Z93"/>
    </row>
    <row r="94" spans="2:26" ht="16" x14ac:dyDescent="0.2">
      <c r="B94" s="3" t="s">
        <v>1654</v>
      </c>
      <c r="C94" s="3" t="s">
        <v>1655</v>
      </c>
      <c r="D94" s="3" t="s">
        <v>1495</v>
      </c>
      <c r="J94" s="1" t="s">
        <v>7</v>
      </c>
      <c r="K94" s="1" t="s">
        <v>1436</v>
      </c>
      <c r="L94" s="4" t="s">
        <v>168</v>
      </c>
      <c r="N94" s="1" t="s">
        <v>7</v>
      </c>
      <c r="O94" s="4" t="s">
        <v>139</v>
      </c>
      <c r="P94" s="4" t="s">
        <v>1656</v>
      </c>
      <c r="V94" s="1"/>
      <c r="Z94"/>
    </row>
    <row r="95" spans="2:26" ht="16" x14ac:dyDescent="0.2">
      <c r="B95" s="3" t="s">
        <v>1657</v>
      </c>
      <c r="C95" s="3" t="s">
        <v>1658</v>
      </c>
      <c r="D95" s="3" t="s">
        <v>1498</v>
      </c>
      <c r="J95" s="1" t="s">
        <v>7</v>
      </c>
      <c r="K95" s="1" t="s">
        <v>1436</v>
      </c>
      <c r="L95" s="4" t="s">
        <v>139</v>
      </c>
      <c r="N95" s="1" t="s">
        <v>7</v>
      </c>
      <c r="O95" s="4" t="s">
        <v>139</v>
      </c>
      <c r="P95" s="4" t="s">
        <v>1659</v>
      </c>
      <c r="V95" s="1"/>
      <c r="Z95"/>
    </row>
    <row r="96" spans="2:26" ht="16" x14ac:dyDescent="0.2">
      <c r="B96" s="3" t="s">
        <v>1660</v>
      </c>
      <c r="C96" s="3" t="s">
        <v>1661</v>
      </c>
      <c r="D96" s="3" t="s">
        <v>1501</v>
      </c>
      <c r="J96" s="1" t="s">
        <v>7</v>
      </c>
      <c r="K96" s="1" t="s">
        <v>1436</v>
      </c>
      <c r="L96" s="4" t="s">
        <v>1518</v>
      </c>
      <c r="N96" s="1" t="s">
        <v>7</v>
      </c>
      <c r="O96" s="4" t="s">
        <v>139</v>
      </c>
      <c r="P96" s="4" t="s">
        <v>1662</v>
      </c>
      <c r="V96" s="1"/>
      <c r="Z96"/>
    </row>
    <row r="97" spans="2:26" ht="16" x14ac:dyDescent="0.2">
      <c r="B97" s="3" t="s">
        <v>1663</v>
      </c>
      <c r="C97" s="3" t="s">
        <v>1664</v>
      </c>
      <c r="D97" s="3" t="s">
        <v>1504</v>
      </c>
      <c r="J97" s="1" t="s">
        <v>7</v>
      </c>
      <c r="K97" s="1" t="s">
        <v>1436</v>
      </c>
      <c r="L97" s="4" t="s">
        <v>1462</v>
      </c>
      <c r="N97" s="1" t="s">
        <v>7</v>
      </c>
      <c r="O97" s="4" t="s">
        <v>139</v>
      </c>
      <c r="P97" s="4" t="s">
        <v>1665</v>
      </c>
      <c r="V97" s="1"/>
      <c r="Z97"/>
    </row>
    <row r="98" spans="2:26" ht="16" x14ac:dyDescent="0.2">
      <c r="B98" s="3" t="s">
        <v>1666</v>
      </c>
      <c r="C98" s="3" t="s">
        <v>1667</v>
      </c>
      <c r="D98" s="3" t="s">
        <v>1508</v>
      </c>
      <c r="J98" s="1" t="s">
        <v>7</v>
      </c>
      <c r="K98" s="1" t="s">
        <v>1436</v>
      </c>
      <c r="L98" s="4" t="s">
        <v>1465</v>
      </c>
      <c r="N98" s="1" t="s">
        <v>7</v>
      </c>
      <c r="O98" s="4" t="s">
        <v>139</v>
      </c>
      <c r="P98" s="4" t="s">
        <v>1668</v>
      </c>
      <c r="V98" s="1"/>
      <c r="Z98"/>
    </row>
    <row r="99" spans="2:26" ht="16" x14ac:dyDescent="0.2">
      <c r="B99" s="3" t="s">
        <v>1669</v>
      </c>
      <c r="C99" s="3" t="s">
        <v>1670</v>
      </c>
      <c r="D99" s="3" t="s">
        <v>1511</v>
      </c>
      <c r="J99" s="1" t="s">
        <v>7</v>
      </c>
      <c r="K99" s="1" t="s">
        <v>1436</v>
      </c>
      <c r="L99" s="4" t="s">
        <v>1467</v>
      </c>
      <c r="N99" s="1" t="s">
        <v>7</v>
      </c>
      <c r="O99" s="4" t="s">
        <v>139</v>
      </c>
      <c r="P99" s="4" t="s">
        <v>1671</v>
      </c>
      <c r="V99" s="1"/>
      <c r="Z99"/>
    </row>
    <row r="100" spans="2:26" ht="16" x14ac:dyDescent="0.2">
      <c r="B100" s="3" t="s">
        <v>1672</v>
      </c>
      <c r="C100" s="3" t="s">
        <v>1673</v>
      </c>
      <c r="D100" s="3" t="s">
        <v>1515</v>
      </c>
      <c r="J100" s="1" t="s">
        <v>7</v>
      </c>
      <c r="K100" s="1" t="s">
        <v>1436</v>
      </c>
      <c r="L100" s="4" t="s">
        <v>1470</v>
      </c>
      <c r="N100" s="1" t="s">
        <v>7</v>
      </c>
      <c r="O100" s="4" t="s">
        <v>139</v>
      </c>
      <c r="P100" s="4" t="s">
        <v>1674</v>
      </c>
      <c r="V100" s="1"/>
      <c r="Z100"/>
    </row>
    <row r="101" spans="2:26" ht="16" x14ac:dyDescent="0.2">
      <c r="B101" s="3" t="s">
        <v>1675</v>
      </c>
      <c r="C101" s="3" t="s">
        <v>1676</v>
      </c>
      <c r="D101" s="3" t="s">
        <v>1519</v>
      </c>
      <c r="J101" s="1" t="s">
        <v>7</v>
      </c>
      <c r="K101" s="1" t="s">
        <v>1436</v>
      </c>
      <c r="L101" s="4" t="s">
        <v>1472</v>
      </c>
      <c r="N101" s="1" t="s">
        <v>7</v>
      </c>
      <c r="O101" s="4" t="s">
        <v>168</v>
      </c>
      <c r="P101" s="4" t="s">
        <v>1677</v>
      </c>
      <c r="V101" s="1"/>
      <c r="Z101"/>
    </row>
    <row r="102" spans="2:26" ht="16" x14ac:dyDescent="0.2">
      <c r="B102" s="3" t="s">
        <v>1678</v>
      </c>
      <c r="C102" s="3" t="s">
        <v>1679</v>
      </c>
      <c r="D102" s="3" t="s">
        <v>1522</v>
      </c>
      <c r="J102" s="1" t="s">
        <v>7</v>
      </c>
      <c r="K102" s="1" t="s">
        <v>1436</v>
      </c>
      <c r="L102" s="4" t="s">
        <v>1474</v>
      </c>
      <c r="N102" s="1" t="s">
        <v>7</v>
      </c>
      <c r="O102" s="4" t="s">
        <v>168</v>
      </c>
      <c r="P102" s="4" t="s">
        <v>1680</v>
      </c>
      <c r="V102" s="1"/>
      <c r="Z102"/>
    </row>
    <row r="103" spans="2:26" ht="16" x14ac:dyDescent="0.2">
      <c r="B103" s="3" t="s">
        <v>1681</v>
      </c>
      <c r="C103" s="3" t="s">
        <v>1682</v>
      </c>
      <c r="D103" s="3" t="s">
        <v>1523</v>
      </c>
      <c r="J103" s="1" t="s">
        <v>7</v>
      </c>
      <c r="K103" s="1" t="s">
        <v>1436</v>
      </c>
      <c r="L103" s="4" t="s">
        <v>1476</v>
      </c>
      <c r="N103" s="1" t="s">
        <v>7</v>
      </c>
      <c r="O103" s="4" t="s">
        <v>168</v>
      </c>
      <c r="P103" s="4" t="s">
        <v>1683</v>
      </c>
      <c r="V103" s="1"/>
      <c r="Z103"/>
    </row>
    <row r="104" spans="2:26" ht="16" x14ac:dyDescent="0.2">
      <c r="B104" s="3" t="s">
        <v>1684</v>
      </c>
      <c r="C104" s="3" t="s">
        <v>1685</v>
      </c>
      <c r="D104" s="3" t="s">
        <v>1526</v>
      </c>
      <c r="J104" s="1" t="s">
        <v>7</v>
      </c>
      <c r="K104" s="1" t="s">
        <v>1436</v>
      </c>
      <c r="L104" s="4" t="s">
        <v>1478</v>
      </c>
      <c r="N104" s="1" t="s">
        <v>7</v>
      </c>
      <c r="O104" s="4" t="s">
        <v>168</v>
      </c>
      <c r="P104" s="4" t="s">
        <v>1686</v>
      </c>
      <c r="V104" s="1"/>
      <c r="Z104"/>
    </row>
    <row r="105" spans="2:26" ht="16" x14ac:dyDescent="0.2">
      <c r="B105" s="3" t="s">
        <v>1687</v>
      </c>
      <c r="C105" s="3" t="s">
        <v>1688</v>
      </c>
      <c r="D105" s="3" t="s">
        <v>1527</v>
      </c>
      <c r="J105" s="1" t="s">
        <v>7</v>
      </c>
      <c r="K105" s="1" t="s">
        <v>1428</v>
      </c>
      <c r="L105" s="4" t="s">
        <v>1462</v>
      </c>
      <c r="N105" s="1" t="s">
        <v>7</v>
      </c>
      <c r="O105" s="4" t="s">
        <v>168</v>
      </c>
      <c r="P105" s="4" t="s">
        <v>1689</v>
      </c>
      <c r="V105" s="1"/>
      <c r="Z105"/>
    </row>
    <row r="106" spans="2:26" ht="16" x14ac:dyDescent="0.2">
      <c r="B106" s="3" t="s">
        <v>1690</v>
      </c>
      <c r="C106" s="3" t="s">
        <v>1691</v>
      </c>
      <c r="D106" s="3" t="s">
        <v>302</v>
      </c>
      <c r="J106" s="1" t="s">
        <v>7</v>
      </c>
      <c r="K106" s="1" t="s">
        <v>1428</v>
      </c>
      <c r="L106" s="4" t="s">
        <v>1465</v>
      </c>
      <c r="N106" s="1" t="s">
        <v>7</v>
      </c>
      <c r="O106" s="4" t="s">
        <v>168</v>
      </c>
      <c r="P106" s="4" t="s">
        <v>1692</v>
      </c>
      <c r="V106" s="1"/>
      <c r="Z106"/>
    </row>
    <row r="107" spans="2:26" ht="16" x14ac:dyDescent="0.2">
      <c r="B107" s="3" t="s">
        <v>1693</v>
      </c>
      <c r="C107" s="3" t="s">
        <v>1694</v>
      </c>
      <c r="D107" s="3" t="s">
        <v>1530</v>
      </c>
      <c r="J107" s="1" t="s">
        <v>7</v>
      </c>
      <c r="K107" s="1" t="s">
        <v>1428</v>
      </c>
      <c r="L107" s="4" t="s">
        <v>1467</v>
      </c>
      <c r="N107" s="1" t="s">
        <v>7</v>
      </c>
      <c r="O107" s="4" t="s">
        <v>168</v>
      </c>
      <c r="P107" s="4" t="s">
        <v>1695</v>
      </c>
      <c r="V107" s="1"/>
      <c r="Z107"/>
    </row>
    <row r="108" spans="2:26" ht="16" x14ac:dyDescent="0.2">
      <c r="B108" s="3" t="s">
        <v>1696</v>
      </c>
      <c r="C108" s="3" t="s">
        <v>1697</v>
      </c>
      <c r="D108" s="3" t="s">
        <v>1533</v>
      </c>
      <c r="J108" s="1" t="s">
        <v>7</v>
      </c>
      <c r="K108" s="1" t="s">
        <v>1428</v>
      </c>
      <c r="L108" s="4" t="s">
        <v>1470</v>
      </c>
      <c r="N108" s="1" t="s">
        <v>7</v>
      </c>
      <c r="O108" s="4" t="s">
        <v>168</v>
      </c>
      <c r="P108" s="4" t="s">
        <v>1698</v>
      </c>
      <c r="V108" s="1"/>
      <c r="Z108"/>
    </row>
    <row r="109" spans="2:26" ht="16" x14ac:dyDescent="0.2">
      <c r="B109" s="3" t="s">
        <v>1699</v>
      </c>
      <c r="C109" s="3" t="s">
        <v>290</v>
      </c>
      <c r="D109" s="3" t="s">
        <v>1536</v>
      </c>
      <c r="J109" s="1" t="s">
        <v>7</v>
      </c>
      <c r="K109" s="1" t="s">
        <v>1428</v>
      </c>
      <c r="L109" s="4" t="s">
        <v>1472</v>
      </c>
      <c r="N109" s="1" t="s">
        <v>7</v>
      </c>
      <c r="O109" s="4" t="s">
        <v>1458</v>
      </c>
      <c r="P109" s="4" t="s">
        <v>1700</v>
      </c>
      <c r="V109" s="1"/>
      <c r="Z109"/>
    </row>
    <row r="110" spans="2:26" ht="16" x14ac:dyDescent="0.2">
      <c r="B110" s="3" t="s">
        <v>1701</v>
      </c>
      <c r="C110" s="3" t="s">
        <v>1702</v>
      </c>
      <c r="D110" s="3" t="s">
        <v>1539</v>
      </c>
      <c r="J110" s="1" t="s">
        <v>7</v>
      </c>
      <c r="K110" s="1" t="s">
        <v>1428</v>
      </c>
      <c r="L110" s="4" t="s">
        <v>1474</v>
      </c>
      <c r="N110" s="1" t="s">
        <v>7</v>
      </c>
      <c r="O110" s="4" t="s">
        <v>1458</v>
      </c>
      <c r="P110" s="4" t="s">
        <v>1703</v>
      </c>
      <c r="V110" s="1"/>
      <c r="Z110"/>
    </row>
    <row r="111" spans="2:26" ht="16" x14ac:dyDescent="0.2">
      <c r="B111" s="3" t="s">
        <v>1704</v>
      </c>
      <c r="C111" s="3" t="s">
        <v>1705</v>
      </c>
      <c r="D111" s="3" t="s">
        <v>1542</v>
      </c>
      <c r="J111" s="1" t="s">
        <v>7</v>
      </c>
      <c r="K111" s="1" t="s">
        <v>1428</v>
      </c>
      <c r="L111" s="4" t="s">
        <v>1476</v>
      </c>
      <c r="N111" s="1" t="s">
        <v>7</v>
      </c>
      <c r="O111" s="4" t="s">
        <v>1458</v>
      </c>
      <c r="P111" s="4" t="s">
        <v>1706</v>
      </c>
      <c r="V111" s="1"/>
      <c r="Z111"/>
    </row>
    <row r="112" spans="2:26" ht="16" x14ac:dyDescent="0.2">
      <c r="B112" s="3" t="s">
        <v>1707</v>
      </c>
      <c r="C112" s="3" t="s">
        <v>1708</v>
      </c>
      <c r="D112" s="3" t="s">
        <v>1545</v>
      </c>
      <c r="J112" s="1" t="s">
        <v>7</v>
      </c>
      <c r="K112" s="1" t="s">
        <v>1428</v>
      </c>
      <c r="L112" s="4" t="s">
        <v>1478</v>
      </c>
      <c r="N112" s="1" t="s">
        <v>7</v>
      </c>
      <c r="O112" s="4" t="s">
        <v>1458</v>
      </c>
      <c r="P112" s="4" t="s">
        <v>1709</v>
      </c>
      <c r="V112" s="1"/>
      <c r="Z112"/>
    </row>
    <row r="113" spans="2:26" ht="16" x14ac:dyDescent="0.2">
      <c r="B113" s="3" t="s">
        <v>1710</v>
      </c>
      <c r="C113" s="3" t="s">
        <v>1711</v>
      </c>
      <c r="D113" s="3" t="s">
        <v>1548</v>
      </c>
      <c r="J113" s="1" t="s">
        <v>1248</v>
      </c>
      <c r="K113" s="5" t="s">
        <v>1440</v>
      </c>
      <c r="L113" s="6" t="s">
        <v>1490</v>
      </c>
      <c r="N113" s="1" t="s">
        <v>7</v>
      </c>
      <c r="O113" s="4" t="s">
        <v>1458</v>
      </c>
      <c r="P113" s="4" t="s">
        <v>1712</v>
      </c>
      <c r="V113" s="1"/>
      <c r="Z113"/>
    </row>
    <row r="114" spans="2:26" ht="16" x14ac:dyDescent="0.2">
      <c r="B114" s="3" t="s">
        <v>1713</v>
      </c>
      <c r="C114" s="3" t="s">
        <v>1714</v>
      </c>
      <c r="D114" s="3" t="s">
        <v>1551</v>
      </c>
      <c r="J114" s="1" t="s">
        <v>1248</v>
      </c>
      <c r="K114" s="5" t="s">
        <v>1440</v>
      </c>
      <c r="L114" s="6" t="s">
        <v>1493</v>
      </c>
      <c r="N114" s="1" t="s">
        <v>7</v>
      </c>
      <c r="O114" s="4" t="s">
        <v>1458</v>
      </c>
      <c r="P114" s="4" t="s">
        <v>613</v>
      </c>
      <c r="V114" s="1"/>
      <c r="Z114"/>
    </row>
    <row r="115" spans="2:26" ht="16" x14ac:dyDescent="0.2">
      <c r="B115" s="3" t="s">
        <v>1715</v>
      </c>
      <c r="C115" s="3" t="s">
        <v>1716</v>
      </c>
      <c r="D115" s="3" t="s">
        <v>1554</v>
      </c>
      <c r="J115" s="1" t="s">
        <v>1248</v>
      </c>
      <c r="K115" s="5" t="s">
        <v>1440</v>
      </c>
      <c r="L115" s="6" t="s">
        <v>1496</v>
      </c>
      <c r="N115" s="1" t="s">
        <v>7</v>
      </c>
      <c r="O115" s="4" t="s">
        <v>1458</v>
      </c>
      <c r="P115" s="4" t="s">
        <v>618</v>
      </c>
      <c r="V115" s="1"/>
      <c r="Z115"/>
    </row>
    <row r="116" spans="2:26" ht="16" x14ac:dyDescent="0.2">
      <c r="B116" s="3" t="s">
        <v>1717</v>
      </c>
      <c r="C116" s="3" t="s">
        <v>1718</v>
      </c>
      <c r="D116" s="3" t="s">
        <v>1557</v>
      </c>
      <c r="J116" s="1" t="s">
        <v>1248</v>
      </c>
      <c r="K116" s="5" t="s">
        <v>1440</v>
      </c>
      <c r="L116" s="6" t="s">
        <v>1499</v>
      </c>
      <c r="N116" s="1" t="s">
        <v>7</v>
      </c>
      <c r="O116" s="4" t="s">
        <v>1458</v>
      </c>
      <c r="P116" s="4" t="s">
        <v>1719</v>
      </c>
      <c r="V116" s="1"/>
      <c r="Z116"/>
    </row>
    <row r="117" spans="2:26" ht="16" x14ac:dyDescent="0.2">
      <c r="B117" s="3" t="s">
        <v>1720</v>
      </c>
      <c r="C117" s="3" t="s">
        <v>1721</v>
      </c>
      <c r="D117" s="3" t="s">
        <v>1560</v>
      </c>
      <c r="J117" s="1" t="s">
        <v>1248</v>
      </c>
      <c r="K117" s="5" t="s">
        <v>1440</v>
      </c>
      <c r="L117" s="6" t="s">
        <v>1502</v>
      </c>
      <c r="N117" s="1" t="s">
        <v>7</v>
      </c>
      <c r="O117" s="4" t="s">
        <v>207</v>
      </c>
      <c r="P117" s="4" t="s">
        <v>1722</v>
      </c>
      <c r="V117" s="1"/>
      <c r="Z117"/>
    </row>
    <row r="118" spans="2:26" ht="16" x14ac:dyDescent="0.2">
      <c r="B118" s="3" t="s">
        <v>1723</v>
      </c>
      <c r="C118" s="3" t="s">
        <v>1724</v>
      </c>
      <c r="D118" s="3" t="s">
        <v>1563</v>
      </c>
      <c r="J118" s="1" t="s">
        <v>1248</v>
      </c>
      <c r="K118" s="5" t="s">
        <v>1440</v>
      </c>
      <c r="L118" s="6" t="s">
        <v>1505</v>
      </c>
      <c r="N118" s="1" t="s">
        <v>7</v>
      </c>
      <c r="O118" s="4" t="s">
        <v>207</v>
      </c>
      <c r="P118" s="4" t="s">
        <v>796</v>
      </c>
      <c r="V118" s="1"/>
      <c r="Z118"/>
    </row>
    <row r="119" spans="2:26" ht="16" x14ac:dyDescent="0.2">
      <c r="B119" s="3" t="s">
        <v>1725</v>
      </c>
      <c r="C119" s="3" t="s">
        <v>1726</v>
      </c>
      <c r="D119" s="3" t="s">
        <v>1566</v>
      </c>
      <c r="J119" s="1" t="s">
        <v>1248</v>
      </c>
      <c r="K119" s="5" t="s">
        <v>1440</v>
      </c>
      <c r="L119" s="6" t="s">
        <v>1509</v>
      </c>
      <c r="N119" s="1" t="s">
        <v>7</v>
      </c>
      <c r="O119" s="4" t="s">
        <v>207</v>
      </c>
      <c r="P119" s="4" t="s">
        <v>1727</v>
      </c>
      <c r="V119" s="1"/>
      <c r="Z119"/>
    </row>
    <row r="120" spans="2:26" ht="16" x14ac:dyDescent="0.2">
      <c r="B120" s="3" t="s">
        <v>1728</v>
      </c>
      <c r="C120" s="3" t="s">
        <v>1729</v>
      </c>
      <c r="D120" s="3" t="s">
        <v>1569</v>
      </c>
      <c r="J120" s="1" t="s">
        <v>1248</v>
      </c>
      <c r="K120" s="5" t="s">
        <v>1440</v>
      </c>
      <c r="L120" s="6" t="s">
        <v>1512</v>
      </c>
      <c r="N120" s="1" t="s">
        <v>7</v>
      </c>
      <c r="O120" s="4" t="s">
        <v>1483</v>
      </c>
      <c r="P120" s="4" t="s">
        <v>1730</v>
      </c>
      <c r="V120" s="1"/>
      <c r="Z120"/>
    </row>
    <row r="121" spans="2:26" ht="16" x14ac:dyDescent="0.2">
      <c r="B121" s="3" t="s">
        <v>1731</v>
      </c>
      <c r="C121" s="3" t="s">
        <v>1732</v>
      </c>
      <c r="D121" s="3" t="s">
        <v>1572</v>
      </c>
      <c r="J121" s="1" t="s">
        <v>1248</v>
      </c>
      <c r="K121" s="5" t="s">
        <v>1440</v>
      </c>
      <c r="L121" s="6" t="s">
        <v>1516</v>
      </c>
      <c r="N121" s="1" t="s">
        <v>7</v>
      </c>
      <c r="O121" s="4" t="s">
        <v>1483</v>
      </c>
      <c r="P121" s="4" t="s">
        <v>1733</v>
      </c>
      <c r="V121" s="1"/>
      <c r="Z121"/>
    </row>
    <row r="122" spans="2:26" ht="16" x14ac:dyDescent="0.2">
      <c r="B122" s="3" t="s">
        <v>1734</v>
      </c>
      <c r="C122" s="3" t="s">
        <v>1735</v>
      </c>
      <c r="D122" s="3" t="s">
        <v>1575</v>
      </c>
      <c r="J122" s="1" t="s">
        <v>1248</v>
      </c>
      <c r="K122" s="5" t="s">
        <v>1440</v>
      </c>
      <c r="L122" s="6" t="s">
        <v>1520</v>
      </c>
      <c r="N122" s="1" t="s">
        <v>7</v>
      </c>
      <c r="O122" s="4" t="s">
        <v>1483</v>
      </c>
      <c r="P122" s="4" t="s">
        <v>1736</v>
      </c>
      <c r="V122" s="1"/>
      <c r="Z122"/>
    </row>
    <row r="123" spans="2:26" ht="16" x14ac:dyDescent="0.2">
      <c r="B123" s="3" t="s">
        <v>1737</v>
      </c>
      <c r="C123" s="3" t="s">
        <v>1738</v>
      </c>
      <c r="D123" s="3" t="s">
        <v>1578</v>
      </c>
      <c r="J123" s="1" t="s">
        <v>1248</v>
      </c>
      <c r="K123" s="5" t="s">
        <v>1440</v>
      </c>
      <c r="L123" s="6" t="s">
        <v>209</v>
      </c>
      <c r="N123" s="1" t="s">
        <v>7</v>
      </c>
      <c r="O123" s="4" t="s">
        <v>1483</v>
      </c>
      <c r="P123" s="4" t="s">
        <v>1739</v>
      </c>
      <c r="V123" s="1"/>
      <c r="Z123"/>
    </row>
    <row r="124" spans="2:26" ht="16" x14ac:dyDescent="0.2">
      <c r="B124" s="3" t="s">
        <v>1740</v>
      </c>
      <c r="C124" s="3" t="s">
        <v>1741</v>
      </c>
      <c r="D124" s="3" t="s">
        <v>1581</v>
      </c>
      <c r="J124" s="1" t="s">
        <v>1248</v>
      </c>
      <c r="K124" s="5" t="s">
        <v>1440</v>
      </c>
      <c r="L124" s="6" t="s">
        <v>1524</v>
      </c>
      <c r="N124" s="1" t="s">
        <v>7</v>
      </c>
      <c r="O124" s="4" t="s">
        <v>1483</v>
      </c>
      <c r="P124" s="4" t="s">
        <v>1742</v>
      </c>
      <c r="V124" s="1"/>
      <c r="Z124"/>
    </row>
    <row r="125" spans="2:26" ht="16" x14ac:dyDescent="0.2">
      <c r="B125" s="3" t="s">
        <v>1743</v>
      </c>
      <c r="C125" s="3" t="s">
        <v>1744</v>
      </c>
      <c r="D125" s="3" t="s">
        <v>1584</v>
      </c>
      <c r="J125" s="1" t="s">
        <v>1248</v>
      </c>
      <c r="K125" s="5" t="s">
        <v>1440</v>
      </c>
      <c r="L125" s="6" t="s">
        <v>170</v>
      </c>
      <c r="N125" s="1" t="s">
        <v>7</v>
      </c>
      <c r="O125" s="4" t="s">
        <v>1483</v>
      </c>
      <c r="P125" s="4" t="s">
        <v>1745</v>
      </c>
      <c r="V125" s="1"/>
      <c r="Z125"/>
    </row>
    <row r="126" spans="2:26" ht="16" x14ac:dyDescent="0.2">
      <c r="B126" s="3" t="s">
        <v>1746</v>
      </c>
      <c r="C126" s="3" t="s">
        <v>1747</v>
      </c>
      <c r="D126" s="3" t="s">
        <v>1587</v>
      </c>
      <c r="J126" s="1" t="s">
        <v>1248</v>
      </c>
      <c r="K126" s="5" t="s">
        <v>1440</v>
      </c>
      <c r="L126" s="6" t="s">
        <v>141</v>
      </c>
      <c r="N126" s="1" t="s">
        <v>7</v>
      </c>
      <c r="O126" s="4" t="s">
        <v>1483</v>
      </c>
      <c r="P126" s="4" t="s">
        <v>1748</v>
      </c>
      <c r="V126" s="1"/>
      <c r="Z126"/>
    </row>
    <row r="127" spans="2:26" ht="16" x14ac:dyDescent="0.2">
      <c r="B127" s="3" t="s">
        <v>1749</v>
      </c>
      <c r="C127" s="3" t="s">
        <v>1750</v>
      </c>
      <c r="D127" s="3" t="s">
        <v>1590</v>
      </c>
      <c r="J127" s="1" t="s">
        <v>1248</v>
      </c>
      <c r="K127" s="5" t="s">
        <v>1440</v>
      </c>
      <c r="L127" s="6" t="s">
        <v>1528</v>
      </c>
      <c r="N127" s="1" t="s">
        <v>7</v>
      </c>
      <c r="O127" s="4" t="s">
        <v>1483</v>
      </c>
      <c r="P127" s="4" t="s">
        <v>1751</v>
      </c>
      <c r="V127" s="1"/>
      <c r="Z127"/>
    </row>
    <row r="128" spans="2:26" ht="16" x14ac:dyDescent="0.2">
      <c r="B128" s="3" t="s">
        <v>1752</v>
      </c>
      <c r="C128" s="3" t="s">
        <v>1753</v>
      </c>
      <c r="D128" s="3" t="s">
        <v>1593</v>
      </c>
      <c r="J128" s="1" t="s">
        <v>1248</v>
      </c>
      <c r="K128" s="5" t="s">
        <v>1440</v>
      </c>
      <c r="L128" s="6" t="s">
        <v>1531</v>
      </c>
      <c r="N128" s="1" t="s">
        <v>7</v>
      </c>
      <c r="O128" s="4" t="s">
        <v>1483</v>
      </c>
      <c r="P128" s="4" t="s">
        <v>1754</v>
      </c>
      <c r="V128" s="1"/>
      <c r="Z128"/>
    </row>
    <row r="129" spans="2:26" ht="16" x14ac:dyDescent="0.2">
      <c r="B129" s="3" t="s">
        <v>1755</v>
      </c>
      <c r="C129" s="3" t="s">
        <v>1756</v>
      </c>
      <c r="D129" s="3" t="s">
        <v>1595</v>
      </c>
      <c r="J129" s="1" t="s">
        <v>1248</v>
      </c>
      <c r="K129" s="5" t="s">
        <v>1440</v>
      </c>
      <c r="L129" s="6" t="s">
        <v>1534</v>
      </c>
      <c r="N129" s="1" t="s">
        <v>7</v>
      </c>
      <c r="O129" s="4" t="s">
        <v>1483</v>
      </c>
      <c r="P129" s="4" t="s">
        <v>1757</v>
      </c>
      <c r="V129" s="1"/>
      <c r="Z129"/>
    </row>
    <row r="130" spans="2:26" ht="16" x14ac:dyDescent="0.2">
      <c r="B130" s="3" t="s">
        <v>1758</v>
      </c>
      <c r="C130" s="3" t="s">
        <v>1759</v>
      </c>
      <c r="D130" s="3" t="s">
        <v>1598</v>
      </c>
      <c r="J130" s="1" t="s">
        <v>1248</v>
      </c>
      <c r="K130" s="5" t="s">
        <v>1440</v>
      </c>
      <c r="L130" s="6" t="s">
        <v>1537</v>
      </c>
      <c r="N130" s="1" t="s">
        <v>7</v>
      </c>
      <c r="O130" s="4" t="s">
        <v>1480</v>
      </c>
      <c r="P130" s="4" t="s">
        <v>1760</v>
      </c>
      <c r="V130" s="1"/>
      <c r="Z130"/>
    </row>
    <row r="131" spans="2:26" ht="16" x14ac:dyDescent="0.2">
      <c r="B131" s="3" t="s">
        <v>1761</v>
      </c>
      <c r="C131" s="3" t="s">
        <v>1762</v>
      </c>
      <c r="D131" s="3" t="s">
        <v>1600</v>
      </c>
      <c r="J131" s="1" t="s">
        <v>1248</v>
      </c>
      <c r="K131" s="5" t="s">
        <v>1440</v>
      </c>
      <c r="L131" s="6" t="s">
        <v>1540</v>
      </c>
      <c r="N131" s="1" t="s">
        <v>7</v>
      </c>
      <c r="O131" s="4" t="s">
        <v>1480</v>
      </c>
      <c r="P131" s="4" t="s">
        <v>1763</v>
      </c>
      <c r="V131" s="1"/>
      <c r="Z131"/>
    </row>
    <row r="132" spans="2:26" ht="16" x14ac:dyDescent="0.2">
      <c r="B132" s="3" t="s">
        <v>1764</v>
      </c>
      <c r="C132" s="3" t="s">
        <v>1765</v>
      </c>
      <c r="D132" s="3" t="s">
        <v>1603</v>
      </c>
      <c r="J132" s="1" t="s">
        <v>1248</v>
      </c>
      <c r="K132" s="5" t="s">
        <v>1440</v>
      </c>
      <c r="L132" s="6" t="s">
        <v>1543</v>
      </c>
      <c r="N132" s="1" t="s">
        <v>7</v>
      </c>
      <c r="O132" s="4" t="s">
        <v>1480</v>
      </c>
      <c r="P132" s="4" t="s">
        <v>1766</v>
      </c>
      <c r="V132" s="1"/>
      <c r="Z132"/>
    </row>
    <row r="133" spans="2:26" ht="16" x14ac:dyDescent="0.2">
      <c r="B133" s="3" t="s">
        <v>1767</v>
      </c>
      <c r="C133" s="3" t="s">
        <v>1768</v>
      </c>
      <c r="D133" s="3" t="s">
        <v>1606</v>
      </c>
      <c r="J133" s="1" t="s">
        <v>1248</v>
      </c>
      <c r="K133" s="5" t="s">
        <v>1440</v>
      </c>
      <c r="L133" s="6" t="s">
        <v>1546</v>
      </c>
      <c r="N133" s="1" t="s">
        <v>7</v>
      </c>
      <c r="O133" s="4" t="s">
        <v>1480</v>
      </c>
      <c r="P133" s="4" t="s">
        <v>1769</v>
      </c>
      <c r="V133" s="1"/>
      <c r="Z133"/>
    </row>
    <row r="134" spans="2:26" ht="16" x14ac:dyDescent="0.2">
      <c r="B134" s="3" t="s">
        <v>1770</v>
      </c>
      <c r="C134" s="3" t="s">
        <v>1771</v>
      </c>
      <c r="D134" s="3" t="s">
        <v>1609</v>
      </c>
      <c r="J134" s="1" t="s">
        <v>1248</v>
      </c>
      <c r="K134" s="5" t="s">
        <v>1440</v>
      </c>
      <c r="L134" s="6" t="s">
        <v>1549</v>
      </c>
      <c r="N134" s="1" t="s">
        <v>7</v>
      </c>
      <c r="O134" s="4" t="s">
        <v>1480</v>
      </c>
      <c r="P134" s="4" t="s">
        <v>1772</v>
      </c>
      <c r="V134" s="1"/>
      <c r="Z134"/>
    </row>
    <row r="135" spans="2:26" ht="16" x14ac:dyDescent="0.2">
      <c r="B135" s="3" t="s">
        <v>1773</v>
      </c>
      <c r="C135" s="3" t="s">
        <v>1774</v>
      </c>
      <c r="D135" s="3" t="s">
        <v>1612</v>
      </c>
      <c r="J135" s="1" t="s">
        <v>1248</v>
      </c>
      <c r="K135" s="5" t="s">
        <v>1444</v>
      </c>
      <c r="L135" s="6" t="s">
        <v>1552</v>
      </c>
      <c r="N135" s="1" t="s">
        <v>7</v>
      </c>
      <c r="O135" s="4" t="s">
        <v>1480</v>
      </c>
      <c r="P135" s="4" t="s">
        <v>1775</v>
      </c>
      <c r="V135" s="1"/>
      <c r="Z135"/>
    </row>
    <row r="136" spans="2:26" ht="16" x14ac:dyDescent="0.2">
      <c r="B136" s="3" t="s">
        <v>1776</v>
      </c>
      <c r="C136" s="3" t="s">
        <v>1777</v>
      </c>
      <c r="D136" s="3" t="s">
        <v>1615</v>
      </c>
      <c r="J136" s="1" t="s">
        <v>1248</v>
      </c>
      <c r="K136" s="5" t="s">
        <v>1444</v>
      </c>
      <c r="L136" s="6" t="s">
        <v>209</v>
      </c>
      <c r="N136" s="1" t="s">
        <v>7</v>
      </c>
      <c r="O136" s="4" t="s">
        <v>1480</v>
      </c>
      <c r="P136" s="4" t="s">
        <v>1778</v>
      </c>
      <c r="V136" s="1"/>
      <c r="Z136"/>
    </row>
    <row r="137" spans="2:26" ht="16" x14ac:dyDescent="0.2">
      <c r="B137" s="3" t="s">
        <v>1779</v>
      </c>
      <c r="C137" s="3" t="s">
        <v>1780</v>
      </c>
      <c r="D137" s="3" t="s">
        <v>1618</v>
      </c>
      <c r="J137" s="1" t="s">
        <v>1248</v>
      </c>
      <c r="K137" s="5" t="s">
        <v>1444</v>
      </c>
      <c r="L137" s="6" t="s">
        <v>1555</v>
      </c>
      <c r="N137" s="1" t="s">
        <v>7</v>
      </c>
      <c r="O137" s="4" t="s">
        <v>1480</v>
      </c>
      <c r="P137" s="4" t="s">
        <v>1781</v>
      </c>
      <c r="V137" s="1"/>
      <c r="Z137"/>
    </row>
    <row r="138" spans="2:26" ht="16" x14ac:dyDescent="0.2">
      <c r="B138" s="3" t="s">
        <v>1782</v>
      </c>
      <c r="C138" s="3" t="s">
        <v>1783</v>
      </c>
      <c r="D138" s="3" t="s">
        <v>1621</v>
      </c>
      <c r="J138" s="1" t="s">
        <v>1248</v>
      </c>
      <c r="K138" s="5" t="s">
        <v>1444</v>
      </c>
      <c r="L138" s="6" t="s">
        <v>170</v>
      </c>
      <c r="N138" s="1" t="s">
        <v>7</v>
      </c>
      <c r="O138" s="4" t="s">
        <v>1480</v>
      </c>
      <c r="P138" s="4" t="s">
        <v>1784</v>
      </c>
      <c r="V138" s="1"/>
      <c r="Z138"/>
    </row>
    <row r="139" spans="2:26" ht="16" x14ac:dyDescent="0.2">
      <c r="B139" s="3" t="s">
        <v>1785</v>
      </c>
      <c r="C139" s="3" t="s">
        <v>1786</v>
      </c>
      <c r="D139" s="3" t="s">
        <v>1624</v>
      </c>
      <c r="J139" s="1" t="s">
        <v>1248</v>
      </c>
      <c r="K139" s="5" t="s">
        <v>1444</v>
      </c>
      <c r="L139" s="6" t="s">
        <v>1528</v>
      </c>
      <c r="N139" s="1" t="s">
        <v>7</v>
      </c>
      <c r="O139" s="4" t="s">
        <v>1480</v>
      </c>
      <c r="P139" s="4" t="s">
        <v>1787</v>
      </c>
      <c r="V139" s="1"/>
      <c r="Z139"/>
    </row>
    <row r="140" spans="2:26" ht="16" x14ac:dyDescent="0.2">
      <c r="B140" s="3" t="s">
        <v>1788</v>
      </c>
      <c r="C140" s="3" t="s">
        <v>1789</v>
      </c>
      <c r="D140" s="3" t="s">
        <v>1439</v>
      </c>
      <c r="J140" s="1" t="s">
        <v>1248</v>
      </c>
      <c r="K140" s="5" t="s">
        <v>1444</v>
      </c>
      <c r="L140" s="6" t="s">
        <v>1531</v>
      </c>
      <c r="N140" s="1" t="s">
        <v>7</v>
      </c>
      <c r="O140" s="4" t="s">
        <v>1518</v>
      </c>
      <c r="P140" s="4" t="s">
        <v>1790</v>
      </c>
      <c r="V140" s="1"/>
      <c r="Z140"/>
    </row>
    <row r="141" spans="2:26" ht="16" x14ac:dyDescent="0.2">
      <c r="B141" s="3" t="s">
        <v>1791</v>
      </c>
      <c r="C141" s="3" t="s">
        <v>1792</v>
      </c>
      <c r="D141" s="3" t="s">
        <v>1629</v>
      </c>
      <c r="J141" s="1" t="s">
        <v>1248</v>
      </c>
      <c r="K141" s="5" t="s">
        <v>1444</v>
      </c>
      <c r="L141" s="6" t="s">
        <v>1534</v>
      </c>
      <c r="N141" s="1" t="s">
        <v>7</v>
      </c>
      <c r="O141" s="4" t="s">
        <v>1518</v>
      </c>
      <c r="P141" s="4" t="s">
        <v>1793</v>
      </c>
      <c r="V141" s="1"/>
      <c r="Z141"/>
    </row>
    <row r="142" spans="2:26" ht="16" x14ac:dyDescent="0.2">
      <c r="B142" s="3" t="s">
        <v>1794</v>
      </c>
      <c r="C142" s="3" t="s">
        <v>1795</v>
      </c>
      <c r="D142" s="3" t="s">
        <v>1632</v>
      </c>
      <c r="J142" s="1" t="s">
        <v>1248</v>
      </c>
      <c r="K142" s="5" t="s">
        <v>1444</v>
      </c>
      <c r="L142" s="6" t="s">
        <v>1537</v>
      </c>
      <c r="N142" s="1" t="s">
        <v>7</v>
      </c>
      <c r="O142" s="4" t="s">
        <v>1518</v>
      </c>
      <c r="P142" s="4" t="s">
        <v>1796</v>
      </c>
      <c r="V142" s="1"/>
      <c r="Z142"/>
    </row>
    <row r="143" spans="2:26" ht="16" x14ac:dyDescent="0.2">
      <c r="B143" s="3" t="s">
        <v>1797</v>
      </c>
      <c r="C143" s="3" t="s">
        <v>1798</v>
      </c>
      <c r="D143" s="3" t="s">
        <v>1635</v>
      </c>
      <c r="J143" s="1" t="s">
        <v>1248</v>
      </c>
      <c r="K143" s="5" t="s">
        <v>1444</v>
      </c>
      <c r="L143" s="6" t="s">
        <v>1540</v>
      </c>
      <c r="N143" s="1" t="s">
        <v>7</v>
      </c>
      <c r="O143" s="4" t="s">
        <v>1518</v>
      </c>
      <c r="P143" s="4" t="s">
        <v>1799</v>
      </c>
      <c r="V143" s="1"/>
      <c r="Z143"/>
    </row>
    <row r="144" spans="2:26" ht="16" x14ac:dyDescent="0.2">
      <c r="B144" s="3" t="s">
        <v>1800</v>
      </c>
      <c r="C144" s="3" t="s">
        <v>1801</v>
      </c>
      <c r="D144" s="3" t="s">
        <v>1638</v>
      </c>
      <c r="J144" s="1" t="s">
        <v>1248</v>
      </c>
      <c r="K144" s="5" t="s">
        <v>1444</v>
      </c>
      <c r="L144" s="6" t="s">
        <v>1543</v>
      </c>
      <c r="N144" s="1" t="s">
        <v>7</v>
      </c>
      <c r="O144" s="4" t="s">
        <v>1518</v>
      </c>
      <c r="P144" s="4" t="s">
        <v>1802</v>
      </c>
      <c r="V144" s="1"/>
      <c r="Z144"/>
    </row>
    <row r="145" spans="2:26" ht="16" x14ac:dyDescent="0.2">
      <c r="B145" s="3" t="s">
        <v>1803</v>
      </c>
      <c r="C145" s="3" t="s">
        <v>1804</v>
      </c>
      <c r="D145" s="3" t="s">
        <v>1641</v>
      </c>
      <c r="J145" s="1" t="s">
        <v>1248</v>
      </c>
      <c r="K145" s="5" t="s">
        <v>1444</v>
      </c>
      <c r="L145" s="6" t="s">
        <v>1546</v>
      </c>
      <c r="N145" s="1" t="s">
        <v>7</v>
      </c>
      <c r="O145" s="4" t="s">
        <v>1518</v>
      </c>
      <c r="P145" s="4" t="s">
        <v>1805</v>
      </c>
      <c r="V145" s="1"/>
      <c r="Z145"/>
    </row>
    <row r="146" spans="2:26" ht="16" x14ac:dyDescent="0.2">
      <c r="B146" s="3" t="s">
        <v>1806</v>
      </c>
      <c r="C146" s="3" t="s">
        <v>1807</v>
      </c>
      <c r="D146" s="3" t="s">
        <v>1644</v>
      </c>
      <c r="J146" s="1" t="s">
        <v>1248</v>
      </c>
      <c r="K146" s="5" t="s">
        <v>1444</v>
      </c>
      <c r="L146" s="6" t="s">
        <v>1549</v>
      </c>
      <c r="N146" s="1" t="s">
        <v>7</v>
      </c>
      <c r="O146" s="4" t="s">
        <v>1518</v>
      </c>
      <c r="P146" s="4" t="s">
        <v>1808</v>
      </c>
      <c r="V146" s="1"/>
      <c r="Z146"/>
    </row>
    <row r="147" spans="2:26" ht="16" x14ac:dyDescent="0.2">
      <c r="B147" s="3" t="s">
        <v>1809</v>
      </c>
      <c r="C147" s="3" t="s">
        <v>1810</v>
      </c>
      <c r="D147" s="3" t="s">
        <v>1647</v>
      </c>
      <c r="J147" s="1" t="s">
        <v>1248</v>
      </c>
      <c r="K147" s="5" t="s">
        <v>1449</v>
      </c>
      <c r="L147" s="6" t="s">
        <v>1558</v>
      </c>
      <c r="N147" s="1" t="s">
        <v>7</v>
      </c>
      <c r="O147" s="4" t="s">
        <v>1507</v>
      </c>
      <c r="P147" s="4" t="s">
        <v>1811</v>
      </c>
      <c r="V147" s="1"/>
      <c r="Z147"/>
    </row>
    <row r="148" spans="2:26" ht="16" x14ac:dyDescent="0.2">
      <c r="B148" s="3" t="s">
        <v>1812</v>
      </c>
      <c r="C148" s="3" t="s">
        <v>1813</v>
      </c>
      <c r="D148" s="3" t="s">
        <v>1650</v>
      </c>
      <c r="J148" s="1" t="s">
        <v>1248</v>
      </c>
      <c r="K148" s="5" t="s">
        <v>1449</v>
      </c>
      <c r="L148" s="6" t="s">
        <v>209</v>
      </c>
      <c r="N148" s="1" t="s">
        <v>7</v>
      </c>
      <c r="O148" s="4" t="s">
        <v>1507</v>
      </c>
      <c r="P148" s="4" t="s">
        <v>1814</v>
      </c>
      <c r="V148" s="1"/>
      <c r="Z148"/>
    </row>
    <row r="149" spans="2:26" ht="16" x14ac:dyDescent="0.2">
      <c r="B149" s="3" t="s">
        <v>1815</v>
      </c>
      <c r="C149" s="3" t="s">
        <v>1816</v>
      </c>
      <c r="D149" s="3" t="s">
        <v>1653</v>
      </c>
      <c r="J149" s="1" t="s">
        <v>1248</v>
      </c>
      <c r="K149" s="5" t="s">
        <v>1449</v>
      </c>
      <c r="L149" s="6" t="s">
        <v>1561</v>
      </c>
      <c r="N149" s="1" t="s">
        <v>7</v>
      </c>
      <c r="O149" s="4" t="s">
        <v>1507</v>
      </c>
      <c r="P149" s="4" t="s">
        <v>1817</v>
      </c>
      <c r="V149" s="1"/>
      <c r="Z149"/>
    </row>
    <row r="150" spans="2:26" ht="16" x14ac:dyDescent="0.2">
      <c r="B150" s="3" t="s">
        <v>1818</v>
      </c>
      <c r="C150" s="3" t="s">
        <v>1819</v>
      </c>
      <c r="D150" s="3" t="s">
        <v>1656</v>
      </c>
      <c r="J150" s="1" t="s">
        <v>1248</v>
      </c>
      <c r="K150" s="5" t="s">
        <v>1449</v>
      </c>
      <c r="L150" s="6" t="s">
        <v>1564</v>
      </c>
      <c r="N150" s="1" t="s">
        <v>7</v>
      </c>
      <c r="O150" s="4" t="s">
        <v>1507</v>
      </c>
      <c r="P150" s="4" t="s">
        <v>1820</v>
      </c>
      <c r="V150" s="1"/>
      <c r="Z150"/>
    </row>
    <row r="151" spans="2:26" ht="16" x14ac:dyDescent="0.2">
      <c r="B151" s="3" t="s">
        <v>1821</v>
      </c>
      <c r="C151" s="3" t="s">
        <v>1822</v>
      </c>
      <c r="D151" s="3" t="s">
        <v>1659</v>
      </c>
      <c r="J151" s="1" t="s">
        <v>1248</v>
      </c>
      <c r="K151" s="5" t="s">
        <v>1449</v>
      </c>
      <c r="L151" s="6" t="s">
        <v>1528</v>
      </c>
      <c r="N151" s="1" t="s">
        <v>7</v>
      </c>
      <c r="O151" s="4" t="s">
        <v>1507</v>
      </c>
      <c r="P151" s="4" t="s">
        <v>1823</v>
      </c>
      <c r="V151" s="1"/>
      <c r="Z151"/>
    </row>
    <row r="152" spans="2:26" ht="16" x14ac:dyDescent="0.2">
      <c r="B152" s="3" t="s">
        <v>1824</v>
      </c>
      <c r="C152" s="3" t="s">
        <v>1825</v>
      </c>
      <c r="D152" s="3" t="s">
        <v>1662</v>
      </c>
      <c r="J152" s="1" t="s">
        <v>1248</v>
      </c>
      <c r="K152" s="5" t="s">
        <v>1449</v>
      </c>
      <c r="L152" s="6" t="s">
        <v>1531</v>
      </c>
      <c r="N152" s="1" t="s">
        <v>7</v>
      </c>
      <c r="O152" s="4" t="s">
        <v>1507</v>
      </c>
      <c r="P152" s="4" t="s">
        <v>1826</v>
      </c>
      <c r="V152" s="1"/>
      <c r="Z152"/>
    </row>
    <row r="153" spans="2:26" ht="16" x14ac:dyDescent="0.2">
      <c r="B153" s="3" t="s">
        <v>1827</v>
      </c>
      <c r="C153" s="3" t="s">
        <v>1828</v>
      </c>
      <c r="D153" s="3" t="s">
        <v>1665</v>
      </c>
      <c r="J153" s="1" t="s">
        <v>1248</v>
      </c>
      <c r="K153" s="5" t="s">
        <v>1449</v>
      </c>
      <c r="L153" s="6" t="s">
        <v>1534</v>
      </c>
      <c r="N153" s="1" t="s">
        <v>7</v>
      </c>
      <c r="O153" s="4" t="s">
        <v>1507</v>
      </c>
      <c r="P153" s="4" t="s">
        <v>1829</v>
      </c>
      <c r="V153" s="1"/>
      <c r="Z153"/>
    </row>
    <row r="154" spans="2:26" ht="16" x14ac:dyDescent="0.2">
      <c r="B154" s="3" t="s">
        <v>1830</v>
      </c>
      <c r="C154" s="3" t="s">
        <v>1831</v>
      </c>
      <c r="D154" s="3" t="s">
        <v>1668</v>
      </c>
      <c r="J154" s="1" t="s">
        <v>1248</v>
      </c>
      <c r="K154" s="5" t="s">
        <v>1449</v>
      </c>
      <c r="L154" s="6" t="s">
        <v>1537</v>
      </c>
      <c r="N154" s="1" t="s">
        <v>7</v>
      </c>
      <c r="O154" s="4" t="s">
        <v>1507</v>
      </c>
      <c r="P154" s="4" t="s">
        <v>1832</v>
      </c>
      <c r="V154" s="1"/>
      <c r="Z154"/>
    </row>
    <row r="155" spans="2:26" ht="16" x14ac:dyDescent="0.2">
      <c r="B155" s="3" t="s">
        <v>1833</v>
      </c>
      <c r="C155" s="3" t="s">
        <v>1834</v>
      </c>
      <c r="D155" s="3" t="s">
        <v>1671</v>
      </c>
      <c r="J155" s="1" t="s">
        <v>1248</v>
      </c>
      <c r="K155" s="5" t="s">
        <v>1449</v>
      </c>
      <c r="L155" s="6" t="s">
        <v>1540</v>
      </c>
      <c r="N155" s="1" t="s">
        <v>7</v>
      </c>
      <c r="O155" s="4" t="s">
        <v>1507</v>
      </c>
      <c r="P155" s="4" t="s">
        <v>1835</v>
      </c>
      <c r="V155" s="1"/>
      <c r="Z155"/>
    </row>
    <row r="156" spans="2:26" ht="16" x14ac:dyDescent="0.2">
      <c r="B156" s="3" t="s">
        <v>1836</v>
      </c>
      <c r="C156" s="3" t="s">
        <v>1837</v>
      </c>
      <c r="D156" s="3" t="s">
        <v>1674</v>
      </c>
      <c r="J156" s="1" t="s">
        <v>1248</v>
      </c>
      <c r="K156" s="5" t="s">
        <v>1449</v>
      </c>
      <c r="L156" s="6" t="s">
        <v>1543</v>
      </c>
      <c r="N156" s="1" t="s">
        <v>7</v>
      </c>
      <c r="O156" s="4" t="s">
        <v>1507</v>
      </c>
      <c r="P156" s="4" t="s">
        <v>1838</v>
      </c>
      <c r="V156" s="1"/>
      <c r="Z156"/>
    </row>
    <row r="157" spans="2:26" ht="16" x14ac:dyDescent="0.2">
      <c r="B157" s="3" t="s">
        <v>1839</v>
      </c>
      <c r="C157" s="3" t="s">
        <v>1840</v>
      </c>
      <c r="D157" s="3" t="s">
        <v>1677</v>
      </c>
      <c r="J157" s="1" t="s">
        <v>1248</v>
      </c>
      <c r="K157" s="5" t="s">
        <v>1449</v>
      </c>
      <c r="L157" s="6" t="s">
        <v>1546</v>
      </c>
      <c r="N157" s="1" t="s">
        <v>7</v>
      </c>
      <c r="O157" s="4" t="s">
        <v>1507</v>
      </c>
      <c r="P157" s="4" t="s">
        <v>1841</v>
      </c>
      <c r="V157" s="1"/>
      <c r="Z157"/>
    </row>
    <row r="158" spans="2:26" ht="16" x14ac:dyDescent="0.2">
      <c r="B158" s="3" t="s">
        <v>1842</v>
      </c>
      <c r="C158" s="3" t="s">
        <v>1843</v>
      </c>
      <c r="D158" s="3" t="s">
        <v>1680</v>
      </c>
      <c r="J158" s="1" t="s">
        <v>1248</v>
      </c>
      <c r="K158" s="5" t="s">
        <v>1449</v>
      </c>
      <c r="L158" s="6" t="s">
        <v>1549</v>
      </c>
      <c r="N158" s="1" t="s">
        <v>7</v>
      </c>
      <c r="O158" s="4" t="s">
        <v>1514</v>
      </c>
      <c r="P158" s="4" t="s">
        <v>1844</v>
      </c>
      <c r="V158" s="1"/>
      <c r="Z158"/>
    </row>
    <row r="159" spans="2:26" ht="16" x14ac:dyDescent="0.2">
      <c r="B159" s="3" t="s">
        <v>1845</v>
      </c>
      <c r="C159" s="3" t="s">
        <v>1846</v>
      </c>
      <c r="D159" s="3" t="s">
        <v>1683</v>
      </c>
      <c r="J159" s="1" t="s">
        <v>1248</v>
      </c>
      <c r="K159" s="5" t="s">
        <v>170</v>
      </c>
      <c r="L159" s="6" t="s">
        <v>1490</v>
      </c>
      <c r="N159" s="1" t="s">
        <v>7</v>
      </c>
      <c r="O159" s="4" t="s">
        <v>1514</v>
      </c>
      <c r="P159" s="4" t="s">
        <v>1847</v>
      </c>
      <c r="V159" s="1"/>
      <c r="Z159"/>
    </row>
    <row r="160" spans="2:26" ht="16" x14ac:dyDescent="0.2">
      <c r="B160" s="3" t="s">
        <v>1848</v>
      </c>
      <c r="C160" s="3" t="s">
        <v>1849</v>
      </c>
      <c r="D160" s="3" t="s">
        <v>1686</v>
      </c>
      <c r="J160" s="1" t="s">
        <v>1248</v>
      </c>
      <c r="K160" s="5" t="s">
        <v>170</v>
      </c>
      <c r="L160" s="6" t="s">
        <v>1493</v>
      </c>
      <c r="N160" s="1" t="s">
        <v>7</v>
      </c>
      <c r="O160" s="4" t="s">
        <v>1514</v>
      </c>
      <c r="P160" s="4" t="s">
        <v>1850</v>
      </c>
      <c r="V160" s="1"/>
      <c r="Z160"/>
    </row>
    <row r="161" spans="2:26" ht="16" x14ac:dyDescent="0.2">
      <c r="B161" s="3" t="s">
        <v>1851</v>
      </c>
      <c r="C161" s="3" t="s">
        <v>1852</v>
      </c>
      <c r="D161" s="3" t="s">
        <v>1689</v>
      </c>
      <c r="J161" s="1" t="s">
        <v>1248</v>
      </c>
      <c r="K161" s="5" t="s">
        <v>170</v>
      </c>
      <c r="L161" s="6" t="s">
        <v>1496</v>
      </c>
      <c r="N161" s="1" t="s">
        <v>7</v>
      </c>
      <c r="O161" s="4" t="s">
        <v>1514</v>
      </c>
      <c r="P161" s="4" t="s">
        <v>1853</v>
      </c>
      <c r="V161" s="1"/>
      <c r="Z161"/>
    </row>
    <row r="162" spans="2:26" ht="16" x14ac:dyDescent="0.2">
      <c r="B162" s="3" t="s">
        <v>1854</v>
      </c>
      <c r="C162" s="3" t="s">
        <v>1855</v>
      </c>
      <c r="D162" s="3" t="s">
        <v>1692</v>
      </c>
      <c r="J162" s="1" t="s">
        <v>1248</v>
      </c>
      <c r="K162" s="5" t="s">
        <v>170</v>
      </c>
      <c r="L162" s="6" t="s">
        <v>1499</v>
      </c>
      <c r="N162" s="1" t="s">
        <v>7</v>
      </c>
      <c r="O162" s="4" t="s">
        <v>1514</v>
      </c>
      <c r="P162" s="4" t="s">
        <v>1856</v>
      </c>
      <c r="V162" s="1"/>
      <c r="Z162"/>
    </row>
    <row r="163" spans="2:26" ht="16" x14ac:dyDescent="0.2">
      <c r="B163" s="3" t="s">
        <v>1857</v>
      </c>
      <c r="C163" s="3" t="s">
        <v>1858</v>
      </c>
      <c r="D163" s="3" t="s">
        <v>1695</v>
      </c>
      <c r="J163" s="1" t="s">
        <v>1248</v>
      </c>
      <c r="K163" s="5" t="s">
        <v>170</v>
      </c>
      <c r="L163" s="6" t="s">
        <v>1502</v>
      </c>
      <c r="N163" s="1" t="s">
        <v>7</v>
      </c>
      <c r="O163" s="4" t="s">
        <v>1514</v>
      </c>
      <c r="P163" s="4" t="s">
        <v>1859</v>
      </c>
      <c r="V163" s="1"/>
      <c r="Z163"/>
    </row>
    <row r="164" spans="2:26" ht="16" x14ac:dyDescent="0.2">
      <c r="B164" s="3" t="s">
        <v>1860</v>
      </c>
      <c r="C164" s="3" t="s">
        <v>1861</v>
      </c>
      <c r="D164" s="3" t="s">
        <v>1698</v>
      </c>
      <c r="J164" s="1" t="s">
        <v>1248</v>
      </c>
      <c r="K164" s="5" t="s">
        <v>170</v>
      </c>
      <c r="L164" s="6" t="s">
        <v>1505</v>
      </c>
      <c r="N164" s="1" t="s">
        <v>7</v>
      </c>
      <c r="O164" s="4" t="s">
        <v>1514</v>
      </c>
      <c r="P164" s="4" t="s">
        <v>1862</v>
      </c>
      <c r="V164" s="1"/>
      <c r="Z164"/>
    </row>
    <row r="165" spans="2:26" ht="16" x14ac:dyDescent="0.2">
      <c r="B165" s="3" t="s">
        <v>1863</v>
      </c>
      <c r="C165" s="3" t="s">
        <v>1864</v>
      </c>
      <c r="D165" s="3" t="s">
        <v>1700</v>
      </c>
      <c r="J165" s="1" t="s">
        <v>1248</v>
      </c>
      <c r="K165" s="5" t="s">
        <v>170</v>
      </c>
      <c r="L165" s="6" t="s">
        <v>1552</v>
      </c>
      <c r="N165" s="1" t="s">
        <v>7</v>
      </c>
      <c r="O165" s="4" t="s">
        <v>1462</v>
      </c>
      <c r="P165" s="4" t="s">
        <v>1865</v>
      </c>
      <c r="V165" s="1"/>
      <c r="Z165"/>
    </row>
    <row r="166" spans="2:26" ht="16" x14ac:dyDescent="0.2">
      <c r="B166" s="3" t="s">
        <v>1866</v>
      </c>
      <c r="C166" s="3" t="s">
        <v>1867</v>
      </c>
      <c r="D166" s="3" t="s">
        <v>1703</v>
      </c>
      <c r="J166" s="1" t="s">
        <v>1248</v>
      </c>
      <c r="K166" s="5" t="s">
        <v>170</v>
      </c>
      <c r="L166" s="6" t="s">
        <v>1509</v>
      </c>
      <c r="N166" s="1" t="s">
        <v>7</v>
      </c>
      <c r="O166" s="4" t="s">
        <v>1462</v>
      </c>
      <c r="P166" s="4" t="s">
        <v>1868</v>
      </c>
      <c r="V166" s="1"/>
      <c r="Z166"/>
    </row>
    <row r="167" spans="2:26" ht="16" x14ac:dyDescent="0.2">
      <c r="B167" s="3" t="s">
        <v>1869</v>
      </c>
      <c r="C167" s="3" t="s">
        <v>1870</v>
      </c>
      <c r="D167" s="3" t="s">
        <v>1706</v>
      </c>
      <c r="J167" s="1" t="s">
        <v>1248</v>
      </c>
      <c r="K167" s="5" t="s">
        <v>170</v>
      </c>
      <c r="L167" s="6" t="s">
        <v>1512</v>
      </c>
      <c r="N167" s="1" t="s">
        <v>7</v>
      </c>
      <c r="O167" s="4" t="s">
        <v>1462</v>
      </c>
      <c r="P167" s="4" t="s">
        <v>1871</v>
      </c>
      <c r="V167" s="1"/>
      <c r="Z167"/>
    </row>
    <row r="168" spans="2:26" ht="16" x14ac:dyDescent="0.2">
      <c r="B168" s="3" t="s">
        <v>1872</v>
      </c>
      <c r="C168" s="3" t="s">
        <v>1873</v>
      </c>
      <c r="D168" s="3" t="s">
        <v>1709</v>
      </c>
      <c r="J168" s="1" t="s">
        <v>1248</v>
      </c>
      <c r="K168" s="5" t="s">
        <v>170</v>
      </c>
      <c r="L168" s="6" t="s">
        <v>1516</v>
      </c>
      <c r="N168" s="1" t="s">
        <v>7</v>
      </c>
      <c r="O168" s="4" t="s">
        <v>1462</v>
      </c>
      <c r="P168" s="4" t="s">
        <v>1874</v>
      </c>
      <c r="V168" s="1"/>
      <c r="Z168"/>
    </row>
    <row r="169" spans="2:26" ht="16" x14ac:dyDescent="0.2">
      <c r="B169" s="3" t="s">
        <v>1875</v>
      </c>
      <c r="C169" s="3" t="s">
        <v>1876</v>
      </c>
      <c r="D169" s="3" t="s">
        <v>1712</v>
      </c>
      <c r="J169" s="1" t="s">
        <v>1248</v>
      </c>
      <c r="K169" s="5" t="s">
        <v>170</v>
      </c>
      <c r="L169" s="6" t="s">
        <v>1520</v>
      </c>
      <c r="N169" s="1" t="s">
        <v>7</v>
      </c>
      <c r="O169" s="4" t="s">
        <v>1462</v>
      </c>
      <c r="P169" s="4" t="s">
        <v>1877</v>
      </c>
      <c r="V169" s="1"/>
      <c r="Z169"/>
    </row>
    <row r="170" spans="2:26" ht="16" x14ac:dyDescent="0.2">
      <c r="B170" s="3" t="s">
        <v>1878</v>
      </c>
      <c r="C170" s="3" t="s">
        <v>1879</v>
      </c>
      <c r="D170" s="3" t="s">
        <v>613</v>
      </c>
      <c r="J170" s="1" t="s">
        <v>1248</v>
      </c>
      <c r="K170" s="5" t="s">
        <v>170</v>
      </c>
      <c r="L170" s="6" t="s">
        <v>209</v>
      </c>
      <c r="N170" s="1" t="s">
        <v>7</v>
      </c>
      <c r="O170" s="4" t="s">
        <v>1465</v>
      </c>
      <c r="P170" s="4" t="s">
        <v>1026</v>
      </c>
      <c r="V170" s="1"/>
      <c r="Z170"/>
    </row>
    <row r="171" spans="2:26" ht="16" x14ac:dyDescent="0.2">
      <c r="B171" s="3" t="s">
        <v>1880</v>
      </c>
      <c r="C171" s="3" t="s">
        <v>1881</v>
      </c>
      <c r="D171" s="3" t="s">
        <v>618</v>
      </c>
      <c r="J171" s="1" t="s">
        <v>1248</v>
      </c>
      <c r="K171" s="5" t="s">
        <v>170</v>
      </c>
      <c r="L171" s="6" t="s">
        <v>1524</v>
      </c>
      <c r="N171" s="1" t="s">
        <v>7</v>
      </c>
      <c r="O171" s="4" t="s">
        <v>1465</v>
      </c>
      <c r="P171" s="4" t="s">
        <v>1882</v>
      </c>
      <c r="V171" s="1"/>
      <c r="Z171"/>
    </row>
    <row r="172" spans="2:26" ht="16" x14ac:dyDescent="0.2">
      <c r="B172" s="3" t="s">
        <v>1883</v>
      </c>
      <c r="C172" s="3" t="s">
        <v>1884</v>
      </c>
      <c r="D172" s="3" t="s">
        <v>1719</v>
      </c>
      <c r="J172" s="1" t="s">
        <v>1248</v>
      </c>
      <c r="K172" s="5" t="s">
        <v>170</v>
      </c>
      <c r="L172" s="6" t="s">
        <v>1555</v>
      </c>
      <c r="N172" s="1" t="s">
        <v>7</v>
      </c>
      <c r="O172" s="4" t="s">
        <v>1465</v>
      </c>
      <c r="P172" s="4" t="s">
        <v>1885</v>
      </c>
      <c r="V172" s="1"/>
      <c r="Z172"/>
    </row>
    <row r="173" spans="2:26" ht="16" x14ac:dyDescent="0.2">
      <c r="B173" s="3" t="s">
        <v>1886</v>
      </c>
      <c r="C173" s="3" t="s">
        <v>1887</v>
      </c>
      <c r="D173" s="3" t="s">
        <v>1722</v>
      </c>
      <c r="J173" s="1" t="s">
        <v>1248</v>
      </c>
      <c r="K173" s="5" t="s">
        <v>170</v>
      </c>
      <c r="L173" s="6" t="s">
        <v>170</v>
      </c>
      <c r="N173" s="1" t="s">
        <v>7</v>
      </c>
      <c r="O173" s="4" t="s">
        <v>1465</v>
      </c>
      <c r="P173" s="4" t="s">
        <v>1042</v>
      </c>
      <c r="V173" s="1"/>
      <c r="Z173"/>
    </row>
    <row r="174" spans="2:26" ht="16" x14ac:dyDescent="0.2">
      <c r="B174" s="3" t="s">
        <v>798</v>
      </c>
      <c r="C174" s="3" t="s">
        <v>799</v>
      </c>
      <c r="D174" s="3" t="s">
        <v>796</v>
      </c>
      <c r="J174" s="1" t="s">
        <v>1248</v>
      </c>
      <c r="K174" s="5" t="s">
        <v>170</v>
      </c>
      <c r="L174" s="6" t="s">
        <v>141</v>
      </c>
      <c r="N174" s="1" t="s">
        <v>7</v>
      </c>
      <c r="O174" s="4" t="s">
        <v>1465</v>
      </c>
      <c r="P174" s="4" t="s">
        <v>1888</v>
      </c>
      <c r="V174" s="1"/>
      <c r="Z174"/>
    </row>
    <row r="175" spans="2:26" ht="16" x14ac:dyDescent="0.2">
      <c r="B175" s="3" t="s">
        <v>1889</v>
      </c>
      <c r="C175" s="3" t="s">
        <v>1890</v>
      </c>
      <c r="D175" s="3" t="s">
        <v>1727</v>
      </c>
      <c r="J175" s="1" t="s">
        <v>1248</v>
      </c>
      <c r="K175" s="5" t="s">
        <v>170</v>
      </c>
      <c r="L175" s="6" t="s">
        <v>1528</v>
      </c>
      <c r="N175" s="1" t="s">
        <v>7</v>
      </c>
      <c r="O175" s="4" t="s">
        <v>1465</v>
      </c>
      <c r="P175" s="4" t="s">
        <v>1891</v>
      </c>
      <c r="V175" s="1"/>
      <c r="Z175"/>
    </row>
    <row r="176" spans="2:26" ht="16" x14ac:dyDescent="0.2">
      <c r="B176" s="3" t="s">
        <v>1892</v>
      </c>
      <c r="C176" s="3" t="s">
        <v>1893</v>
      </c>
      <c r="D176" s="3" t="s">
        <v>1730</v>
      </c>
      <c r="J176" s="1" t="s">
        <v>1248</v>
      </c>
      <c r="K176" s="5" t="s">
        <v>170</v>
      </c>
      <c r="L176" s="6" t="s">
        <v>1531</v>
      </c>
      <c r="N176" s="1" t="s">
        <v>7</v>
      </c>
      <c r="O176" s="4" t="s">
        <v>1465</v>
      </c>
      <c r="P176" s="4" t="s">
        <v>1894</v>
      </c>
      <c r="V176" s="1"/>
      <c r="Z176"/>
    </row>
    <row r="177" spans="2:26" ht="16" x14ac:dyDescent="0.2">
      <c r="B177" s="3" t="s">
        <v>1895</v>
      </c>
      <c r="C177" s="3" t="s">
        <v>1896</v>
      </c>
      <c r="D177" s="3" t="s">
        <v>1733</v>
      </c>
      <c r="J177" s="1" t="s">
        <v>1248</v>
      </c>
      <c r="K177" s="5" t="s">
        <v>170</v>
      </c>
      <c r="L177" s="6" t="s">
        <v>1534</v>
      </c>
      <c r="N177" s="1" t="s">
        <v>7</v>
      </c>
      <c r="O177" s="4" t="s">
        <v>1467</v>
      </c>
      <c r="P177" s="4" t="s">
        <v>1897</v>
      </c>
      <c r="V177" s="1"/>
      <c r="Z177"/>
    </row>
    <row r="178" spans="2:26" ht="16" x14ac:dyDescent="0.2">
      <c r="B178" s="3" t="s">
        <v>1898</v>
      </c>
      <c r="C178" s="3" t="s">
        <v>1899</v>
      </c>
      <c r="D178" s="3" t="s">
        <v>1736</v>
      </c>
      <c r="J178" s="1" t="s">
        <v>1248</v>
      </c>
      <c r="K178" s="5" t="s">
        <v>170</v>
      </c>
      <c r="L178" s="6" t="s">
        <v>1537</v>
      </c>
      <c r="N178" s="1" t="s">
        <v>7</v>
      </c>
      <c r="O178" s="4" t="s">
        <v>1467</v>
      </c>
      <c r="P178" s="4" t="s">
        <v>1900</v>
      </c>
      <c r="V178" s="1"/>
      <c r="Z178"/>
    </row>
    <row r="179" spans="2:26" ht="16" x14ac:dyDescent="0.2">
      <c r="B179" s="3" t="s">
        <v>1901</v>
      </c>
      <c r="C179" s="3" t="s">
        <v>1902</v>
      </c>
      <c r="D179" s="3" t="s">
        <v>1739</v>
      </c>
      <c r="J179" s="1" t="s">
        <v>1248</v>
      </c>
      <c r="K179" s="5" t="s">
        <v>170</v>
      </c>
      <c r="L179" s="6" t="s">
        <v>1540</v>
      </c>
      <c r="N179" s="1" t="s">
        <v>7</v>
      </c>
      <c r="O179" s="4" t="s">
        <v>1467</v>
      </c>
      <c r="P179" s="4" t="s">
        <v>1903</v>
      </c>
      <c r="V179" s="1"/>
      <c r="Z179"/>
    </row>
    <row r="180" spans="2:26" ht="16" x14ac:dyDescent="0.2">
      <c r="B180" s="3" t="s">
        <v>1904</v>
      </c>
      <c r="C180" s="3" t="s">
        <v>1905</v>
      </c>
      <c r="D180" s="3" t="s">
        <v>1742</v>
      </c>
      <c r="J180" s="1" t="s">
        <v>1248</v>
      </c>
      <c r="K180" s="5" t="s">
        <v>170</v>
      </c>
      <c r="L180" s="6" t="s">
        <v>1543</v>
      </c>
      <c r="N180" s="1" t="s">
        <v>7</v>
      </c>
      <c r="O180" s="4" t="s">
        <v>1470</v>
      </c>
      <c r="P180" s="4" t="s">
        <v>1906</v>
      </c>
      <c r="V180" s="1"/>
      <c r="Z180"/>
    </row>
    <row r="181" spans="2:26" ht="16" x14ac:dyDescent="0.2">
      <c r="B181" s="3" t="s">
        <v>1907</v>
      </c>
      <c r="C181" s="3" t="s">
        <v>1908</v>
      </c>
      <c r="D181" s="3" t="s">
        <v>1745</v>
      </c>
      <c r="J181" s="1" t="s">
        <v>1248</v>
      </c>
      <c r="K181" s="5" t="s">
        <v>170</v>
      </c>
      <c r="L181" s="6" t="s">
        <v>1546</v>
      </c>
      <c r="N181" s="1" t="s">
        <v>7</v>
      </c>
      <c r="O181" s="4" t="s">
        <v>1470</v>
      </c>
      <c r="P181" s="4" t="s">
        <v>1909</v>
      </c>
      <c r="V181" s="1"/>
      <c r="Z181"/>
    </row>
    <row r="182" spans="2:26" ht="16" x14ac:dyDescent="0.2">
      <c r="B182" s="3" t="s">
        <v>1910</v>
      </c>
      <c r="C182" s="3" t="s">
        <v>1911</v>
      </c>
      <c r="D182" s="3" t="s">
        <v>1748</v>
      </c>
      <c r="J182" s="1" t="s">
        <v>1248</v>
      </c>
      <c r="K182" s="5" t="s">
        <v>170</v>
      </c>
      <c r="L182" s="6" t="s">
        <v>1549</v>
      </c>
      <c r="N182" s="1" t="s">
        <v>7</v>
      </c>
      <c r="O182" s="4" t="s">
        <v>1470</v>
      </c>
      <c r="P182" s="4" t="s">
        <v>1912</v>
      </c>
      <c r="V182" s="1"/>
      <c r="Z182"/>
    </row>
    <row r="183" spans="2:26" ht="16" x14ac:dyDescent="0.2">
      <c r="B183" s="3" t="s">
        <v>1913</v>
      </c>
      <c r="C183" s="3" t="s">
        <v>1914</v>
      </c>
      <c r="D183" s="3" t="s">
        <v>1751</v>
      </c>
      <c r="J183" s="1" t="s">
        <v>1248</v>
      </c>
      <c r="K183" s="5" t="s">
        <v>1456</v>
      </c>
      <c r="L183" s="6" t="s">
        <v>1558</v>
      </c>
      <c r="N183" s="1" t="s">
        <v>7</v>
      </c>
      <c r="O183" s="4" t="s">
        <v>1470</v>
      </c>
      <c r="P183" s="4" t="s">
        <v>1915</v>
      </c>
      <c r="V183" s="1"/>
      <c r="Z183"/>
    </row>
    <row r="184" spans="2:26" ht="16" x14ac:dyDescent="0.2">
      <c r="B184" s="3" t="s">
        <v>1916</v>
      </c>
      <c r="C184" s="3" t="s">
        <v>1917</v>
      </c>
      <c r="D184" s="3" t="s">
        <v>1754</v>
      </c>
      <c r="J184" s="1" t="s">
        <v>1248</v>
      </c>
      <c r="K184" s="5" t="s">
        <v>1456</v>
      </c>
      <c r="L184" s="6" t="s">
        <v>1490</v>
      </c>
      <c r="N184" s="1" t="s">
        <v>7</v>
      </c>
      <c r="O184" s="4" t="s">
        <v>1470</v>
      </c>
      <c r="P184" s="4" t="s">
        <v>1918</v>
      </c>
      <c r="V184" s="1"/>
      <c r="Z184"/>
    </row>
    <row r="185" spans="2:26" ht="16" x14ac:dyDescent="0.2">
      <c r="B185" s="3" t="s">
        <v>1919</v>
      </c>
      <c r="C185" s="3" t="s">
        <v>1920</v>
      </c>
      <c r="D185" s="3" t="s">
        <v>1757</v>
      </c>
      <c r="J185" s="1" t="s">
        <v>1248</v>
      </c>
      <c r="K185" s="5" t="s">
        <v>1456</v>
      </c>
      <c r="L185" s="6" t="s">
        <v>1493</v>
      </c>
      <c r="N185" s="1" t="s">
        <v>7</v>
      </c>
      <c r="O185" s="4" t="s">
        <v>1470</v>
      </c>
      <c r="P185" s="4" t="s">
        <v>1921</v>
      </c>
      <c r="V185" s="1"/>
      <c r="Z185"/>
    </row>
    <row r="186" spans="2:26" ht="16" x14ac:dyDescent="0.2">
      <c r="B186" s="3" t="s">
        <v>1922</v>
      </c>
      <c r="C186" s="3" t="s">
        <v>1923</v>
      </c>
      <c r="D186" s="3" t="s">
        <v>1760</v>
      </c>
      <c r="J186" s="1" t="s">
        <v>1248</v>
      </c>
      <c r="K186" s="5" t="s">
        <v>1456</v>
      </c>
      <c r="L186" s="6" t="s">
        <v>1496</v>
      </c>
      <c r="N186" s="1" t="s">
        <v>7</v>
      </c>
      <c r="O186" s="4" t="s">
        <v>1472</v>
      </c>
      <c r="P186" s="4" t="s">
        <v>1924</v>
      </c>
      <c r="V186" s="1"/>
      <c r="Z186"/>
    </row>
    <row r="187" spans="2:26" ht="16" x14ac:dyDescent="0.2">
      <c r="B187" s="3" t="s">
        <v>1925</v>
      </c>
      <c r="C187" s="3" t="s">
        <v>1926</v>
      </c>
      <c r="D187" s="3" t="s">
        <v>1763</v>
      </c>
      <c r="J187" s="1" t="s">
        <v>1248</v>
      </c>
      <c r="K187" s="5" t="s">
        <v>1456</v>
      </c>
      <c r="L187" s="6" t="s">
        <v>1499</v>
      </c>
      <c r="N187" s="1" t="s">
        <v>7</v>
      </c>
      <c r="O187" s="4" t="s">
        <v>1472</v>
      </c>
      <c r="P187" s="4" t="s">
        <v>1927</v>
      </c>
      <c r="V187" s="1"/>
      <c r="Z187"/>
    </row>
    <row r="188" spans="2:26" ht="16" x14ac:dyDescent="0.2">
      <c r="B188" s="3" t="s">
        <v>1928</v>
      </c>
      <c r="C188" s="3" t="s">
        <v>1929</v>
      </c>
      <c r="D188" s="3" t="s">
        <v>1766</v>
      </c>
      <c r="J188" s="1" t="s">
        <v>1248</v>
      </c>
      <c r="K188" s="5" t="s">
        <v>1456</v>
      </c>
      <c r="L188" s="6" t="s">
        <v>1502</v>
      </c>
      <c r="N188" s="1" t="s">
        <v>7</v>
      </c>
      <c r="O188" s="4" t="s">
        <v>1472</v>
      </c>
      <c r="P188" s="4" t="s">
        <v>1930</v>
      </c>
      <c r="V188" s="1"/>
      <c r="Z188"/>
    </row>
    <row r="189" spans="2:26" ht="16" x14ac:dyDescent="0.2">
      <c r="B189" s="3" t="s">
        <v>1931</v>
      </c>
      <c r="C189" s="3" t="s">
        <v>1932</v>
      </c>
      <c r="D189" s="3" t="s">
        <v>1769</v>
      </c>
      <c r="J189" s="1" t="s">
        <v>1248</v>
      </c>
      <c r="K189" s="5" t="s">
        <v>1456</v>
      </c>
      <c r="L189" s="6" t="s">
        <v>1505</v>
      </c>
      <c r="N189" s="1" t="s">
        <v>7</v>
      </c>
      <c r="O189" s="4" t="s">
        <v>1474</v>
      </c>
      <c r="P189" s="4" t="s">
        <v>1933</v>
      </c>
      <c r="V189" s="1"/>
      <c r="Z189"/>
    </row>
    <row r="190" spans="2:26" ht="16" x14ac:dyDescent="0.2">
      <c r="B190" s="3" t="s">
        <v>1934</v>
      </c>
      <c r="C190" s="3" t="s">
        <v>1935</v>
      </c>
      <c r="D190" s="3" t="s">
        <v>1772</v>
      </c>
      <c r="J190" s="1" t="s">
        <v>1248</v>
      </c>
      <c r="K190" s="5" t="s">
        <v>1456</v>
      </c>
      <c r="L190" s="6" t="s">
        <v>1552</v>
      </c>
      <c r="N190" s="1" t="s">
        <v>7</v>
      </c>
      <c r="O190" s="4" t="s">
        <v>1474</v>
      </c>
      <c r="P190" s="4" t="s">
        <v>1936</v>
      </c>
      <c r="V190" s="1"/>
      <c r="Z190"/>
    </row>
    <row r="191" spans="2:26" ht="16" x14ac:dyDescent="0.2">
      <c r="B191" s="3" t="s">
        <v>1937</v>
      </c>
      <c r="C191" s="3" t="s">
        <v>1938</v>
      </c>
      <c r="D191" s="3" t="s">
        <v>1775</v>
      </c>
      <c r="J191" s="1" t="s">
        <v>1248</v>
      </c>
      <c r="K191" s="5" t="s">
        <v>1456</v>
      </c>
      <c r="L191" s="6" t="s">
        <v>1509</v>
      </c>
      <c r="N191" s="1" t="s">
        <v>7</v>
      </c>
      <c r="O191" s="4" t="s">
        <v>1476</v>
      </c>
      <c r="P191" s="4" t="s">
        <v>1939</v>
      </c>
      <c r="V191" s="1"/>
      <c r="Z191"/>
    </row>
    <row r="192" spans="2:26" ht="16" x14ac:dyDescent="0.2">
      <c r="B192" s="3" t="s">
        <v>1940</v>
      </c>
      <c r="C192" s="3" t="s">
        <v>1941</v>
      </c>
      <c r="D192" s="3" t="s">
        <v>1778</v>
      </c>
      <c r="J192" s="1" t="s">
        <v>1248</v>
      </c>
      <c r="K192" s="5" t="s">
        <v>1456</v>
      </c>
      <c r="L192" s="6" t="s">
        <v>1512</v>
      </c>
      <c r="N192" s="1" t="s">
        <v>7</v>
      </c>
      <c r="O192" s="4" t="s">
        <v>1476</v>
      </c>
      <c r="P192" s="4" t="s">
        <v>1942</v>
      </c>
      <c r="V192" s="1"/>
      <c r="Z192"/>
    </row>
    <row r="193" spans="2:27" ht="16" x14ac:dyDescent="0.2">
      <c r="B193" s="3" t="s">
        <v>1943</v>
      </c>
      <c r="C193" s="3" t="s">
        <v>1944</v>
      </c>
      <c r="D193" s="3" t="s">
        <v>1781</v>
      </c>
      <c r="J193" s="1" t="s">
        <v>1248</v>
      </c>
      <c r="K193" s="5" t="s">
        <v>1456</v>
      </c>
      <c r="L193" s="6" t="s">
        <v>1516</v>
      </c>
      <c r="N193" s="1" t="s">
        <v>7</v>
      </c>
      <c r="O193" s="4" t="s">
        <v>1476</v>
      </c>
      <c r="P193" s="4" t="s">
        <v>1945</v>
      </c>
      <c r="V193" s="1"/>
      <c r="Z193"/>
    </row>
    <row r="194" spans="2:27" ht="16" x14ac:dyDescent="0.2">
      <c r="B194" s="3" t="s">
        <v>1946</v>
      </c>
      <c r="C194" s="3" t="s">
        <v>1947</v>
      </c>
      <c r="D194" s="3" t="s">
        <v>1784</v>
      </c>
      <c r="J194" s="1" t="s">
        <v>1248</v>
      </c>
      <c r="K194" s="5" t="s">
        <v>1456</v>
      </c>
      <c r="L194" s="6" t="s">
        <v>1520</v>
      </c>
      <c r="N194" s="1" t="s">
        <v>7</v>
      </c>
      <c r="O194" s="4" t="s">
        <v>1476</v>
      </c>
      <c r="P194" s="4" t="s">
        <v>1948</v>
      </c>
      <c r="V194" s="1"/>
      <c r="Z194"/>
    </row>
    <row r="195" spans="2:27" ht="16" x14ac:dyDescent="0.2">
      <c r="B195" s="3" t="s">
        <v>1949</v>
      </c>
      <c r="C195" s="3" t="s">
        <v>1950</v>
      </c>
      <c r="D195" s="3" t="s">
        <v>1787</v>
      </c>
      <c r="J195" s="1" t="s">
        <v>1248</v>
      </c>
      <c r="K195" s="5" t="s">
        <v>1456</v>
      </c>
      <c r="L195" s="6" t="s">
        <v>209</v>
      </c>
      <c r="N195" s="1" t="s">
        <v>7</v>
      </c>
      <c r="O195" s="4" t="s">
        <v>1476</v>
      </c>
      <c r="P195" s="4" t="s">
        <v>1951</v>
      </c>
      <c r="V195" s="1"/>
      <c r="Z195"/>
    </row>
    <row r="196" spans="2:27" ht="16" x14ac:dyDescent="0.2">
      <c r="B196" s="3" t="s">
        <v>1952</v>
      </c>
      <c r="C196" s="3" t="s">
        <v>1953</v>
      </c>
      <c r="D196" s="3" t="s">
        <v>1790</v>
      </c>
      <c r="J196" s="1" t="s">
        <v>1248</v>
      </c>
      <c r="K196" s="5" t="s">
        <v>1456</v>
      </c>
      <c r="L196" s="6" t="s">
        <v>1524</v>
      </c>
      <c r="N196" s="1" t="s">
        <v>7</v>
      </c>
      <c r="O196" s="4" t="s">
        <v>1478</v>
      </c>
      <c r="P196" s="4" t="s">
        <v>1722</v>
      </c>
      <c r="V196" s="1"/>
      <c r="Z196"/>
    </row>
    <row r="197" spans="2:27" ht="16" x14ac:dyDescent="0.2">
      <c r="B197" s="3" t="s">
        <v>1954</v>
      </c>
      <c r="C197" s="3" t="s">
        <v>1955</v>
      </c>
      <c r="D197" s="3" t="s">
        <v>1793</v>
      </c>
      <c r="J197" s="1" t="s">
        <v>1248</v>
      </c>
      <c r="K197" s="5" t="s">
        <v>1456</v>
      </c>
      <c r="L197" s="6" t="s">
        <v>1561</v>
      </c>
      <c r="N197" s="1" t="s">
        <v>7</v>
      </c>
      <c r="O197" s="4" t="s">
        <v>1478</v>
      </c>
      <c r="P197" s="4" t="s">
        <v>796</v>
      </c>
      <c r="V197" s="1"/>
      <c r="Z197"/>
    </row>
    <row r="198" spans="2:27" ht="16" x14ac:dyDescent="0.2">
      <c r="B198" s="3" t="s">
        <v>1956</v>
      </c>
      <c r="C198" s="3" t="s">
        <v>1957</v>
      </c>
      <c r="D198" s="3" t="s">
        <v>1796</v>
      </c>
      <c r="J198" s="1" t="s">
        <v>1248</v>
      </c>
      <c r="K198" s="5" t="s">
        <v>1456</v>
      </c>
      <c r="L198" s="6" t="s">
        <v>1555</v>
      </c>
      <c r="N198" s="1" t="s">
        <v>7</v>
      </c>
      <c r="O198" s="4" t="s">
        <v>1478</v>
      </c>
      <c r="P198" s="4" t="s">
        <v>1727</v>
      </c>
      <c r="V198" s="1"/>
      <c r="Z198"/>
    </row>
    <row r="199" spans="2:27" ht="16" x14ac:dyDescent="0.2">
      <c r="B199" s="3" t="s">
        <v>1958</v>
      </c>
      <c r="C199" s="3" t="s">
        <v>1959</v>
      </c>
      <c r="D199" s="3" t="s">
        <v>1799</v>
      </c>
      <c r="J199" s="1" t="s">
        <v>1248</v>
      </c>
      <c r="K199" s="5" t="s">
        <v>1456</v>
      </c>
      <c r="L199" s="6" t="s">
        <v>170</v>
      </c>
      <c r="N199" s="1" t="s">
        <v>1248</v>
      </c>
      <c r="O199" s="6" t="s">
        <v>1516</v>
      </c>
      <c r="P199" s="6" t="s">
        <v>1567</v>
      </c>
      <c r="V199" s="1"/>
      <c r="Z199"/>
      <c r="AA199"/>
    </row>
    <row r="200" spans="2:27" ht="16" x14ac:dyDescent="0.2">
      <c r="B200" s="3" t="s">
        <v>1960</v>
      </c>
      <c r="C200" s="3" t="s">
        <v>1961</v>
      </c>
      <c r="D200" s="3" t="s">
        <v>1802</v>
      </c>
      <c r="J200" s="1" t="s">
        <v>1248</v>
      </c>
      <c r="K200" s="5" t="s">
        <v>1456</v>
      </c>
      <c r="L200" s="6" t="s">
        <v>141</v>
      </c>
      <c r="N200" s="1" t="s">
        <v>1248</v>
      </c>
      <c r="O200" s="6" t="s">
        <v>1516</v>
      </c>
      <c r="P200" s="6" t="s">
        <v>1570</v>
      </c>
      <c r="V200" s="1"/>
      <c r="Z200"/>
      <c r="AA200"/>
    </row>
    <row r="201" spans="2:27" ht="16" x14ac:dyDescent="0.2">
      <c r="B201" s="3" t="s">
        <v>1962</v>
      </c>
      <c r="C201" s="3" t="s">
        <v>1963</v>
      </c>
      <c r="D201" s="3" t="s">
        <v>1805</v>
      </c>
      <c r="J201" s="1" t="s">
        <v>1248</v>
      </c>
      <c r="K201" s="5" t="s">
        <v>1456</v>
      </c>
      <c r="L201" s="6" t="s">
        <v>1564</v>
      </c>
      <c r="N201" s="1" t="s">
        <v>1248</v>
      </c>
      <c r="O201" s="6" t="s">
        <v>1516</v>
      </c>
      <c r="P201" s="6" t="s">
        <v>1573</v>
      </c>
      <c r="V201" s="1"/>
      <c r="Z201"/>
      <c r="AA201"/>
    </row>
    <row r="202" spans="2:27" ht="16" x14ac:dyDescent="0.2">
      <c r="B202" s="3" t="s">
        <v>1964</v>
      </c>
      <c r="C202" s="3" t="s">
        <v>1965</v>
      </c>
      <c r="D202" s="3" t="s">
        <v>1808</v>
      </c>
      <c r="J202" s="1" t="s">
        <v>1248</v>
      </c>
      <c r="K202" s="5" t="s">
        <v>1456</v>
      </c>
      <c r="L202" s="6" t="s">
        <v>1528</v>
      </c>
      <c r="N202" s="1" t="s">
        <v>1248</v>
      </c>
      <c r="O202" s="6" t="s">
        <v>1516</v>
      </c>
      <c r="P202" s="6" t="s">
        <v>1576</v>
      </c>
      <c r="V202" s="1"/>
      <c r="Z202"/>
      <c r="AA202"/>
    </row>
    <row r="203" spans="2:27" ht="16" x14ac:dyDescent="0.2">
      <c r="B203" s="3" t="s">
        <v>1966</v>
      </c>
      <c r="C203" s="3" t="s">
        <v>1967</v>
      </c>
      <c r="D203" s="3" t="s">
        <v>1811</v>
      </c>
      <c r="J203" s="1" t="s">
        <v>1248</v>
      </c>
      <c r="K203" s="5" t="s">
        <v>1456</v>
      </c>
      <c r="L203" s="6" t="s">
        <v>1531</v>
      </c>
      <c r="N203" s="1" t="s">
        <v>1248</v>
      </c>
      <c r="O203" s="6" t="s">
        <v>1516</v>
      </c>
      <c r="P203" s="6" t="s">
        <v>1579</v>
      </c>
      <c r="V203" s="1"/>
      <c r="Z203"/>
      <c r="AA203"/>
    </row>
    <row r="204" spans="2:27" ht="16" x14ac:dyDescent="0.2">
      <c r="B204" s="3" t="s">
        <v>1968</v>
      </c>
      <c r="C204" s="3" t="s">
        <v>1969</v>
      </c>
      <c r="D204" s="3" t="s">
        <v>1814</v>
      </c>
      <c r="J204" s="1" t="s">
        <v>1248</v>
      </c>
      <c r="K204" s="5" t="s">
        <v>1456</v>
      </c>
      <c r="L204" s="6" t="s">
        <v>1534</v>
      </c>
      <c r="N204" s="1" t="s">
        <v>1248</v>
      </c>
      <c r="O204" s="6" t="s">
        <v>1516</v>
      </c>
      <c r="P204" s="6" t="s">
        <v>1582</v>
      </c>
      <c r="V204" s="1"/>
      <c r="Z204"/>
      <c r="AA204"/>
    </row>
    <row r="205" spans="2:27" ht="16" x14ac:dyDescent="0.2">
      <c r="B205" s="3" t="s">
        <v>1970</v>
      </c>
      <c r="C205" s="3" t="s">
        <v>1971</v>
      </c>
      <c r="D205" s="3" t="s">
        <v>1817</v>
      </c>
      <c r="J205" s="1" t="s">
        <v>1248</v>
      </c>
      <c r="K205" s="5" t="s">
        <v>1456</v>
      </c>
      <c r="L205" s="6" t="s">
        <v>1537</v>
      </c>
      <c r="N205" s="1" t="s">
        <v>1248</v>
      </c>
      <c r="O205" s="6" t="s">
        <v>1516</v>
      </c>
      <c r="P205" s="6" t="s">
        <v>1585</v>
      </c>
      <c r="V205" s="1"/>
      <c r="Z205"/>
      <c r="AA205"/>
    </row>
    <row r="206" spans="2:27" ht="16" x14ac:dyDescent="0.2">
      <c r="B206" s="3" t="s">
        <v>1972</v>
      </c>
      <c r="C206" s="3" t="s">
        <v>1973</v>
      </c>
      <c r="D206" s="3" t="s">
        <v>1820</v>
      </c>
      <c r="J206" s="1" t="s">
        <v>1248</v>
      </c>
      <c r="K206" s="5" t="s">
        <v>1456</v>
      </c>
      <c r="L206" s="6" t="s">
        <v>1540</v>
      </c>
      <c r="N206" s="1" t="s">
        <v>1248</v>
      </c>
      <c r="O206" s="6" t="s">
        <v>1516</v>
      </c>
      <c r="P206" s="6" t="s">
        <v>1588</v>
      </c>
      <c r="V206" s="1"/>
      <c r="Z206"/>
      <c r="AA206"/>
    </row>
    <row r="207" spans="2:27" ht="16" x14ac:dyDescent="0.2">
      <c r="B207" s="3" t="s">
        <v>1974</v>
      </c>
      <c r="C207" s="3" t="s">
        <v>1975</v>
      </c>
      <c r="D207" s="3" t="s">
        <v>1823</v>
      </c>
      <c r="J207" s="1" t="s">
        <v>1248</v>
      </c>
      <c r="K207" s="5" t="s">
        <v>1456</v>
      </c>
      <c r="L207" s="6" t="s">
        <v>1543</v>
      </c>
      <c r="N207" s="1" t="s">
        <v>1248</v>
      </c>
      <c r="O207" s="6" t="s">
        <v>1490</v>
      </c>
      <c r="P207" s="6" t="s">
        <v>1591</v>
      </c>
      <c r="V207" s="1"/>
      <c r="Z207"/>
      <c r="AA207"/>
    </row>
    <row r="208" spans="2:27" ht="16" x14ac:dyDescent="0.2">
      <c r="B208" s="3" t="s">
        <v>1976</v>
      </c>
      <c r="C208" s="3" t="s">
        <v>1977</v>
      </c>
      <c r="D208" s="3" t="s">
        <v>1826</v>
      </c>
      <c r="J208" s="1" t="s">
        <v>1248</v>
      </c>
      <c r="K208" s="5" t="s">
        <v>1456</v>
      </c>
      <c r="L208" s="6" t="s">
        <v>1546</v>
      </c>
      <c r="N208" s="1" t="s">
        <v>1248</v>
      </c>
      <c r="O208" s="6" t="s">
        <v>1490</v>
      </c>
      <c r="P208" s="6" t="s">
        <v>1591</v>
      </c>
      <c r="V208" s="1"/>
      <c r="Z208"/>
      <c r="AA208"/>
    </row>
    <row r="209" spans="2:27" ht="16" x14ac:dyDescent="0.2">
      <c r="B209" s="3" t="s">
        <v>1978</v>
      </c>
      <c r="C209" s="3" t="s">
        <v>1979</v>
      </c>
      <c r="D209" s="3" t="s">
        <v>1829</v>
      </c>
      <c r="J209" s="1" t="s">
        <v>1248</v>
      </c>
      <c r="K209" s="5" t="s">
        <v>1456</v>
      </c>
      <c r="L209" s="6" t="s">
        <v>1549</v>
      </c>
      <c r="N209" s="1" t="s">
        <v>1248</v>
      </c>
      <c r="O209" s="6" t="s">
        <v>1490</v>
      </c>
      <c r="P209" s="6" t="s">
        <v>1596</v>
      </c>
      <c r="V209" s="1"/>
      <c r="Z209"/>
      <c r="AA209"/>
    </row>
    <row r="210" spans="2:27" ht="16" x14ac:dyDescent="0.2">
      <c r="B210" s="3" t="s">
        <v>1980</v>
      </c>
      <c r="C210" s="3" t="s">
        <v>1981</v>
      </c>
      <c r="D210" s="3" t="s">
        <v>1832</v>
      </c>
      <c r="J210" s="1" t="s">
        <v>1248</v>
      </c>
      <c r="K210" s="5" t="s">
        <v>1452</v>
      </c>
      <c r="L210" s="6" t="s">
        <v>1528</v>
      </c>
      <c r="N210" s="1" t="s">
        <v>1248</v>
      </c>
      <c r="O210" s="6" t="s">
        <v>1490</v>
      </c>
      <c r="P210" s="6" t="s">
        <v>1599</v>
      </c>
      <c r="V210" s="1"/>
      <c r="Z210"/>
      <c r="AA210"/>
    </row>
    <row r="211" spans="2:27" ht="16" x14ac:dyDescent="0.2">
      <c r="B211" s="3" t="s">
        <v>1982</v>
      </c>
      <c r="C211" s="3" t="s">
        <v>1983</v>
      </c>
      <c r="D211" s="3" t="s">
        <v>1835</v>
      </c>
      <c r="J211" s="1" t="s">
        <v>1248</v>
      </c>
      <c r="K211" s="5" t="s">
        <v>1452</v>
      </c>
      <c r="L211" s="6" t="s">
        <v>1531</v>
      </c>
      <c r="N211" s="1" t="s">
        <v>1248</v>
      </c>
      <c r="O211" s="6" t="s">
        <v>1490</v>
      </c>
      <c r="P211" s="6" t="s">
        <v>1601</v>
      </c>
      <c r="V211" s="1"/>
      <c r="Z211"/>
      <c r="AA211"/>
    </row>
    <row r="212" spans="2:27" ht="16" x14ac:dyDescent="0.2">
      <c r="B212" s="3" t="s">
        <v>1984</v>
      </c>
      <c r="C212" s="3" t="s">
        <v>1985</v>
      </c>
      <c r="D212" s="3" t="s">
        <v>1838</v>
      </c>
      <c r="J212" s="1" t="s">
        <v>1248</v>
      </c>
      <c r="K212" s="5" t="s">
        <v>1452</v>
      </c>
      <c r="L212" s="6" t="s">
        <v>1534</v>
      </c>
      <c r="N212" s="1" t="s">
        <v>1248</v>
      </c>
      <c r="O212" s="6" t="s">
        <v>1490</v>
      </c>
      <c r="P212" s="6" t="s">
        <v>1604</v>
      </c>
      <c r="V212" s="1"/>
      <c r="Z212"/>
      <c r="AA212"/>
    </row>
    <row r="213" spans="2:27" ht="16" x14ac:dyDescent="0.2">
      <c r="B213" s="3" t="s">
        <v>1986</v>
      </c>
      <c r="C213" s="3" t="s">
        <v>1987</v>
      </c>
      <c r="D213" s="3" t="s">
        <v>1841</v>
      </c>
      <c r="J213" s="1" t="s">
        <v>1248</v>
      </c>
      <c r="K213" s="5" t="s">
        <v>1452</v>
      </c>
      <c r="L213" s="6" t="s">
        <v>1537</v>
      </c>
      <c r="N213" s="1" t="s">
        <v>1248</v>
      </c>
      <c r="O213" s="6" t="s">
        <v>1490</v>
      </c>
      <c r="P213" s="6" t="s">
        <v>1607</v>
      </c>
      <c r="V213" s="1"/>
      <c r="Z213"/>
      <c r="AA213"/>
    </row>
    <row r="214" spans="2:27" ht="16" x14ac:dyDescent="0.2">
      <c r="B214" s="3" t="s">
        <v>1988</v>
      </c>
      <c r="C214" s="3" t="s">
        <v>1989</v>
      </c>
      <c r="D214" s="3" t="s">
        <v>1844</v>
      </c>
      <c r="J214" s="1" t="s">
        <v>1248</v>
      </c>
      <c r="K214" s="5" t="s">
        <v>1452</v>
      </c>
      <c r="L214" s="6" t="s">
        <v>1540</v>
      </c>
      <c r="N214" s="1" t="s">
        <v>1248</v>
      </c>
      <c r="O214" s="6" t="s">
        <v>1490</v>
      </c>
      <c r="P214" s="6" t="s">
        <v>1610</v>
      </c>
      <c r="V214" s="1"/>
      <c r="Z214"/>
      <c r="AA214"/>
    </row>
    <row r="215" spans="2:27" ht="16" x14ac:dyDescent="0.2">
      <c r="B215" s="3" t="s">
        <v>1990</v>
      </c>
      <c r="C215" s="3" t="s">
        <v>1991</v>
      </c>
      <c r="D215" s="3" t="s">
        <v>1847</v>
      </c>
      <c r="J215" s="1" t="s">
        <v>1248</v>
      </c>
      <c r="K215" s="5" t="s">
        <v>1452</v>
      </c>
      <c r="L215" s="6" t="s">
        <v>1543</v>
      </c>
      <c r="N215" s="1" t="s">
        <v>1248</v>
      </c>
      <c r="O215" s="6" t="s">
        <v>1490</v>
      </c>
      <c r="P215" s="6" t="s">
        <v>1613</v>
      </c>
      <c r="V215" s="1"/>
      <c r="Z215"/>
      <c r="AA215"/>
    </row>
    <row r="216" spans="2:27" ht="16" x14ac:dyDescent="0.2">
      <c r="B216" s="3" t="s">
        <v>1992</v>
      </c>
      <c r="C216" s="3" t="s">
        <v>1993</v>
      </c>
      <c r="D216" s="3" t="s">
        <v>1850</v>
      </c>
      <c r="J216" s="1" t="s">
        <v>1248</v>
      </c>
      <c r="K216" s="5" t="s">
        <v>1452</v>
      </c>
      <c r="L216" s="6" t="s">
        <v>1546</v>
      </c>
      <c r="N216" s="1" t="s">
        <v>1248</v>
      </c>
      <c r="O216" s="6" t="s">
        <v>1490</v>
      </c>
      <c r="P216" s="6" t="s">
        <v>1616</v>
      </c>
      <c r="V216" s="1"/>
      <c r="Z216"/>
      <c r="AA216"/>
    </row>
    <row r="217" spans="2:27" ht="16" x14ac:dyDescent="0.2">
      <c r="B217" s="3" t="s">
        <v>1994</v>
      </c>
      <c r="C217" s="3" t="s">
        <v>1995</v>
      </c>
      <c r="D217" s="3" t="s">
        <v>1853</v>
      </c>
      <c r="J217" s="1" t="s">
        <v>1248</v>
      </c>
      <c r="K217" s="5" t="s">
        <v>1452</v>
      </c>
      <c r="L217" s="6" t="s">
        <v>1549</v>
      </c>
      <c r="N217" s="1" t="s">
        <v>1248</v>
      </c>
      <c r="O217" s="6" t="s">
        <v>1490</v>
      </c>
      <c r="P217" s="6" t="s">
        <v>1619</v>
      </c>
      <c r="V217" s="1"/>
      <c r="Z217"/>
      <c r="AA217"/>
    </row>
    <row r="218" spans="2:27" ht="16" x14ac:dyDescent="0.2">
      <c r="B218" s="3" t="s">
        <v>1996</v>
      </c>
      <c r="C218" s="3" t="s">
        <v>1997</v>
      </c>
      <c r="D218" s="3" t="s">
        <v>1856</v>
      </c>
      <c r="J218" s="1" t="s">
        <v>1329</v>
      </c>
      <c r="K218" s="3" t="s">
        <v>1440</v>
      </c>
      <c r="L218" s="4" t="s">
        <v>1491</v>
      </c>
      <c r="N218" s="1" t="s">
        <v>1248</v>
      </c>
      <c r="O218" s="6" t="s">
        <v>1496</v>
      </c>
      <c r="P218" s="6" t="s">
        <v>1622</v>
      </c>
      <c r="V218" s="1"/>
      <c r="Z218"/>
      <c r="AA218"/>
    </row>
    <row r="219" spans="2:27" ht="16" x14ac:dyDescent="0.2">
      <c r="B219" s="3" t="s">
        <v>1998</v>
      </c>
      <c r="C219" s="3" t="s">
        <v>1999</v>
      </c>
      <c r="D219" s="3" t="s">
        <v>1859</v>
      </c>
      <c r="J219" s="1" t="s">
        <v>1329</v>
      </c>
      <c r="K219" s="3" t="s">
        <v>1440</v>
      </c>
      <c r="L219" s="4" t="s">
        <v>1494</v>
      </c>
      <c r="N219" s="1" t="s">
        <v>1248</v>
      </c>
      <c r="O219" s="6" t="s">
        <v>1496</v>
      </c>
      <c r="P219" s="6" t="s">
        <v>1625</v>
      </c>
      <c r="V219" s="1"/>
      <c r="Z219"/>
      <c r="AA219"/>
    </row>
    <row r="220" spans="2:27" ht="16" x14ac:dyDescent="0.2">
      <c r="B220" s="3" t="s">
        <v>2000</v>
      </c>
      <c r="C220" s="3" t="s">
        <v>2001</v>
      </c>
      <c r="D220" s="3" t="s">
        <v>1862</v>
      </c>
      <c r="J220" s="1" t="s">
        <v>1329</v>
      </c>
      <c r="K220" s="3" t="s">
        <v>1440</v>
      </c>
      <c r="L220" s="4" t="s">
        <v>1497</v>
      </c>
      <c r="N220" s="1" t="s">
        <v>1248</v>
      </c>
      <c r="O220" s="6" t="s">
        <v>1496</v>
      </c>
      <c r="P220" s="6" t="s">
        <v>1627</v>
      </c>
      <c r="V220" s="1"/>
      <c r="Z220"/>
      <c r="AA220"/>
    </row>
    <row r="221" spans="2:27" ht="16" x14ac:dyDescent="0.2">
      <c r="B221" s="3" t="s">
        <v>2002</v>
      </c>
      <c r="C221" s="3" t="s">
        <v>2003</v>
      </c>
      <c r="D221" s="3" t="s">
        <v>1865</v>
      </c>
      <c r="J221" s="1" t="s">
        <v>1329</v>
      </c>
      <c r="K221" s="3" t="s">
        <v>1440</v>
      </c>
      <c r="L221" s="4" t="s">
        <v>1500</v>
      </c>
      <c r="N221" s="1" t="s">
        <v>1248</v>
      </c>
      <c r="O221" s="6" t="s">
        <v>1496</v>
      </c>
      <c r="P221" s="6" t="s">
        <v>1630</v>
      </c>
      <c r="V221" s="1"/>
      <c r="Z221"/>
      <c r="AA221"/>
    </row>
    <row r="222" spans="2:27" ht="16" x14ac:dyDescent="0.2">
      <c r="B222" s="3" t="s">
        <v>2004</v>
      </c>
      <c r="C222" s="3" t="s">
        <v>2005</v>
      </c>
      <c r="D222" s="3" t="s">
        <v>1868</v>
      </c>
      <c r="J222" s="1" t="s">
        <v>1329</v>
      </c>
      <c r="K222" s="3" t="s">
        <v>1440</v>
      </c>
      <c r="L222" s="4" t="s">
        <v>1503</v>
      </c>
      <c r="N222" s="1" t="s">
        <v>1248</v>
      </c>
      <c r="O222" s="6" t="s">
        <v>1496</v>
      </c>
      <c r="P222" s="6" t="s">
        <v>1633</v>
      </c>
      <c r="V222" s="1"/>
      <c r="Z222"/>
      <c r="AA222"/>
    </row>
    <row r="223" spans="2:27" ht="16" x14ac:dyDescent="0.2">
      <c r="B223" s="3" t="s">
        <v>2006</v>
      </c>
      <c r="C223" s="3" t="s">
        <v>2007</v>
      </c>
      <c r="D223" s="3" t="s">
        <v>1871</v>
      </c>
      <c r="J223" s="1" t="s">
        <v>1329</v>
      </c>
      <c r="K223" s="3" t="s">
        <v>1440</v>
      </c>
      <c r="L223" s="4" t="s">
        <v>1506</v>
      </c>
      <c r="N223" s="1" t="s">
        <v>1248</v>
      </c>
      <c r="O223" s="6" t="s">
        <v>1496</v>
      </c>
      <c r="P223" s="6" t="s">
        <v>1636</v>
      </c>
      <c r="V223" s="1"/>
      <c r="Z223"/>
      <c r="AA223"/>
    </row>
    <row r="224" spans="2:27" ht="16" x14ac:dyDescent="0.2">
      <c r="B224" s="3" t="s">
        <v>2008</v>
      </c>
      <c r="C224" s="3" t="s">
        <v>2009</v>
      </c>
      <c r="D224" s="3" t="s">
        <v>1874</v>
      </c>
      <c r="J224" s="1" t="s">
        <v>1329</v>
      </c>
      <c r="K224" s="3" t="s">
        <v>1440</v>
      </c>
      <c r="L224" s="4" t="s">
        <v>1510</v>
      </c>
      <c r="N224" s="1" t="s">
        <v>1248</v>
      </c>
      <c r="O224" s="6" t="s">
        <v>1496</v>
      </c>
      <c r="P224" s="6" t="s">
        <v>1639</v>
      </c>
      <c r="V224" s="1"/>
      <c r="Z224"/>
      <c r="AA224"/>
    </row>
    <row r="225" spans="2:27" ht="16" x14ac:dyDescent="0.2">
      <c r="B225" s="3" t="s">
        <v>2010</v>
      </c>
      <c r="C225" s="3" t="s">
        <v>2011</v>
      </c>
      <c r="D225" s="3" t="s">
        <v>1877</v>
      </c>
      <c r="J225" s="1" t="s">
        <v>1329</v>
      </c>
      <c r="K225" s="3" t="s">
        <v>1440</v>
      </c>
      <c r="L225" s="4" t="s">
        <v>1513</v>
      </c>
      <c r="N225" s="1" t="s">
        <v>1248</v>
      </c>
      <c r="O225" s="6" t="s">
        <v>1496</v>
      </c>
      <c r="P225" s="6" t="s">
        <v>1642</v>
      </c>
      <c r="V225" s="1"/>
      <c r="Z225"/>
      <c r="AA225"/>
    </row>
    <row r="226" spans="2:27" ht="16" x14ac:dyDescent="0.2">
      <c r="B226" s="3" t="s">
        <v>1029</v>
      </c>
      <c r="C226" s="3" t="s">
        <v>2012</v>
      </c>
      <c r="D226" s="3" t="s">
        <v>1026</v>
      </c>
      <c r="J226" s="1" t="s">
        <v>1329</v>
      </c>
      <c r="K226" s="3" t="s">
        <v>1440</v>
      </c>
      <c r="L226" s="4" t="s">
        <v>1517</v>
      </c>
      <c r="N226" s="1" t="s">
        <v>1248</v>
      </c>
      <c r="O226" s="6" t="s">
        <v>1496</v>
      </c>
      <c r="P226" s="6" t="s">
        <v>1645</v>
      </c>
      <c r="V226" s="1"/>
      <c r="Z226"/>
      <c r="AA226"/>
    </row>
    <row r="227" spans="2:27" ht="16" x14ac:dyDescent="0.2">
      <c r="B227" s="3" t="s">
        <v>2013</v>
      </c>
      <c r="C227" s="3" t="s">
        <v>2014</v>
      </c>
      <c r="D227" s="3" t="s">
        <v>1882</v>
      </c>
      <c r="J227" s="1" t="s">
        <v>1329</v>
      </c>
      <c r="K227" s="3" t="s">
        <v>1440</v>
      </c>
      <c r="L227" s="4" t="s">
        <v>1521</v>
      </c>
      <c r="N227" s="1" t="s">
        <v>1248</v>
      </c>
      <c r="O227" s="6" t="s">
        <v>1496</v>
      </c>
      <c r="P227" s="6" t="s">
        <v>1648</v>
      </c>
      <c r="V227" s="1"/>
      <c r="Z227"/>
      <c r="AA227"/>
    </row>
    <row r="228" spans="2:27" ht="16" x14ac:dyDescent="0.2">
      <c r="B228" s="3" t="s">
        <v>2015</v>
      </c>
      <c r="C228" s="3" t="s">
        <v>2016</v>
      </c>
      <c r="D228" s="3" t="s">
        <v>1885</v>
      </c>
      <c r="J228" s="1" t="s">
        <v>1329</v>
      </c>
      <c r="K228" s="3" t="s">
        <v>1440</v>
      </c>
      <c r="L228" s="4" t="s">
        <v>210</v>
      </c>
      <c r="N228" s="1" t="s">
        <v>1248</v>
      </c>
      <c r="O228" s="6" t="s">
        <v>1496</v>
      </c>
      <c r="P228" s="6" t="s">
        <v>1651</v>
      </c>
      <c r="V228" s="1"/>
      <c r="Z228"/>
      <c r="AA228"/>
    </row>
    <row r="229" spans="2:27" ht="16" x14ac:dyDescent="0.2">
      <c r="B229" s="3" t="s">
        <v>1044</v>
      </c>
      <c r="C229" s="3" t="s">
        <v>1045</v>
      </c>
      <c r="D229" s="3" t="s">
        <v>1042</v>
      </c>
      <c r="J229" s="1" t="s">
        <v>1329</v>
      </c>
      <c r="K229" s="3" t="s">
        <v>1440</v>
      </c>
      <c r="L229" s="4" t="s">
        <v>1525</v>
      </c>
      <c r="N229" s="1" t="s">
        <v>1248</v>
      </c>
      <c r="O229" s="6" t="s">
        <v>1493</v>
      </c>
      <c r="P229" s="6" t="s">
        <v>1654</v>
      </c>
      <c r="V229" s="1"/>
      <c r="Z229"/>
      <c r="AA229"/>
    </row>
    <row r="230" spans="2:27" ht="16" x14ac:dyDescent="0.2">
      <c r="B230" s="3" t="s">
        <v>2017</v>
      </c>
      <c r="C230" s="3" t="s">
        <v>2018</v>
      </c>
      <c r="D230" s="3" t="s">
        <v>1888</v>
      </c>
      <c r="J230" s="1" t="s">
        <v>1329</v>
      </c>
      <c r="K230" s="3" t="s">
        <v>1440</v>
      </c>
      <c r="L230" s="4" t="s">
        <v>170</v>
      </c>
      <c r="N230" s="1" t="s">
        <v>1248</v>
      </c>
      <c r="O230" s="6" t="s">
        <v>1493</v>
      </c>
      <c r="P230" s="6" t="s">
        <v>1657</v>
      </c>
      <c r="V230" s="1"/>
      <c r="Z230"/>
      <c r="AA230"/>
    </row>
    <row r="231" spans="2:27" ht="16" x14ac:dyDescent="0.2">
      <c r="B231" s="3" t="s">
        <v>2019</v>
      </c>
      <c r="C231" s="3" t="s">
        <v>2020</v>
      </c>
      <c r="D231" s="3" t="s">
        <v>1891</v>
      </c>
      <c r="J231" s="1" t="s">
        <v>1329</v>
      </c>
      <c r="K231" s="3" t="s">
        <v>1440</v>
      </c>
      <c r="L231" s="4" t="s">
        <v>142</v>
      </c>
      <c r="N231" s="1" t="s">
        <v>1248</v>
      </c>
      <c r="O231" s="6" t="s">
        <v>1493</v>
      </c>
      <c r="P231" s="6" t="s">
        <v>1660</v>
      </c>
      <c r="V231" s="1"/>
      <c r="Z231"/>
      <c r="AA231"/>
    </row>
    <row r="232" spans="2:27" ht="16" x14ac:dyDescent="0.2">
      <c r="B232" s="3" t="s">
        <v>2021</v>
      </c>
      <c r="C232" s="3" t="s">
        <v>2022</v>
      </c>
      <c r="D232" s="3" t="s">
        <v>1894</v>
      </c>
      <c r="J232" s="1" t="s">
        <v>1329</v>
      </c>
      <c r="K232" s="3" t="s">
        <v>1440</v>
      </c>
      <c r="L232" s="4" t="s">
        <v>1529</v>
      </c>
      <c r="N232" s="1" t="s">
        <v>1248</v>
      </c>
      <c r="O232" s="6" t="s">
        <v>1493</v>
      </c>
      <c r="P232" s="6" t="s">
        <v>1663</v>
      </c>
      <c r="V232" s="1"/>
      <c r="Z232"/>
      <c r="AA232"/>
    </row>
    <row r="233" spans="2:27" ht="16" x14ac:dyDescent="0.2">
      <c r="B233" s="3" t="s">
        <v>2023</v>
      </c>
      <c r="C233" s="3" t="s">
        <v>2024</v>
      </c>
      <c r="D233" s="3" t="s">
        <v>1897</v>
      </c>
      <c r="J233" s="1" t="s">
        <v>1329</v>
      </c>
      <c r="K233" s="3" t="s">
        <v>1440</v>
      </c>
      <c r="L233" s="4" t="s">
        <v>1532</v>
      </c>
      <c r="N233" s="1" t="s">
        <v>1248</v>
      </c>
      <c r="O233" s="6" t="s">
        <v>1493</v>
      </c>
      <c r="P233" s="6" t="s">
        <v>1666</v>
      </c>
      <c r="V233" s="1"/>
      <c r="Z233"/>
      <c r="AA233"/>
    </row>
    <row r="234" spans="2:27" ht="16" x14ac:dyDescent="0.2">
      <c r="B234" s="3" t="s">
        <v>2025</v>
      </c>
      <c r="C234" s="3" t="s">
        <v>2026</v>
      </c>
      <c r="D234" s="3" t="s">
        <v>1900</v>
      </c>
      <c r="J234" s="1" t="s">
        <v>1329</v>
      </c>
      <c r="K234" s="3" t="s">
        <v>1440</v>
      </c>
      <c r="L234" s="4" t="s">
        <v>1535</v>
      </c>
      <c r="N234" s="1" t="s">
        <v>1248</v>
      </c>
      <c r="O234" s="6" t="s">
        <v>1493</v>
      </c>
      <c r="P234" s="6" t="s">
        <v>1669</v>
      </c>
      <c r="V234" s="1"/>
      <c r="Z234"/>
      <c r="AA234"/>
    </row>
    <row r="235" spans="2:27" ht="16" x14ac:dyDescent="0.2">
      <c r="B235" s="3" t="s">
        <v>2027</v>
      </c>
      <c r="C235" s="3" t="s">
        <v>2028</v>
      </c>
      <c r="D235" s="3" t="s">
        <v>1903</v>
      </c>
      <c r="J235" s="1" t="s">
        <v>1329</v>
      </c>
      <c r="K235" s="3" t="s">
        <v>1440</v>
      </c>
      <c r="L235" s="4" t="s">
        <v>1538</v>
      </c>
      <c r="N235" s="1" t="s">
        <v>1248</v>
      </c>
      <c r="O235" s="6" t="s">
        <v>1493</v>
      </c>
      <c r="P235" s="6" t="s">
        <v>1672</v>
      </c>
      <c r="V235" s="1"/>
      <c r="Z235"/>
      <c r="AA235"/>
    </row>
    <row r="236" spans="2:27" ht="16" x14ac:dyDescent="0.2">
      <c r="B236" s="3" t="s">
        <v>2029</v>
      </c>
      <c r="C236" s="3" t="s">
        <v>2030</v>
      </c>
      <c r="D236" s="3" t="s">
        <v>1906</v>
      </c>
      <c r="J236" s="1" t="s">
        <v>1329</v>
      </c>
      <c r="K236" s="3" t="s">
        <v>1440</v>
      </c>
      <c r="L236" s="4" t="s">
        <v>1541</v>
      </c>
      <c r="N236" s="1" t="s">
        <v>1248</v>
      </c>
      <c r="O236" s="6" t="s">
        <v>1493</v>
      </c>
      <c r="P236" s="6" t="s">
        <v>1675</v>
      </c>
      <c r="V236" s="1"/>
      <c r="Z236"/>
      <c r="AA236"/>
    </row>
    <row r="237" spans="2:27" ht="16" x14ac:dyDescent="0.2">
      <c r="B237" s="3" t="s">
        <v>2031</v>
      </c>
      <c r="C237" s="3" t="s">
        <v>2032</v>
      </c>
      <c r="D237" s="3" t="s">
        <v>1909</v>
      </c>
      <c r="J237" s="1" t="s">
        <v>1329</v>
      </c>
      <c r="K237" s="3" t="s">
        <v>1440</v>
      </c>
      <c r="L237" s="4" t="s">
        <v>1544</v>
      </c>
      <c r="N237" s="1" t="s">
        <v>1248</v>
      </c>
      <c r="O237" s="6" t="s">
        <v>1493</v>
      </c>
      <c r="P237" s="6" t="s">
        <v>1678</v>
      </c>
      <c r="V237" s="1"/>
      <c r="Z237"/>
      <c r="AA237"/>
    </row>
    <row r="238" spans="2:27" ht="16" x14ac:dyDescent="0.2">
      <c r="B238" s="3" t="s">
        <v>2033</v>
      </c>
      <c r="C238" s="3" t="s">
        <v>2034</v>
      </c>
      <c r="D238" s="3" t="s">
        <v>1912</v>
      </c>
      <c r="J238" s="1" t="s">
        <v>1329</v>
      </c>
      <c r="K238" s="3" t="s">
        <v>1440</v>
      </c>
      <c r="L238" s="4" t="s">
        <v>1547</v>
      </c>
      <c r="N238" s="1" t="s">
        <v>1248</v>
      </c>
      <c r="O238" s="6" t="s">
        <v>1493</v>
      </c>
      <c r="P238" s="6" t="s">
        <v>1681</v>
      </c>
      <c r="V238" s="1"/>
      <c r="Z238"/>
      <c r="AA238"/>
    </row>
    <row r="239" spans="2:27" ht="16" x14ac:dyDescent="0.2">
      <c r="B239" s="3" t="s">
        <v>2035</v>
      </c>
      <c r="C239" s="3" t="s">
        <v>2036</v>
      </c>
      <c r="D239" s="3" t="s">
        <v>1915</v>
      </c>
      <c r="J239" s="1" t="s">
        <v>1329</v>
      </c>
      <c r="K239" s="3" t="s">
        <v>1440</v>
      </c>
      <c r="L239" s="4" t="s">
        <v>1550</v>
      </c>
      <c r="N239" s="1" t="s">
        <v>1248</v>
      </c>
      <c r="O239" s="6" t="s">
        <v>1493</v>
      </c>
      <c r="P239" s="6" t="s">
        <v>1684</v>
      </c>
      <c r="V239" s="1"/>
      <c r="Z239"/>
      <c r="AA239"/>
    </row>
    <row r="240" spans="2:27" ht="16" x14ac:dyDescent="0.2">
      <c r="B240" s="3" t="s">
        <v>2037</v>
      </c>
      <c r="C240" s="3" t="s">
        <v>2038</v>
      </c>
      <c r="D240" s="3" t="s">
        <v>1918</v>
      </c>
      <c r="J240" s="1" t="s">
        <v>1329</v>
      </c>
      <c r="K240" s="3" t="s">
        <v>48</v>
      </c>
      <c r="L240" s="4" t="s">
        <v>1553</v>
      </c>
      <c r="N240" s="1" t="s">
        <v>1248</v>
      </c>
      <c r="O240" s="6" t="s">
        <v>1493</v>
      </c>
      <c r="P240" s="6" t="s">
        <v>1687</v>
      </c>
      <c r="V240" s="1"/>
      <c r="Z240"/>
      <c r="AA240"/>
    </row>
    <row r="241" spans="2:27" ht="16" x14ac:dyDescent="0.2">
      <c r="B241" s="3" t="s">
        <v>2039</v>
      </c>
      <c r="C241" s="3" t="s">
        <v>2040</v>
      </c>
      <c r="D241" s="3" t="s">
        <v>1921</v>
      </c>
      <c r="J241" s="1" t="s">
        <v>1329</v>
      </c>
      <c r="K241" s="3" t="s">
        <v>48</v>
      </c>
      <c r="L241" s="4" t="s">
        <v>210</v>
      </c>
      <c r="N241" s="1" t="s">
        <v>1248</v>
      </c>
      <c r="O241" s="6" t="s">
        <v>1499</v>
      </c>
      <c r="P241" s="6" t="s">
        <v>1690</v>
      </c>
      <c r="V241" s="1"/>
      <c r="Z241"/>
      <c r="AA241"/>
    </row>
    <row r="242" spans="2:27" ht="16" x14ac:dyDescent="0.2">
      <c r="B242" s="3" t="s">
        <v>2041</v>
      </c>
      <c r="C242" s="3" t="s">
        <v>2042</v>
      </c>
      <c r="D242" s="3" t="s">
        <v>1924</v>
      </c>
      <c r="J242" s="1" t="s">
        <v>1329</v>
      </c>
      <c r="K242" s="3" t="s">
        <v>48</v>
      </c>
      <c r="L242" s="4" t="s">
        <v>1556</v>
      </c>
      <c r="N242" s="1" t="s">
        <v>1248</v>
      </c>
      <c r="O242" s="6" t="s">
        <v>1499</v>
      </c>
      <c r="P242" s="6" t="s">
        <v>1693</v>
      </c>
      <c r="V242" s="1"/>
      <c r="Z242"/>
      <c r="AA242"/>
    </row>
    <row r="243" spans="2:27" ht="16" x14ac:dyDescent="0.2">
      <c r="B243" s="3" t="s">
        <v>2043</v>
      </c>
      <c r="C243" s="3" t="s">
        <v>2044</v>
      </c>
      <c r="D243" s="3" t="s">
        <v>1927</v>
      </c>
      <c r="J243" s="1" t="s">
        <v>1329</v>
      </c>
      <c r="K243" s="3" t="s">
        <v>48</v>
      </c>
      <c r="L243" s="4" t="s">
        <v>170</v>
      </c>
      <c r="N243" s="1" t="s">
        <v>1248</v>
      </c>
      <c r="O243" s="6" t="s">
        <v>1499</v>
      </c>
      <c r="P243" s="6" t="s">
        <v>1696</v>
      </c>
      <c r="V243" s="1"/>
      <c r="Z243"/>
      <c r="AA243"/>
    </row>
    <row r="244" spans="2:27" ht="16" x14ac:dyDescent="0.2">
      <c r="B244" s="3" t="s">
        <v>2045</v>
      </c>
      <c r="C244" s="3" t="s">
        <v>2046</v>
      </c>
      <c r="D244" s="3" t="s">
        <v>1930</v>
      </c>
      <c r="J244" s="1" t="s">
        <v>1329</v>
      </c>
      <c r="K244" s="3" t="s">
        <v>48</v>
      </c>
      <c r="L244" s="4" t="s">
        <v>1529</v>
      </c>
      <c r="N244" s="1" t="s">
        <v>1248</v>
      </c>
      <c r="O244" s="6" t="s">
        <v>1499</v>
      </c>
      <c r="P244" s="6" t="s">
        <v>1699</v>
      </c>
      <c r="V244" s="1"/>
      <c r="Z244"/>
      <c r="AA244"/>
    </row>
    <row r="245" spans="2:27" ht="16" x14ac:dyDescent="0.2">
      <c r="B245" s="3" t="s">
        <v>2047</v>
      </c>
      <c r="C245" s="3" t="s">
        <v>2048</v>
      </c>
      <c r="D245" s="3" t="s">
        <v>1933</v>
      </c>
      <c r="J245" s="1" t="s">
        <v>1329</v>
      </c>
      <c r="K245" s="3" t="s">
        <v>48</v>
      </c>
      <c r="L245" s="4" t="s">
        <v>1532</v>
      </c>
      <c r="N245" s="1" t="s">
        <v>1248</v>
      </c>
      <c r="O245" s="6" t="s">
        <v>1499</v>
      </c>
      <c r="P245" s="6" t="s">
        <v>1701</v>
      </c>
      <c r="V245" s="1"/>
      <c r="Z245"/>
      <c r="AA245"/>
    </row>
    <row r="246" spans="2:27" ht="16" x14ac:dyDescent="0.2">
      <c r="B246" s="3" t="s">
        <v>2049</v>
      </c>
      <c r="C246" s="3" t="s">
        <v>2050</v>
      </c>
      <c r="D246" s="3" t="s">
        <v>1936</v>
      </c>
      <c r="J246" s="1" t="s">
        <v>1329</v>
      </c>
      <c r="K246" s="3" t="s">
        <v>48</v>
      </c>
      <c r="L246" s="4" t="s">
        <v>1535</v>
      </c>
      <c r="N246" s="1" t="s">
        <v>1248</v>
      </c>
      <c r="O246" s="6" t="s">
        <v>1499</v>
      </c>
      <c r="P246" s="6" t="s">
        <v>1704</v>
      </c>
      <c r="V246" s="1"/>
      <c r="Z246"/>
      <c r="AA246"/>
    </row>
    <row r="247" spans="2:27" ht="16" x14ac:dyDescent="0.2">
      <c r="B247" s="3" t="s">
        <v>2051</v>
      </c>
      <c r="C247" s="3" t="s">
        <v>2052</v>
      </c>
      <c r="D247" s="3" t="s">
        <v>1939</v>
      </c>
      <c r="J247" s="1" t="s">
        <v>1329</v>
      </c>
      <c r="K247" s="3" t="s">
        <v>48</v>
      </c>
      <c r="L247" s="4" t="s">
        <v>1538</v>
      </c>
      <c r="N247" s="1" t="s">
        <v>1248</v>
      </c>
      <c r="O247" s="6" t="s">
        <v>1499</v>
      </c>
      <c r="P247" s="6" t="s">
        <v>1707</v>
      </c>
      <c r="V247" s="1"/>
      <c r="Z247"/>
      <c r="AA247"/>
    </row>
    <row r="248" spans="2:27" ht="16" x14ac:dyDescent="0.2">
      <c r="B248" s="3" t="s">
        <v>2053</v>
      </c>
      <c r="C248" s="3" t="s">
        <v>2054</v>
      </c>
      <c r="D248" s="3" t="s">
        <v>1942</v>
      </c>
      <c r="J248" s="1" t="s">
        <v>1329</v>
      </c>
      <c r="K248" s="3" t="s">
        <v>48</v>
      </c>
      <c r="L248" s="4" t="s">
        <v>1541</v>
      </c>
      <c r="N248" s="1" t="s">
        <v>1248</v>
      </c>
      <c r="O248" s="6" t="s">
        <v>1499</v>
      </c>
      <c r="P248" s="6" t="s">
        <v>1710</v>
      </c>
      <c r="V248" s="1"/>
      <c r="Z248"/>
      <c r="AA248"/>
    </row>
    <row r="249" spans="2:27" ht="16" x14ac:dyDescent="0.2">
      <c r="B249" s="3" t="s">
        <v>2055</v>
      </c>
      <c r="C249" s="3" t="s">
        <v>2056</v>
      </c>
      <c r="D249" s="3" t="s">
        <v>1945</v>
      </c>
      <c r="J249" s="1" t="s">
        <v>1329</v>
      </c>
      <c r="K249" s="3" t="s">
        <v>48</v>
      </c>
      <c r="L249" s="4" t="s">
        <v>1544</v>
      </c>
      <c r="N249" s="1" t="s">
        <v>1248</v>
      </c>
      <c r="O249" s="6" t="s">
        <v>1499</v>
      </c>
      <c r="P249" s="6" t="s">
        <v>1713</v>
      </c>
      <c r="V249" s="1"/>
      <c r="Z249"/>
      <c r="AA249"/>
    </row>
    <row r="250" spans="2:27" ht="16" x14ac:dyDescent="0.2">
      <c r="B250" s="3" t="s">
        <v>2057</v>
      </c>
      <c r="C250" s="3" t="s">
        <v>2058</v>
      </c>
      <c r="D250" s="3" t="s">
        <v>1948</v>
      </c>
      <c r="J250" s="1" t="s">
        <v>1329</v>
      </c>
      <c r="K250" s="3" t="s">
        <v>48</v>
      </c>
      <c r="L250" s="4" t="s">
        <v>1547</v>
      </c>
      <c r="N250" s="1" t="s">
        <v>1248</v>
      </c>
      <c r="O250" s="6" t="s">
        <v>1499</v>
      </c>
      <c r="P250" s="6" t="s">
        <v>1715</v>
      </c>
      <c r="V250" s="1"/>
      <c r="Z250"/>
      <c r="AA250"/>
    </row>
    <row r="251" spans="2:27" ht="16" x14ac:dyDescent="0.2">
      <c r="B251" s="3" t="s">
        <v>2059</v>
      </c>
      <c r="C251" s="3" t="s">
        <v>2060</v>
      </c>
      <c r="D251" s="3" t="s">
        <v>1951</v>
      </c>
      <c r="J251" s="1" t="s">
        <v>1329</v>
      </c>
      <c r="K251" s="3" t="s">
        <v>48</v>
      </c>
      <c r="L251" s="4" t="s">
        <v>1550</v>
      </c>
      <c r="N251" s="1" t="s">
        <v>1248</v>
      </c>
      <c r="O251" s="6" t="s">
        <v>1499</v>
      </c>
      <c r="P251" s="6" t="s">
        <v>1717</v>
      </c>
      <c r="V251" s="1"/>
      <c r="Z251"/>
      <c r="AA251"/>
    </row>
    <row r="252" spans="2:27" ht="16" x14ac:dyDescent="0.2">
      <c r="B252" s="3" t="s">
        <v>1886</v>
      </c>
      <c r="C252" s="3" t="s">
        <v>2061</v>
      </c>
      <c r="D252" s="3" t="s">
        <v>1722</v>
      </c>
      <c r="J252" s="1" t="s">
        <v>1329</v>
      </c>
      <c r="K252" s="3" t="s">
        <v>1424</v>
      </c>
      <c r="L252" s="4" t="s">
        <v>1559</v>
      </c>
      <c r="N252" s="1" t="s">
        <v>1248</v>
      </c>
      <c r="O252" s="6" t="s">
        <v>1502</v>
      </c>
      <c r="P252" s="6" t="s">
        <v>1720</v>
      </c>
      <c r="V252" s="1"/>
      <c r="Z252"/>
      <c r="AA252"/>
    </row>
    <row r="253" spans="2:27" ht="16" x14ac:dyDescent="0.2">
      <c r="B253" s="3" t="s">
        <v>798</v>
      </c>
      <c r="C253" s="3" t="s">
        <v>799</v>
      </c>
      <c r="D253" s="3" t="s">
        <v>796</v>
      </c>
      <c r="J253" s="1" t="s">
        <v>1329</v>
      </c>
      <c r="K253" s="3" t="s">
        <v>1424</v>
      </c>
      <c r="L253" s="4" t="s">
        <v>210</v>
      </c>
      <c r="N253" s="1" t="s">
        <v>1248</v>
      </c>
      <c r="O253" s="6" t="s">
        <v>1502</v>
      </c>
      <c r="P253" s="6" t="s">
        <v>1723</v>
      </c>
      <c r="V253" s="1"/>
      <c r="Z253"/>
      <c r="AA253"/>
    </row>
    <row r="254" spans="2:27" ht="16" x14ac:dyDescent="0.2">
      <c r="B254" s="3" t="s">
        <v>1889</v>
      </c>
      <c r="C254" s="3" t="s">
        <v>1890</v>
      </c>
      <c r="D254" s="3" t="s">
        <v>1727</v>
      </c>
      <c r="J254" s="1" t="s">
        <v>1329</v>
      </c>
      <c r="K254" s="3" t="s">
        <v>1424</v>
      </c>
      <c r="L254" s="4" t="s">
        <v>1562</v>
      </c>
      <c r="N254" s="1" t="s">
        <v>1248</v>
      </c>
      <c r="O254" s="6" t="s">
        <v>1502</v>
      </c>
      <c r="P254" s="6" t="s">
        <v>1725</v>
      </c>
      <c r="V254" s="1"/>
      <c r="Z254"/>
      <c r="AA254"/>
    </row>
    <row r="255" spans="2:27" ht="16" x14ac:dyDescent="0.2">
      <c r="J255" s="1" t="s">
        <v>1329</v>
      </c>
      <c r="K255" s="3" t="s">
        <v>1424</v>
      </c>
      <c r="L255" s="4" t="s">
        <v>1565</v>
      </c>
      <c r="N255" s="1" t="s">
        <v>1248</v>
      </c>
      <c r="O255" s="6" t="s">
        <v>1502</v>
      </c>
      <c r="P255" s="6" t="s">
        <v>1728</v>
      </c>
      <c r="V255" s="1"/>
      <c r="Z255"/>
      <c r="AA255"/>
    </row>
    <row r="256" spans="2:27" ht="16" x14ac:dyDescent="0.2">
      <c r="J256" s="1" t="s">
        <v>1329</v>
      </c>
      <c r="K256" s="3" t="s">
        <v>1424</v>
      </c>
      <c r="L256" s="4" t="s">
        <v>1529</v>
      </c>
      <c r="N256" s="1" t="s">
        <v>1248</v>
      </c>
      <c r="O256" s="6" t="s">
        <v>1502</v>
      </c>
      <c r="P256" s="6" t="s">
        <v>1731</v>
      </c>
      <c r="V256" s="1"/>
      <c r="Z256"/>
      <c r="AA256"/>
    </row>
    <row r="257" spans="10:27" ht="16" x14ac:dyDescent="0.2">
      <c r="J257" s="1" t="s">
        <v>1329</v>
      </c>
      <c r="K257" s="3" t="s">
        <v>1424</v>
      </c>
      <c r="L257" s="4" t="s">
        <v>1532</v>
      </c>
      <c r="N257" s="1" t="s">
        <v>1248</v>
      </c>
      <c r="O257" s="6" t="s">
        <v>1502</v>
      </c>
      <c r="P257" s="6" t="s">
        <v>1734</v>
      </c>
      <c r="V257" s="1"/>
      <c r="Z257"/>
      <c r="AA257"/>
    </row>
    <row r="258" spans="10:27" ht="16" x14ac:dyDescent="0.2">
      <c r="J258" s="1" t="s">
        <v>1329</v>
      </c>
      <c r="K258" s="3" t="s">
        <v>1424</v>
      </c>
      <c r="L258" s="4" t="s">
        <v>1535</v>
      </c>
      <c r="N258" s="1" t="s">
        <v>1248</v>
      </c>
      <c r="O258" s="6" t="s">
        <v>1502</v>
      </c>
      <c r="P258" s="6" t="s">
        <v>1737</v>
      </c>
      <c r="V258" s="1"/>
      <c r="Z258"/>
      <c r="AA258"/>
    </row>
    <row r="259" spans="10:27" ht="16" x14ac:dyDescent="0.2">
      <c r="J259" s="1" t="s">
        <v>1329</v>
      </c>
      <c r="K259" s="3" t="s">
        <v>1424</v>
      </c>
      <c r="L259" s="4" t="s">
        <v>1538</v>
      </c>
      <c r="N259" s="1" t="s">
        <v>1248</v>
      </c>
      <c r="O259" s="6" t="s">
        <v>1502</v>
      </c>
      <c r="P259" s="6" t="s">
        <v>1740</v>
      </c>
      <c r="V259" s="1"/>
      <c r="Z259"/>
      <c r="AA259"/>
    </row>
    <row r="260" spans="10:27" ht="16" x14ac:dyDescent="0.2">
      <c r="J260" s="1" t="s">
        <v>1329</v>
      </c>
      <c r="K260" s="3" t="s">
        <v>1424</v>
      </c>
      <c r="L260" s="4" t="s">
        <v>1541</v>
      </c>
      <c r="N260" s="1" t="s">
        <v>1248</v>
      </c>
      <c r="O260" s="6" t="s">
        <v>1502</v>
      </c>
      <c r="P260" s="6" t="s">
        <v>1743</v>
      </c>
      <c r="V260" s="1"/>
      <c r="Z260"/>
      <c r="AA260"/>
    </row>
    <row r="261" spans="10:27" ht="16" x14ac:dyDescent="0.2">
      <c r="J261" s="1" t="s">
        <v>1329</v>
      </c>
      <c r="K261" s="3" t="s">
        <v>1424</v>
      </c>
      <c r="L261" s="4" t="s">
        <v>1544</v>
      </c>
      <c r="N261" s="1" t="s">
        <v>1248</v>
      </c>
      <c r="O261" s="6" t="s">
        <v>1502</v>
      </c>
      <c r="P261" s="6" t="s">
        <v>1746</v>
      </c>
      <c r="V261" s="1"/>
      <c r="Z261"/>
      <c r="AA261"/>
    </row>
    <row r="262" spans="10:27" ht="16" x14ac:dyDescent="0.2">
      <c r="J262" s="1" t="s">
        <v>1329</v>
      </c>
      <c r="K262" s="3" t="s">
        <v>1424</v>
      </c>
      <c r="L262" s="4" t="s">
        <v>1547</v>
      </c>
      <c r="N262" s="1" t="s">
        <v>1248</v>
      </c>
      <c r="O262" s="6" t="s">
        <v>1520</v>
      </c>
      <c r="P262" s="6" t="s">
        <v>1749</v>
      </c>
      <c r="V262" s="1"/>
      <c r="Z262"/>
      <c r="AA262"/>
    </row>
    <row r="263" spans="10:27" ht="16" x14ac:dyDescent="0.2">
      <c r="J263" s="1" t="s">
        <v>1329</v>
      </c>
      <c r="K263" s="3" t="s">
        <v>1424</v>
      </c>
      <c r="L263" s="4" t="s">
        <v>1550</v>
      </c>
      <c r="N263" s="1" t="s">
        <v>1248</v>
      </c>
      <c r="O263" s="6" t="s">
        <v>1520</v>
      </c>
      <c r="P263" s="6" t="s">
        <v>1752</v>
      </c>
      <c r="V263" s="1"/>
      <c r="Z263"/>
      <c r="AA263"/>
    </row>
    <row r="264" spans="10:27" ht="16" x14ac:dyDescent="0.2">
      <c r="J264" s="1" t="s">
        <v>1329</v>
      </c>
      <c r="K264" s="3" t="s">
        <v>170</v>
      </c>
      <c r="L264" s="4" t="s">
        <v>1491</v>
      </c>
      <c r="N264" s="1" t="s">
        <v>1248</v>
      </c>
      <c r="O264" s="6" t="s">
        <v>1520</v>
      </c>
      <c r="P264" s="6" t="s">
        <v>1755</v>
      </c>
      <c r="V264" s="1"/>
      <c r="Z264"/>
      <c r="AA264"/>
    </row>
    <row r="265" spans="10:27" ht="16" x14ac:dyDescent="0.2">
      <c r="J265" s="1" t="s">
        <v>1329</v>
      </c>
      <c r="K265" s="3" t="s">
        <v>170</v>
      </c>
      <c r="L265" s="4" t="s">
        <v>1494</v>
      </c>
      <c r="N265" s="1" t="s">
        <v>1248</v>
      </c>
      <c r="O265" s="6" t="s">
        <v>1520</v>
      </c>
      <c r="P265" s="6" t="s">
        <v>1758</v>
      </c>
      <c r="V265" s="1"/>
      <c r="Z265"/>
      <c r="AA265"/>
    </row>
    <row r="266" spans="10:27" ht="16" x14ac:dyDescent="0.2">
      <c r="J266" s="1" t="s">
        <v>1329</v>
      </c>
      <c r="K266" s="3" t="s">
        <v>170</v>
      </c>
      <c r="L266" s="4" t="s">
        <v>1497</v>
      </c>
      <c r="N266" s="1" t="s">
        <v>1248</v>
      </c>
      <c r="O266" s="6" t="s">
        <v>1520</v>
      </c>
      <c r="P266" s="6" t="s">
        <v>1761</v>
      </c>
      <c r="V266" s="1"/>
      <c r="Z266"/>
      <c r="AA266"/>
    </row>
    <row r="267" spans="10:27" ht="16" x14ac:dyDescent="0.2">
      <c r="J267" s="1" t="s">
        <v>1329</v>
      </c>
      <c r="K267" s="3" t="s">
        <v>170</v>
      </c>
      <c r="L267" s="4" t="s">
        <v>1500</v>
      </c>
      <c r="N267" s="1" t="s">
        <v>1248</v>
      </c>
      <c r="O267" s="6" t="s">
        <v>1512</v>
      </c>
      <c r="P267" s="6" t="s">
        <v>1764</v>
      </c>
      <c r="V267" s="1"/>
      <c r="Z267"/>
      <c r="AA267"/>
    </row>
    <row r="268" spans="10:27" ht="16" x14ac:dyDescent="0.2">
      <c r="J268" s="1" t="s">
        <v>1329</v>
      </c>
      <c r="K268" s="3" t="s">
        <v>170</v>
      </c>
      <c r="L268" s="4" t="s">
        <v>1503</v>
      </c>
      <c r="N268" s="1" t="s">
        <v>1248</v>
      </c>
      <c r="O268" s="6" t="s">
        <v>1512</v>
      </c>
      <c r="P268" s="6" t="s">
        <v>1767</v>
      </c>
      <c r="V268" s="1"/>
      <c r="Z268"/>
      <c r="AA268"/>
    </row>
    <row r="269" spans="10:27" ht="16" x14ac:dyDescent="0.2">
      <c r="J269" s="1" t="s">
        <v>1329</v>
      </c>
      <c r="K269" s="3" t="s">
        <v>170</v>
      </c>
      <c r="L269" s="4" t="s">
        <v>1506</v>
      </c>
      <c r="N269" s="1" t="s">
        <v>1248</v>
      </c>
      <c r="O269" s="6" t="s">
        <v>1512</v>
      </c>
      <c r="P269" s="6" t="s">
        <v>1770</v>
      </c>
      <c r="V269" s="1"/>
      <c r="Z269"/>
      <c r="AA269"/>
    </row>
    <row r="270" spans="10:27" ht="16" x14ac:dyDescent="0.2">
      <c r="J270" s="1" t="s">
        <v>1329</v>
      </c>
      <c r="K270" s="3" t="s">
        <v>170</v>
      </c>
      <c r="L270" s="4" t="s">
        <v>1553</v>
      </c>
      <c r="N270" s="1" t="s">
        <v>1248</v>
      </c>
      <c r="O270" s="6" t="s">
        <v>1512</v>
      </c>
      <c r="P270" s="6" t="s">
        <v>1773</v>
      </c>
      <c r="V270" s="1"/>
      <c r="Z270"/>
      <c r="AA270"/>
    </row>
    <row r="271" spans="10:27" ht="16" x14ac:dyDescent="0.2">
      <c r="J271" s="1" t="s">
        <v>1329</v>
      </c>
      <c r="K271" s="3" t="s">
        <v>170</v>
      </c>
      <c r="L271" s="4" t="s">
        <v>1510</v>
      </c>
      <c r="N271" s="1" t="s">
        <v>1248</v>
      </c>
      <c r="O271" s="6" t="s">
        <v>1512</v>
      </c>
      <c r="P271" s="6" t="s">
        <v>1776</v>
      </c>
      <c r="V271" s="1"/>
      <c r="Z271"/>
      <c r="AA271"/>
    </row>
    <row r="272" spans="10:27" ht="16" x14ac:dyDescent="0.2">
      <c r="J272" s="1" t="s">
        <v>1329</v>
      </c>
      <c r="K272" s="3" t="s">
        <v>170</v>
      </c>
      <c r="L272" s="4" t="s">
        <v>1513</v>
      </c>
      <c r="N272" s="1" t="s">
        <v>1248</v>
      </c>
      <c r="O272" s="6" t="s">
        <v>1512</v>
      </c>
      <c r="P272" s="6" t="s">
        <v>1779</v>
      </c>
      <c r="V272" s="1"/>
      <c r="Z272"/>
      <c r="AA272"/>
    </row>
    <row r="273" spans="10:27" ht="16" x14ac:dyDescent="0.2">
      <c r="J273" s="1" t="s">
        <v>1329</v>
      </c>
      <c r="K273" s="3" t="s">
        <v>170</v>
      </c>
      <c r="L273" s="4" t="s">
        <v>1517</v>
      </c>
      <c r="N273" s="1" t="s">
        <v>1248</v>
      </c>
      <c r="O273" s="6" t="s">
        <v>1512</v>
      </c>
      <c r="P273" s="6" t="s">
        <v>1782</v>
      </c>
      <c r="V273" s="1"/>
      <c r="Z273"/>
      <c r="AA273"/>
    </row>
    <row r="274" spans="10:27" ht="16" x14ac:dyDescent="0.2">
      <c r="J274" s="1" t="s">
        <v>1329</v>
      </c>
      <c r="K274" s="3" t="s">
        <v>170</v>
      </c>
      <c r="L274" s="4" t="s">
        <v>1521</v>
      </c>
      <c r="N274" s="1" t="s">
        <v>1248</v>
      </c>
      <c r="O274" s="6" t="s">
        <v>1512</v>
      </c>
      <c r="P274" s="6" t="s">
        <v>1785</v>
      </c>
      <c r="V274" s="1"/>
      <c r="Z274"/>
      <c r="AA274"/>
    </row>
    <row r="275" spans="10:27" ht="16" x14ac:dyDescent="0.2">
      <c r="J275" s="1" t="s">
        <v>1329</v>
      </c>
      <c r="K275" s="3" t="s">
        <v>170</v>
      </c>
      <c r="L275" s="4" t="s">
        <v>210</v>
      </c>
      <c r="N275" s="1" t="s">
        <v>1248</v>
      </c>
      <c r="O275" s="6" t="s">
        <v>1512</v>
      </c>
      <c r="P275" s="6" t="s">
        <v>1788</v>
      </c>
      <c r="V275" s="1"/>
      <c r="Z275"/>
      <c r="AA275"/>
    </row>
    <row r="276" spans="10:27" ht="16" x14ac:dyDescent="0.2">
      <c r="J276" s="1" t="s">
        <v>1329</v>
      </c>
      <c r="K276" s="3" t="s">
        <v>170</v>
      </c>
      <c r="L276" s="4" t="s">
        <v>1525</v>
      </c>
      <c r="N276" s="1" t="s">
        <v>1248</v>
      </c>
      <c r="O276" s="6" t="s">
        <v>1512</v>
      </c>
      <c r="P276" s="6" t="s">
        <v>1791</v>
      </c>
      <c r="V276" s="1"/>
      <c r="Z276"/>
      <c r="AA276"/>
    </row>
    <row r="277" spans="10:27" ht="16" x14ac:dyDescent="0.2">
      <c r="J277" s="1" t="s">
        <v>1329</v>
      </c>
      <c r="K277" s="3" t="s">
        <v>170</v>
      </c>
      <c r="L277" s="4" t="s">
        <v>1556</v>
      </c>
      <c r="N277" s="1" t="s">
        <v>1248</v>
      </c>
      <c r="O277" s="6" t="s">
        <v>1512</v>
      </c>
      <c r="P277" s="6" t="s">
        <v>1794</v>
      </c>
      <c r="V277" s="1"/>
      <c r="Z277"/>
      <c r="AA277"/>
    </row>
    <row r="278" spans="10:27" ht="16" x14ac:dyDescent="0.2">
      <c r="J278" s="1" t="s">
        <v>1329</v>
      </c>
      <c r="K278" s="3" t="s">
        <v>170</v>
      </c>
      <c r="L278" s="4" t="s">
        <v>170</v>
      </c>
      <c r="N278" s="1" t="s">
        <v>1248</v>
      </c>
      <c r="O278" s="6" t="s">
        <v>1509</v>
      </c>
      <c r="P278" s="6" t="s">
        <v>1797</v>
      </c>
      <c r="V278" s="1"/>
      <c r="Z278"/>
      <c r="AA278"/>
    </row>
    <row r="279" spans="10:27" ht="16" x14ac:dyDescent="0.2">
      <c r="J279" s="1" t="s">
        <v>1329</v>
      </c>
      <c r="K279" s="3" t="s">
        <v>170</v>
      </c>
      <c r="L279" s="4" t="s">
        <v>142</v>
      </c>
      <c r="N279" s="1" t="s">
        <v>1248</v>
      </c>
      <c r="O279" s="6" t="s">
        <v>1509</v>
      </c>
      <c r="P279" s="6" t="s">
        <v>1800</v>
      </c>
      <c r="V279" s="1"/>
      <c r="Z279"/>
      <c r="AA279"/>
    </row>
    <row r="280" spans="10:27" ht="16" x14ac:dyDescent="0.2">
      <c r="J280" s="1" t="s">
        <v>1329</v>
      </c>
      <c r="K280" s="3" t="s">
        <v>170</v>
      </c>
      <c r="L280" s="4" t="s">
        <v>1529</v>
      </c>
      <c r="N280" s="1" t="s">
        <v>1248</v>
      </c>
      <c r="O280" s="6" t="s">
        <v>1509</v>
      </c>
      <c r="P280" s="6" t="s">
        <v>1803</v>
      </c>
      <c r="V280" s="1"/>
      <c r="Z280"/>
      <c r="AA280"/>
    </row>
    <row r="281" spans="10:27" ht="16" x14ac:dyDescent="0.2">
      <c r="J281" s="1" t="s">
        <v>1329</v>
      </c>
      <c r="K281" s="3" t="s">
        <v>170</v>
      </c>
      <c r="L281" s="4" t="s">
        <v>1532</v>
      </c>
      <c r="N281" s="1" t="s">
        <v>1248</v>
      </c>
      <c r="O281" s="6" t="s">
        <v>1509</v>
      </c>
      <c r="P281" s="6" t="s">
        <v>1806</v>
      </c>
      <c r="V281" s="1"/>
      <c r="Z281"/>
      <c r="AA281"/>
    </row>
    <row r="282" spans="10:27" ht="16" x14ac:dyDescent="0.2">
      <c r="J282" s="1" t="s">
        <v>1329</v>
      </c>
      <c r="K282" s="3" t="s">
        <v>170</v>
      </c>
      <c r="L282" s="4" t="s">
        <v>1535</v>
      </c>
      <c r="N282" s="1" t="s">
        <v>1248</v>
      </c>
      <c r="O282" s="6" t="s">
        <v>1509</v>
      </c>
      <c r="P282" s="6" t="s">
        <v>1809</v>
      </c>
      <c r="V282" s="1"/>
      <c r="Z282"/>
      <c r="AA282"/>
    </row>
    <row r="283" spans="10:27" ht="16" x14ac:dyDescent="0.2">
      <c r="J283" s="1" t="s">
        <v>1329</v>
      </c>
      <c r="K283" s="3" t="s">
        <v>170</v>
      </c>
      <c r="L283" s="4" t="s">
        <v>1538</v>
      </c>
      <c r="N283" s="1" t="s">
        <v>1248</v>
      </c>
      <c r="O283" s="6" t="s">
        <v>1505</v>
      </c>
      <c r="P283" s="6" t="s">
        <v>1812</v>
      </c>
      <c r="V283" s="1"/>
      <c r="Z283"/>
      <c r="AA283"/>
    </row>
    <row r="284" spans="10:27" ht="16" x14ac:dyDescent="0.2">
      <c r="J284" s="1" t="s">
        <v>1329</v>
      </c>
      <c r="K284" s="3" t="s">
        <v>170</v>
      </c>
      <c r="L284" s="4" t="s">
        <v>1541</v>
      </c>
      <c r="N284" s="1" t="s">
        <v>1248</v>
      </c>
      <c r="O284" s="6" t="s">
        <v>141</v>
      </c>
      <c r="P284" s="6" t="s">
        <v>1815</v>
      </c>
      <c r="V284" s="1"/>
      <c r="Z284"/>
      <c r="AA284"/>
    </row>
    <row r="285" spans="10:27" ht="16" x14ac:dyDescent="0.2">
      <c r="J285" s="1" t="s">
        <v>1329</v>
      </c>
      <c r="K285" s="3" t="s">
        <v>170</v>
      </c>
      <c r="L285" s="4" t="s">
        <v>1544</v>
      </c>
      <c r="N285" s="1" t="s">
        <v>1248</v>
      </c>
      <c r="O285" s="6" t="s">
        <v>141</v>
      </c>
      <c r="P285" s="6" t="s">
        <v>1818</v>
      </c>
      <c r="V285" s="1"/>
      <c r="Z285"/>
      <c r="AA285"/>
    </row>
    <row r="286" spans="10:27" ht="16" x14ac:dyDescent="0.2">
      <c r="J286" s="1" t="s">
        <v>1329</v>
      </c>
      <c r="K286" s="3" t="s">
        <v>170</v>
      </c>
      <c r="L286" s="4" t="s">
        <v>1547</v>
      </c>
      <c r="N286" s="1" t="s">
        <v>1248</v>
      </c>
      <c r="O286" s="6" t="s">
        <v>141</v>
      </c>
      <c r="P286" s="6" t="s">
        <v>1821</v>
      </c>
      <c r="V286" s="1"/>
      <c r="Z286"/>
      <c r="AA286"/>
    </row>
    <row r="287" spans="10:27" ht="16" x14ac:dyDescent="0.2">
      <c r="J287" s="1" t="s">
        <v>1329</v>
      </c>
      <c r="K287" s="3" t="s">
        <v>170</v>
      </c>
      <c r="L287" s="4" t="s">
        <v>1550</v>
      </c>
      <c r="N287" s="1" t="s">
        <v>1248</v>
      </c>
      <c r="O287" s="6" t="s">
        <v>141</v>
      </c>
      <c r="P287" s="6" t="s">
        <v>1824</v>
      </c>
      <c r="V287" s="1"/>
      <c r="Z287"/>
      <c r="AA287"/>
    </row>
    <row r="288" spans="10:27" ht="16" x14ac:dyDescent="0.2">
      <c r="J288" s="1" t="s">
        <v>1329</v>
      </c>
      <c r="K288" s="3" t="s">
        <v>1469</v>
      </c>
      <c r="L288" s="4" t="s">
        <v>1559</v>
      </c>
      <c r="N288" s="1" t="s">
        <v>1248</v>
      </c>
      <c r="O288" s="6" t="s">
        <v>141</v>
      </c>
      <c r="P288" s="6" t="s">
        <v>1827</v>
      </c>
      <c r="V288" s="1"/>
      <c r="Z288"/>
      <c r="AA288"/>
    </row>
    <row r="289" spans="7:27" ht="16" x14ac:dyDescent="0.2">
      <c r="J289" s="1" t="s">
        <v>1329</v>
      </c>
      <c r="K289" s="3" t="s">
        <v>1469</v>
      </c>
      <c r="L289" s="4" t="s">
        <v>1491</v>
      </c>
      <c r="N289" s="1" t="s">
        <v>1248</v>
      </c>
      <c r="O289" s="6" t="s">
        <v>141</v>
      </c>
      <c r="P289" s="6" t="s">
        <v>1830</v>
      </c>
      <c r="V289" s="1"/>
      <c r="Z289"/>
      <c r="AA289"/>
    </row>
    <row r="290" spans="7:27" ht="16" x14ac:dyDescent="0.2">
      <c r="J290" s="1" t="s">
        <v>1329</v>
      </c>
      <c r="K290" s="3" t="s">
        <v>1469</v>
      </c>
      <c r="L290" s="4" t="s">
        <v>1494</v>
      </c>
      <c r="N290" s="1" t="s">
        <v>1248</v>
      </c>
      <c r="O290" s="6" t="s">
        <v>141</v>
      </c>
      <c r="P290" s="6" t="s">
        <v>1833</v>
      </c>
      <c r="V290" s="1"/>
      <c r="Z290"/>
      <c r="AA290"/>
    </row>
    <row r="291" spans="7:27" ht="16" x14ac:dyDescent="0.2">
      <c r="J291" s="1" t="s">
        <v>1329</v>
      </c>
      <c r="K291" s="3" t="s">
        <v>1469</v>
      </c>
      <c r="L291" s="4" t="s">
        <v>1497</v>
      </c>
      <c r="N291" s="1" t="s">
        <v>1248</v>
      </c>
      <c r="O291" s="6" t="s">
        <v>141</v>
      </c>
      <c r="P291" s="6" t="s">
        <v>1836</v>
      </c>
      <c r="V291" s="1"/>
      <c r="Z291"/>
      <c r="AA291"/>
    </row>
    <row r="292" spans="7:27" ht="16" x14ac:dyDescent="0.2">
      <c r="J292" s="1" t="s">
        <v>1329</v>
      </c>
      <c r="K292" s="3" t="s">
        <v>1469</v>
      </c>
      <c r="L292" s="4" t="s">
        <v>1500</v>
      </c>
      <c r="N292" s="1" t="s">
        <v>1248</v>
      </c>
      <c r="O292" s="6" t="s">
        <v>170</v>
      </c>
      <c r="P292" s="6" t="s">
        <v>1839</v>
      </c>
      <c r="V292" s="1"/>
      <c r="Z292"/>
      <c r="AA292"/>
    </row>
    <row r="293" spans="7:27" ht="16" x14ac:dyDescent="0.2">
      <c r="J293" s="1" t="s">
        <v>1329</v>
      </c>
      <c r="K293" s="3" t="s">
        <v>1469</v>
      </c>
      <c r="L293" s="4" t="s">
        <v>1503</v>
      </c>
      <c r="N293" s="1" t="s">
        <v>1248</v>
      </c>
      <c r="O293" s="6" t="s">
        <v>170</v>
      </c>
      <c r="P293" s="6" t="s">
        <v>1842</v>
      </c>
      <c r="V293" s="1"/>
      <c r="Z293"/>
      <c r="AA293"/>
    </row>
    <row r="294" spans="7:27" ht="16" x14ac:dyDescent="0.2">
      <c r="J294" s="1" t="s">
        <v>1329</v>
      </c>
      <c r="K294" s="3" t="s">
        <v>1469</v>
      </c>
      <c r="L294" s="4" t="s">
        <v>1506</v>
      </c>
      <c r="N294" s="1" t="s">
        <v>1248</v>
      </c>
      <c r="O294" s="6" t="s">
        <v>170</v>
      </c>
      <c r="P294" s="6" t="s">
        <v>1845</v>
      </c>
      <c r="V294" s="1"/>
      <c r="Z294"/>
      <c r="AA294"/>
    </row>
    <row r="295" spans="7:27" ht="16" x14ac:dyDescent="0.2">
      <c r="J295" s="1" t="s">
        <v>1329</v>
      </c>
      <c r="K295" s="3" t="s">
        <v>1469</v>
      </c>
      <c r="L295" s="4" t="s">
        <v>1553</v>
      </c>
      <c r="N295" s="1" t="s">
        <v>1248</v>
      </c>
      <c r="O295" s="6" t="s">
        <v>170</v>
      </c>
      <c r="P295" s="6" t="s">
        <v>1848</v>
      </c>
      <c r="V295" s="1"/>
      <c r="Z295"/>
      <c r="AA295"/>
    </row>
    <row r="296" spans="7:27" ht="16" x14ac:dyDescent="0.2">
      <c r="J296" s="1" t="s">
        <v>1329</v>
      </c>
      <c r="K296" s="3" t="s">
        <v>1469</v>
      </c>
      <c r="L296" s="4" t="s">
        <v>1510</v>
      </c>
      <c r="N296" s="1" t="s">
        <v>1248</v>
      </c>
      <c r="O296" s="6" t="s">
        <v>170</v>
      </c>
      <c r="P296" s="6" t="s">
        <v>1851</v>
      </c>
      <c r="V296" s="1"/>
      <c r="Z296"/>
      <c r="AA296"/>
    </row>
    <row r="297" spans="7:27" ht="16" x14ac:dyDescent="0.2">
      <c r="J297" s="1" t="s">
        <v>1329</v>
      </c>
      <c r="K297" s="3" t="s">
        <v>1469</v>
      </c>
      <c r="L297" s="4" t="s">
        <v>1513</v>
      </c>
      <c r="N297" s="1" t="s">
        <v>1248</v>
      </c>
      <c r="O297" s="6" t="s">
        <v>170</v>
      </c>
      <c r="P297" s="6" t="s">
        <v>1854</v>
      </c>
      <c r="V297" s="1"/>
      <c r="Z297"/>
      <c r="AA297"/>
    </row>
    <row r="298" spans="7:27" ht="16" x14ac:dyDescent="0.2">
      <c r="J298" s="1" t="s">
        <v>1329</v>
      </c>
      <c r="K298" s="3" t="s">
        <v>1469</v>
      </c>
      <c r="L298" s="4" t="s">
        <v>1517</v>
      </c>
      <c r="N298" s="1" t="s">
        <v>1248</v>
      </c>
      <c r="O298" s="6" t="s">
        <v>170</v>
      </c>
      <c r="P298" s="6" t="s">
        <v>1857</v>
      </c>
      <c r="V298" s="1"/>
      <c r="Z298"/>
      <c r="AA298"/>
    </row>
    <row r="299" spans="7:27" ht="16" x14ac:dyDescent="0.2">
      <c r="G299" s="1" t="e">
        <f ca="1">OFFSET('Dropdown Data'!$L$6,MATCH(1,('Dropdown Data'!$J$7:$J$322=PAAR!$B$10)*('Dropdown Data'!$K$7:$K$322=PAAR!$B$14:$F$14),0),0,COUNTIFS($J$7:$J$322,PAAR!$B$10,'Dropdown Data'!$K$7:$K$322,PAAR!$B$14),1)</f>
        <v>#VALUE!</v>
      </c>
      <c r="J299" s="1" t="s">
        <v>1329</v>
      </c>
      <c r="K299" s="3" t="s">
        <v>1469</v>
      </c>
      <c r="L299" s="4" t="s">
        <v>1521</v>
      </c>
      <c r="N299" s="1" t="s">
        <v>1248</v>
      </c>
      <c r="O299" s="6" t="s">
        <v>170</v>
      </c>
      <c r="P299" s="6" t="s">
        <v>1860</v>
      </c>
      <c r="V299" s="1"/>
      <c r="Z299"/>
      <c r="AA299"/>
    </row>
    <row r="300" spans="7:27" ht="16" x14ac:dyDescent="0.2">
      <c r="J300" s="1" t="s">
        <v>1329</v>
      </c>
      <c r="K300" s="3" t="s">
        <v>1469</v>
      </c>
      <c r="L300" s="4" t="s">
        <v>210</v>
      </c>
      <c r="N300" s="1" t="s">
        <v>1248</v>
      </c>
      <c r="O300" s="6" t="s">
        <v>1524</v>
      </c>
      <c r="P300" s="6" t="s">
        <v>1863</v>
      </c>
      <c r="V300" s="1"/>
      <c r="Z300"/>
      <c r="AA300"/>
    </row>
    <row r="301" spans="7:27" ht="16" x14ac:dyDescent="0.2">
      <c r="J301" s="1" t="s">
        <v>1329</v>
      </c>
      <c r="K301" s="3" t="s">
        <v>1469</v>
      </c>
      <c r="L301" s="4" t="s">
        <v>1525</v>
      </c>
      <c r="N301" s="1" t="s">
        <v>1248</v>
      </c>
      <c r="O301" s="6" t="s">
        <v>1524</v>
      </c>
      <c r="P301" s="6" t="s">
        <v>1866</v>
      </c>
      <c r="V301" s="1"/>
      <c r="Z301"/>
      <c r="AA301"/>
    </row>
    <row r="302" spans="7:27" ht="16" x14ac:dyDescent="0.2">
      <c r="J302" s="1" t="s">
        <v>1329</v>
      </c>
      <c r="K302" s="3" t="s">
        <v>1469</v>
      </c>
      <c r="L302" s="4" t="s">
        <v>1562</v>
      </c>
      <c r="N302" s="1" t="s">
        <v>1248</v>
      </c>
      <c r="O302" s="6" t="s">
        <v>1524</v>
      </c>
      <c r="P302" s="6" t="s">
        <v>1869</v>
      </c>
      <c r="V302" s="1"/>
      <c r="Z302"/>
      <c r="AA302"/>
    </row>
    <row r="303" spans="7:27" ht="16" x14ac:dyDescent="0.2">
      <c r="J303" s="1" t="s">
        <v>1329</v>
      </c>
      <c r="K303" s="3" t="s">
        <v>1469</v>
      </c>
      <c r="L303" s="4" t="s">
        <v>1556</v>
      </c>
      <c r="N303" s="1" t="s">
        <v>1248</v>
      </c>
      <c r="O303" s="6" t="s">
        <v>1524</v>
      </c>
      <c r="P303" s="6" t="s">
        <v>1872</v>
      </c>
      <c r="V303" s="1"/>
      <c r="Z303"/>
      <c r="AA303"/>
    </row>
    <row r="304" spans="7:27" ht="16" x14ac:dyDescent="0.2">
      <c r="J304" s="1" t="s">
        <v>1329</v>
      </c>
      <c r="K304" s="3" t="s">
        <v>1469</v>
      </c>
      <c r="L304" s="4" t="s">
        <v>170</v>
      </c>
      <c r="N304" s="1" t="s">
        <v>1248</v>
      </c>
      <c r="O304" s="6" t="s">
        <v>1524</v>
      </c>
      <c r="P304" s="6" t="s">
        <v>1875</v>
      </c>
      <c r="V304" s="1"/>
      <c r="Z304"/>
      <c r="AA304"/>
    </row>
    <row r="305" spans="10:27" ht="16" x14ac:dyDescent="0.2">
      <c r="J305" s="1" t="s">
        <v>1329</v>
      </c>
      <c r="K305" s="3" t="s">
        <v>1469</v>
      </c>
      <c r="L305" s="4" t="s">
        <v>142</v>
      </c>
      <c r="N305" s="1" t="s">
        <v>1248</v>
      </c>
      <c r="O305" s="6" t="s">
        <v>1524</v>
      </c>
      <c r="P305" s="6" t="s">
        <v>1878</v>
      </c>
      <c r="V305" s="1"/>
      <c r="Z305"/>
      <c r="AA305"/>
    </row>
    <row r="306" spans="10:27" ht="16" x14ac:dyDescent="0.2">
      <c r="J306" s="1" t="s">
        <v>1329</v>
      </c>
      <c r="K306" s="3" t="s">
        <v>1469</v>
      </c>
      <c r="L306" s="4" t="s">
        <v>1565</v>
      </c>
      <c r="N306" s="1" t="s">
        <v>1248</v>
      </c>
      <c r="O306" s="6" t="s">
        <v>1524</v>
      </c>
      <c r="P306" s="6" t="s">
        <v>1880</v>
      </c>
      <c r="V306" s="1"/>
      <c r="Z306"/>
      <c r="AA306"/>
    </row>
    <row r="307" spans="10:27" ht="16" x14ac:dyDescent="0.2">
      <c r="J307" s="1" t="s">
        <v>1329</v>
      </c>
      <c r="K307" s="3" t="s">
        <v>1469</v>
      </c>
      <c r="L307" s="4" t="s">
        <v>1529</v>
      </c>
      <c r="N307" s="1" t="s">
        <v>1248</v>
      </c>
      <c r="O307" s="6" t="s">
        <v>1524</v>
      </c>
      <c r="P307" s="6" t="s">
        <v>1883</v>
      </c>
      <c r="V307" s="1"/>
      <c r="Z307"/>
      <c r="AA307"/>
    </row>
    <row r="308" spans="10:27" ht="16" x14ac:dyDescent="0.2">
      <c r="J308" s="1" t="s">
        <v>1329</v>
      </c>
      <c r="K308" s="3" t="s">
        <v>1469</v>
      </c>
      <c r="L308" s="4" t="s">
        <v>1532</v>
      </c>
      <c r="N308" s="1" t="s">
        <v>1248</v>
      </c>
      <c r="O308" s="6" t="s">
        <v>209</v>
      </c>
      <c r="P308" s="6" t="s">
        <v>1886</v>
      </c>
      <c r="V308" s="1"/>
      <c r="Z308"/>
      <c r="AA308"/>
    </row>
    <row r="309" spans="10:27" ht="16" x14ac:dyDescent="0.2">
      <c r="J309" s="1" t="s">
        <v>1329</v>
      </c>
      <c r="K309" s="3" t="s">
        <v>1469</v>
      </c>
      <c r="L309" s="4" t="s">
        <v>1535</v>
      </c>
      <c r="N309" s="1" t="s">
        <v>1248</v>
      </c>
      <c r="O309" s="6" t="s">
        <v>209</v>
      </c>
      <c r="P309" s="6" t="s">
        <v>798</v>
      </c>
      <c r="V309" s="1"/>
      <c r="Z309"/>
      <c r="AA309"/>
    </row>
    <row r="310" spans="10:27" ht="16" x14ac:dyDescent="0.2">
      <c r="J310" s="1" t="s">
        <v>1329</v>
      </c>
      <c r="K310" s="3" t="s">
        <v>1469</v>
      </c>
      <c r="L310" s="4" t="s">
        <v>1538</v>
      </c>
      <c r="N310" s="1" t="s">
        <v>1248</v>
      </c>
      <c r="O310" s="6" t="s">
        <v>209</v>
      </c>
      <c r="P310" s="6" t="s">
        <v>1889</v>
      </c>
      <c r="V310" s="1"/>
      <c r="Z310"/>
      <c r="AA310"/>
    </row>
    <row r="311" spans="10:27" ht="16" x14ac:dyDescent="0.2">
      <c r="J311" s="1" t="s">
        <v>1329</v>
      </c>
      <c r="K311" s="3" t="s">
        <v>1469</v>
      </c>
      <c r="L311" s="4" t="s">
        <v>1541</v>
      </c>
      <c r="N311" s="1" t="s">
        <v>1248</v>
      </c>
      <c r="O311" s="6" t="s">
        <v>1555</v>
      </c>
      <c r="P311" s="6" t="s">
        <v>1892</v>
      </c>
      <c r="V311" s="1"/>
      <c r="Z311"/>
      <c r="AA311"/>
    </row>
    <row r="312" spans="10:27" ht="16" x14ac:dyDescent="0.2">
      <c r="J312" s="1" t="s">
        <v>1329</v>
      </c>
      <c r="K312" s="3" t="s">
        <v>1469</v>
      </c>
      <c r="L312" s="4" t="s">
        <v>1544</v>
      </c>
      <c r="N312" s="1" t="s">
        <v>1248</v>
      </c>
      <c r="O312" s="6" t="s">
        <v>1555</v>
      </c>
      <c r="P312" s="6" t="s">
        <v>1895</v>
      </c>
      <c r="V312" s="1"/>
      <c r="Z312"/>
      <c r="AA312"/>
    </row>
    <row r="313" spans="10:27" ht="16" x14ac:dyDescent="0.2">
      <c r="J313" s="1" t="s">
        <v>1329</v>
      </c>
      <c r="K313" s="3" t="s">
        <v>1469</v>
      </c>
      <c r="L313" s="4" t="s">
        <v>1547</v>
      </c>
      <c r="N313" s="1" t="s">
        <v>1248</v>
      </c>
      <c r="O313" s="6" t="s">
        <v>1555</v>
      </c>
      <c r="P313" s="6" t="s">
        <v>1898</v>
      </c>
      <c r="V313" s="1"/>
      <c r="Z313"/>
      <c r="AA313"/>
    </row>
    <row r="314" spans="10:27" ht="16" x14ac:dyDescent="0.2">
      <c r="J314" s="1" t="s">
        <v>1329</v>
      </c>
      <c r="K314" s="3" t="s">
        <v>1469</v>
      </c>
      <c r="L314" s="4" t="s">
        <v>1550</v>
      </c>
      <c r="N314" s="1" t="s">
        <v>1248</v>
      </c>
      <c r="O314" s="6" t="s">
        <v>1555</v>
      </c>
      <c r="P314" s="6" t="s">
        <v>1901</v>
      </c>
      <c r="V314" s="1"/>
      <c r="Z314"/>
      <c r="AA314"/>
    </row>
    <row r="315" spans="10:27" ht="16" x14ac:dyDescent="0.2">
      <c r="J315" s="1" t="s">
        <v>1329</v>
      </c>
      <c r="K315" s="3" t="s">
        <v>1464</v>
      </c>
      <c r="L315" s="4" t="s">
        <v>1529</v>
      </c>
      <c r="N315" s="1" t="s">
        <v>1248</v>
      </c>
      <c r="O315" s="6" t="s">
        <v>1555</v>
      </c>
      <c r="P315" s="6" t="s">
        <v>1904</v>
      </c>
      <c r="V315" s="1"/>
      <c r="Z315"/>
      <c r="AA315"/>
    </row>
    <row r="316" spans="10:27" ht="16" x14ac:dyDescent="0.2">
      <c r="J316" s="1" t="s">
        <v>1329</v>
      </c>
      <c r="K316" s="3" t="s">
        <v>1464</v>
      </c>
      <c r="L316" s="4" t="s">
        <v>1532</v>
      </c>
      <c r="N316" s="1" t="s">
        <v>1248</v>
      </c>
      <c r="O316" s="6" t="s">
        <v>1555</v>
      </c>
      <c r="P316" s="6" t="s">
        <v>1907</v>
      </c>
      <c r="V316" s="1"/>
      <c r="Z316"/>
      <c r="AA316"/>
    </row>
    <row r="317" spans="10:27" ht="16" x14ac:dyDescent="0.2">
      <c r="J317" s="1" t="s">
        <v>1329</v>
      </c>
      <c r="K317" s="3" t="s">
        <v>1464</v>
      </c>
      <c r="L317" s="4" t="s">
        <v>1535</v>
      </c>
      <c r="N317" s="1" t="s">
        <v>1248</v>
      </c>
      <c r="O317" s="6" t="s">
        <v>1555</v>
      </c>
      <c r="P317" s="6" t="s">
        <v>1910</v>
      </c>
      <c r="V317" s="1"/>
      <c r="Z317"/>
      <c r="AA317"/>
    </row>
    <row r="318" spans="10:27" ht="16" x14ac:dyDescent="0.2">
      <c r="J318" s="1" t="s">
        <v>1329</v>
      </c>
      <c r="K318" s="3" t="s">
        <v>1464</v>
      </c>
      <c r="L318" s="4" t="s">
        <v>1538</v>
      </c>
      <c r="N318" s="1" t="s">
        <v>1248</v>
      </c>
      <c r="O318" s="6" t="s">
        <v>1555</v>
      </c>
      <c r="P318" s="6" t="s">
        <v>1913</v>
      </c>
      <c r="V318" s="1"/>
      <c r="Z318"/>
      <c r="AA318"/>
    </row>
    <row r="319" spans="10:27" ht="16" x14ac:dyDescent="0.2">
      <c r="J319" s="1" t="s">
        <v>1329</v>
      </c>
      <c r="K319" s="3" t="s">
        <v>1464</v>
      </c>
      <c r="L319" s="4" t="s">
        <v>1541</v>
      </c>
      <c r="N319" s="1" t="s">
        <v>1248</v>
      </c>
      <c r="O319" s="6" t="s">
        <v>1555</v>
      </c>
      <c r="P319" s="6" t="s">
        <v>1916</v>
      </c>
      <c r="V319" s="1"/>
      <c r="Z319"/>
      <c r="AA319"/>
    </row>
    <row r="320" spans="10:27" ht="16" x14ac:dyDescent="0.2">
      <c r="J320" s="1" t="s">
        <v>1329</v>
      </c>
      <c r="K320" s="3" t="s">
        <v>1464</v>
      </c>
      <c r="L320" s="4" t="s">
        <v>1544</v>
      </c>
      <c r="N320" s="1" t="s">
        <v>1248</v>
      </c>
      <c r="O320" s="6" t="s">
        <v>1555</v>
      </c>
      <c r="P320" s="6" t="s">
        <v>1919</v>
      </c>
      <c r="V320" s="1"/>
      <c r="Z320"/>
      <c r="AA320"/>
    </row>
    <row r="321" spans="10:27" ht="16" x14ac:dyDescent="0.2">
      <c r="J321" s="1" t="s">
        <v>1329</v>
      </c>
      <c r="K321" s="3" t="s">
        <v>1464</v>
      </c>
      <c r="L321" s="4" t="s">
        <v>1547</v>
      </c>
      <c r="N321" s="1" t="s">
        <v>1248</v>
      </c>
      <c r="O321" s="6" t="s">
        <v>1552</v>
      </c>
      <c r="P321" s="6" t="s">
        <v>1922</v>
      </c>
      <c r="V321" s="1"/>
      <c r="Z321"/>
      <c r="AA321"/>
    </row>
    <row r="322" spans="10:27" ht="16" x14ac:dyDescent="0.2">
      <c r="J322" s="1" t="s">
        <v>1329</v>
      </c>
      <c r="K322" s="3" t="s">
        <v>1464</v>
      </c>
      <c r="L322" s="4" t="s">
        <v>1550</v>
      </c>
      <c r="N322" s="1" t="s">
        <v>1248</v>
      </c>
      <c r="O322" s="6" t="s">
        <v>1552</v>
      </c>
      <c r="P322" s="6" t="s">
        <v>1925</v>
      </c>
      <c r="V322" s="1"/>
      <c r="Z322"/>
      <c r="AA322"/>
    </row>
    <row r="323" spans="10:27" ht="16" x14ac:dyDescent="0.2">
      <c r="N323" s="1" t="s">
        <v>1248</v>
      </c>
      <c r="O323" s="6" t="s">
        <v>1552</v>
      </c>
      <c r="P323" s="6" t="s">
        <v>1928</v>
      </c>
      <c r="V323" s="1"/>
      <c r="Z323"/>
      <c r="AA323"/>
    </row>
    <row r="324" spans="10:27" ht="16" x14ac:dyDescent="0.2">
      <c r="N324" s="1" t="s">
        <v>1248</v>
      </c>
      <c r="O324" s="6" t="s">
        <v>1552</v>
      </c>
      <c r="P324" s="6" t="s">
        <v>1931</v>
      </c>
      <c r="V324" s="1"/>
      <c r="Z324"/>
      <c r="AA324"/>
    </row>
    <row r="325" spans="10:27" ht="16" x14ac:dyDescent="0.2">
      <c r="N325" s="1" t="s">
        <v>1248</v>
      </c>
      <c r="O325" s="6" t="s">
        <v>1552</v>
      </c>
      <c r="P325" s="6" t="s">
        <v>1934</v>
      </c>
      <c r="V325" s="1"/>
      <c r="Z325"/>
      <c r="AA325"/>
    </row>
    <row r="326" spans="10:27" ht="16" x14ac:dyDescent="0.2">
      <c r="N326" s="1" t="s">
        <v>1248</v>
      </c>
      <c r="O326" s="6" t="s">
        <v>1552</v>
      </c>
      <c r="P326" s="6" t="s">
        <v>1937</v>
      </c>
      <c r="V326" s="1"/>
      <c r="Z326"/>
      <c r="AA326"/>
    </row>
    <row r="327" spans="10:27" ht="16" x14ac:dyDescent="0.2">
      <c r="N327" s="1" t="s">
        <v>1248</v>
      </c>
      <c r="O327" s="6" t="s">
        <v>1552</v>
      </c>
      <c r="P327" s="6" t="s">
        <v>1940</v>
      </c>
      <c r="V327" s="1"/>
      <c r="Z327"/>
      <c r="AA327"/>
    </row>
    <row r="328" spans="10:27" ht="16" x14ac:dyDescent="0.2">
      <c r="N328" s="1" t="s">
        <v>1248</v>
      </c>
      <c r="O328" s="6" t="s">
        <v>1552</v>
      </c>
      <c r="P328" s="6" t="s">
        <v>1943</v>
      </c>
      <c r="V328" s="1"/>
      <c r="Z328"/>
      <c r="AA328"/>
    </row>
    <row r="329" spans="10:27" ht="16" x14ac:dyDescent="0.2">
      <c r="N329" s="1" t="s">
        <v>1248</v>
      </c>
      <c r="O329" s="6" t="s">
        <v>1552</v>
      </c>
      <c r="P329" s="6" t="s">
        <v>1946</v>
      </c>
      <c r="V329" s="1"/>
      <c r="Z329"/>
      <c r="AA329"/>
    </row>
    <row r="330" spans="10:27" ht="16" x14ac:dyDescent="0.2">
      <c r="N330" s="1" t="s">
        <v>1248</v>
      </c>
      <c r="O330" s="6" t="s">
        <v>1552</v>
      </c>
      <c r="P330" s="6" t="s">
        <v>1949</v>
      </c>
      <c r="V330" s="1"/>
      <c r="Z330"/>
      <c r="AA330"/>
    </row>
    <row r="331" spans="10:27" ht="16" x14ac:dyDescent="0.2">
      <c r="N331" s="1" t="s">
        <v>1248</v>
      </c>
      <c r="O331" s="6" t="s">
        <v>1564</v>
      </c>
      <c r="P331" s="6" t="s">
        <v>1952</v>
      </c>
      <c r="V331" s="1"/>
      <c r="Z331"/>
      <c r="AA331"/>
    </row>
    <row r="332" spans="10:27" ht="16" x14ac:dyDescent="0.2">
      <c r="N332" s="1" t="s">
        <v>1248</v>
      </c>
      <c r="O332" s="6" t="s">
        <v>1564</v>
      </c>
      <c r="P332" s="6" t="s">
        <v>1954</v>
      </c>
      <c r="V332" s="1"/>
      <c r="Z332"/>
      <c r="AA332"/>
    </row>
    <row r="333" spans="10:27" ht="16" x14ac:dyDescent="0.2">
      <c r="N333" s="1" t="s">
        <v>1248</v>
      </c>
      <c r="O333" s="6" t="s">
        <v>1564</v>
      </c>
      <c r="P333" s="6" t="s">
        <v>1956</v>
      </c>
      <c r="V333" s="1"/>
      <c r="Z333"/>
      <c r="AA333"/>
    </row>
    <row r="334" spans="10:27" ht="16" x14ac:dyDescent="0.2">
      <c r="N334" s="1" t="s">
        <v>1248</v>
      </c>
      <c r="O334" s="6" t="s">
        <v>1564</v>
      </c>
      <c r="P334" s="6" t="s">
        <v>1958</v>
      </c>
      <c r="V334" s="1"/>
      <c r="Z334"/>
      <c r="AA334"/>
    </row>
    <row r="335" spans="10:27" ht="16" x14ac:dyDescent="0.2">
      <c r="N335" s="1" t="s">
        <v>1248</v>
      </c>
      <c r="O335" s="6" t="s">
        <v>1564</v>
      </c>
      <c r="P335" s="6" t="s">
        <v>1960</v>
      </c>
      <c r="V335" s="1"/>
      <c r="Z335"/>
      <c r="AA335"/>
    </row>
    <row r="336" spans="10:27" ht="16" x14ac:dyDescent="0.2">
      <c r="N336" s="1" t="s">
        <v>1248</v>
      </c>
      <c r="O336" s="6" t="s">
        <v>1564</v>
      </c>
      <c r="P336" s="6" t="s">
        <v>1962</v>
      </c>
      <c r="V336" s="1"/>
      <c r="Z336"/>
      <c r="AA336"/>
    </row>
    <row r="337" spans="14:27" ht="16" x14ac:dyDescent="0.2">
      <c r="N337" s="1" t="s">
        <v>1248</v>
      </c>
      <c r="O337" s="6" t="s">
        <v>1564</v>
      </c>
      <c r="P337" s="6" t="s">
        <v>1964</v>
      </c>
      <c r="V337" s="1"/>
      <c r="Z337"/>
      <c r="AA337"/>
    </row>
    <row r="338" spans="14:27" ht="16" x14ac:dyDescent="0.2">
      <c r="N338" s="1" t="s">
        <v>1248</v>
      </c>
      <c r="O338" s="6" t="s">
        <v>1558</v>
      </c>
      <c r="P338" s="6" t="s">
        <v>1966</v>
      </c>
      <c r="V338" s="1"/>
      <c r="Z338"/>
      <c r="AA338"/>
    </row>
    <row r="339" spans="14:27" ht="16" x14ac:dyDescent="0.2">
      <c r="N339" s="1" t="s">
        <v>1248</v>
      </c>
      <c r="O339" s="6" t="s">
        <v>1558</v>
      </c>
      <c r="P339" s="6" t="s">
        <v>1968</v>
      </c>
      <c r="V339" s="1"/>
      <c r="Z339"/>
      <c r="AA339"/>
    </row>
    <row r="340" spans="14:27" ht="16" x14ac:dyDescent="0.2">
      <c r="N340" s="1" t="s">
        <v>1248</v>
      </c>
      <c r="O340" s="6" t="s">
        <v>1558</v>
      </c>
      <c r="P340" s="6" t="s">
        <v>1970</v>
      </c>
      <c r="V340" s="1"/>
      <c r="Z340"/>
      <c r="AA340"/>
    </row>
    <row r="341" spans="14:27" ht="16" x14ac:dyDescent="0.2">
      <c r="N341" s="1" t="s">
        <v>1248</v>
      </c>
      <c r="O341" s="6" t="s">
        <v>1558</v>
      </c>
      <c r="P341" s="6" t="s">
        <v>1972</v>
      </c>
      <c r="V341" s="1"/>
      <c r="Z341"/>
      <c r="AA341"/>
    </row>
    <row r="342" spans="14:27" ht="16" x14ac:dyDescent="0.2">
      <c r="N342" s="1" t="s">
        <v>1248</v>
      </c>
      <c r="O342" s="6" t="s">
        <v>1558</v>
      </c>
      <c r="P342" s="6" t="s">
        <v>1974</v>
      </c>
      <c r="V342" s="1"/>
      <c r="Z342"/>
      <c r="AA342"/>
    </row>
    <row r="343" spans="14:27" ht="16" x14ac:dyDescent="0.2">
      <c r="N343" s="1" t="s">
        <v>1248</v>
      </c>
      <c r="O343" s="6" t="s">
        <v>1558</v>
      </c>
      <c r="P343" s="6" t="s">
        <v>1976</v>
      </c>
      <c r="V343" s="1"/>
      <c r="Z343"/>
      <c r="AA343"/>
    </row>
    <row r="344" spans="14:27" ht="16" x14ac:dyDescent="0.2">
      <c r="N344" s="1" t="s">
        <v>1248</v>
      </c>
      <c r="O344" s="6" t="s">
        <v>1558</v>
      </c>
      <c r="P344" s="6" t="s">
        <v>1978</v>
      </c>
      <c r="V344" s="1"/>
      <c r="Z344"/>
      <c r="AA344"/>
    </row>
    <row r="345" spans="14:27" ht="16" x14ac:dyDescent="0.2">
      <c r="N345" s="1" t="s">
        <v>1248</v>
      </c>
      <c r="O345" s="6" t="s">
        <v>1558</v>
      </c>
      <c r="P345" s="6" t="s">
        <v>1980</v>
      </c>
      <c r="V345" s="1"/>
      <c r="Z345"/>
      <c r="AA345"/>
    </row>
    <row r="346" spans="14:27" ht="16" x14ac:dyDescent="0.2">
      <c r="N346" s="1" t="s">
        <v>1248</v>
      </c>
      <c r="O346" s="6" t="s">
        <v>1558</v>
      </c>
      <c r="P346" s="6" t="s">
        <v>1982</v>
      </c>
      <c r="V346" s="1"/>
      <c r="Z346"/>
      <c r="AA346"/>
    </row>
    <row r="347" spans="14:27" ht="16" x14ac:dyDescent="0.2">
      <c r="N347" s="1" t="s">
        <v>1248</v>
      </c>
      <c r="O347" s="6" t="s">
        <v>1558</v>
      </c>
      <c r="P347" s="6" t="s">
        <v>1984</v>
      </c>
      <c r="V347" s="1"/>
      <c r="Z347"/>
      <c r="AA347"/>
    </row>
    <row r="348" spans="14:27" ht="16" x14ac:dyDescent="0.2">
      <c r="N348" s="1" t="s">
        <v>1248</v>
      </c>
      <c r="O348" s="6" t="s">
        <v>1558</v>
      </c>
      <c r="P348" s="6" t="s">
        <v>1986</v>
      </c>
      <c r="V348" s="1"/>
      <c r="Z348"/>
      <c r="AA348"/>
    </row>
    <row r="349" spans="14:27" ht="16" x14ac:dyDescent="0.2">
      <c r="N349" s="1" t="s">
        <v>1248</v>
      </c>
      <c r="O349" s="6" t="s">
        <v>1561</v>
      </c>
      <c r="P349" s="6" t="s">
        <v>1988</v>
      </c>
      <c r="V349" s="1"/>
      <c r="Z349"/>
      <c r="AA349"/>
    </row>
    <row r="350" spans="14:27" ht="16" x14ac:dyDescent="0.2">
      <c r="N350" s="1" t="s">
        <v>1248</v>
      </c>
      <c r="O350" s="6" t="s">
        <v>1561</v>
      </c>
      <c r="P350" s="6" t="s">
        <v>1990</v>
      </c>
      <c r="V350" s="1"/>
      <c r="Z350"/>
      <c r="AA350"/>
    </row>
    <row r="351" spans="14:27" ht="16" x14ac:dyDescent="0.2">
      <c r="N351" s="1" t="s">
        <v>1248</v>
      </c>
      <c r="O351" s="6" t="s">
        <v>1561</v>
      </c>
      <c r="P351" s="6" t="s">
        <v>1992</v>
      </c>
      <c r="V351" s="1"/>
      <c r="Z351"/>
      <c r="AA351"/>
    </row>
    <row r="352" spans="14:27" ht="16" x14ac:dyDescent="0.2">
      <c r="N352" s="1" t="s">
        <v>1248</v>
      </c>
      <c r="O352" s="6" t="s">
        <v>1561</v>
      </c>
      <c r="P352" s="6" t="s">
        <v>1994</v>
      </c>
      <c r="V352" s="1"/>
      <c r="Z352"/>
      <c r="AA352"/>
    </row>
    <row r="353" spans="1:27" ht="16" x14ac:dyDescent="0.2">
      <c r="N353" s="1" t="s">
        <v>1248</v>
      </c>
      <c r="O353" s="6" t="s">
        <v>1561</v>
      </c>
      <c r="P353" s="6" t="s">
        <v>1996</v>
      </c>
      <c r="V353" s="1"/>
      <c r="Z353"/>
      <c r="AA353"/>
    </row>
    <row r="354" spans="1:27" ht="16" x14ac:dyDescent="0.2">
      <c r="N354" s="1" t="s">
        <v>1248</v>
      </c>
      <c r="O354" s="6" t="s">
        <v>1561</v>
      </c>
      <c r="P354" s="6" t="s">
        <v>1998</v>
      </c>
      <c r="V354" s="1"/>
      <c r="Z354"/>
      <c r="AA354"/>
    </row>
    <row r="355" spans="1:27" ht="16" x14ac:dyDescent="0.2">
      <c r="N355" s="1" t="s">
        <v>1248</v>
      </c>
      <c r="O355" s="6" t="s">
        <v>1561</v>
      </c>
      <c r="P355" s="6" t="s">
        <v>2000</v>
      </c>
      <c r="V355" s="1"/>
      <c r="Z355"/>
      <c r="AA355"/>
    </row>
    <row r="356" spans="1:27" ht="16" x14ac:dyDescent="0.2">
      <c r="N356" s="1" t="s">
        <v>1248</v>
      </c>
      <c r="O356" s="6" t="s">
        <v>1528</v>
      </c>
      <c r="P356" s="6" t="s">
        <v>2002</v>
      </c>
      <c r="V356" s="1"/>
      <c r="Z356"/>
      <c r="AA356"/>
    </row>
    <row r="357" spans="1:27" ht="16" x14ac:dyDescent="0.2">
      <c r="N357" s="1" t="s">
        <v>1248</v>
      </c>
      <c r="O357" s="6" t="s">
        <v>1528</v>
      </c>
      <c r="P357" s="6" t="s">
        <v>2004</v>
      </c>
      <c r="V357" s="1"/>
      <c r="Z357"/>
      <c r="AA357"/>
    </row>
    <row r="358" spans="1:27" ht="16" x14ac:dyDescent="0.2">
      <c r="N358" s="1" t="s">
        <v>1248</v>
      </c>
      <c r="O358" s="6" t="s">
        <v>1528</v>
      </c>
      <c r="P358" s="6" t="s">
        <v>2006</v>
      </c>
      <c r="V358" s="1"/>
      <c r="Z358"/>
      <c r="AA358"/>
    </row>
    <row r="359" spans="1:27" ht="16" x14ac:dyDescent="0.2">
      <c r="A359" s="175" t="s">
        <v>30</v>
      </c>
      <c r="B359" s="176"/>
      <c r="C359" s="176"/>
      <c r="N359" s="1" t="s">
        <v>1248</v>
      </c>
      <c r="O359" s="6" t="s">
        <v>1528</v>
      </c>
      <c r="P359" s="6" t="s">
        <v>2008</v>
      </c>
      <c r="V359" s="1"/>
      <c r="Z359"/>
      <c r="AA359"/>
    </row>
    <row r="360" spans="1:27" ht="16" x14ac:dyDescent="0.2">
      <c r="A360" s="1" t="s">
        <v>7</v>
      </c>
      <c r="B360" s="1" t="s">
        <v>2062</v>
      </c>
      <c r="C360" s="1" t="s">
        <v>2063</v>
      </c>
      <c r="N360" s="1" t="s">
        <v>1248</v>
      </c>
      <c r="O360" s="6" t="s">
        <v>1528</v>
      </c>
      <c r="P360" s="6" t="s">
        <v>2010</v>
      </c>
      <c r="V360" s="1"/>
      <c r="Z360"/>
      <c r="AA360"/>
    </row>
    <row r="361" spans="1:27" ht="16" x14ac:dyDescent="0.2">
      <c r="A361" s="3" t="s">
        <v>1416</v>
      </c>
      <c r="B361" s="1" t="s">
        <v>1429</v>
      </c>
      <c r="C361" s="1" t="s">
        <v>1441</v>
      </c>
      <c r="N361" s="1" t="s">
        <v>1248</v>
      </c>
      <c r="O361" s="6" t="s">
        <v>1531</v>
      </c>
      <c r="P361" s="6" t="s">
        <v>1029</v>
      </c>
      <c r="V361" s="1"/>
      <c r="Z361"/>
      <c r="AA361"/>
    </row>
    <row r="362" spans="1:27" ht="16" x14ac:dyDescent="0.2">
      <c r="A362" s="3" t="s">
        <v>1421</v>
      </c>
      <c r="B362" s="1" t="s">
        <v>1433</v>
      </c>
      <c r="C362" s="1" t="s">
        <v>1445</v>
      </c>
      <c r="N362" s="1" t="s">
        <v>1248</v>
      </c>
      <c r="O362" s="6" t="s">
        <v>1531</v>
      </c>
      <c r="P362" s="6" t="s">
        <v>2013</v>
      </c>
      <c r="V362" s="1"/>
      <c r="Z362"/>
      <c r="AA362"/>
    </row>
    <row r="363" spans="1:27" ht="16" x14ac:dyDescent="0.2">
      <c r="A363" s="3" t="s">
        <v>1425</v>
      </c>
      <c r="B363" s="1" t="s">
        <v>1437</v>
      </c>
      <c r="C363" s="1" t="s">
        <v>1450</v>
      </c>
      <c r="N363" s="1" t="s">
        <v>1248</v>
      </c>
      <c r="O363" s="6" t="s">
        <v>1531</v>
      </c>
      <c r="P363" s="6" t="s">
        <v>2015</v>
      </c>
      <c r="V363" s="1"/>
      <c r="Z363"/>
      <c r="AA363"/>
    </row>
    <row r="364" spans="1:27" ht="16" x14ac:dyDescent="0.2">
      <c r="A364" s="177" t="s">
        <v>1415</v>
      </c>
      <c r="B364" s="178"/>
      <c r="C364" s="178"/>
      <c r="N364" s="1" t="s">
        <v>1248</v>
      </c>
      <c r="O364" s="6" t="s">
        <v>1531</v>
      </c>
      <c r="P364" s="6" t="s">
        <v>1044</v>
      </c>
      <c r="V364" s="1"/>
      <c r="Z364"/>
      <c r="AA364"/>
    </row>
    <row r="365" spans="1:27" ht="16" x14ac:dyDescent="0.2">
      <c r="A365" s="3" t="s">
        <v>1416</v>
      </c>
      <c r="B365" s="1" t="s">
        <v>1429</v>
      </c>
      <c r="C365" s="1" t="s">
        <v>1441</v>
      </c>
      <c r="N365" s="1" t="s">
        <v>1248</v>
      </c>
      <c r="O365" s="6" t="s">
        <v>1531</v>
      </c>
      <c r="P365" s="6" t="s">
        <v>2017</v>
      </c>
      <c r="V365" s="1"/>
      <c r="Z365"/>
      <c r="AA365"/>
    </row>
    <row r="366" spans="1:27" ht="16" x14ac:dyDescent="0.2">
      <c r="A366" s="3" t="s">
        <v>1421</v>
      </c>
      <c r="B366" s="1" t="s">
        <v>1433</v>
      </c>
      <c r="C366" s="1" t="s">
        <v>1445</v>
      </c>
      <c r="N366" s="1" t="s">
        <v>1248</v>
      </c>
      <c r="O366" s="6" t="s">
        <v>1531</v>
      </c>
      <c r="P366" s="6" t="s">
        <v>2019</v>
      </c>
      <c r="V366" s="1"/>
      <c r="Z366"/>
      <c r="AA366"/>
    </row>
    <row r="367" spans="1:27" ht="16" x14ac:dyDescent="0.2">
      <c r="A367" s="3" t="s">
        <v>1425</v>
      </c>
      <c r="B367" s="1" t="s">
        <v>1437</v>
      </c>
      <c r="C367" s="1" t="s">
        <v>1450</v>
      </c>
      <c r="N367" s="1" t="s">
        <v>1248</v>
      </c>
      <c r="O367" s="6" t="s">
        <v>1531</v>
      </c>
      <c r="P367" s="6" t="s">
        <v>2021</v>
      </c>
      <c r="V367" s="1"/>
      <c r="Z367"/>
      <c r="AA367"/>
    </row>
    <row r="368" spans="1:27" ht="16" x14ac:dyDescent="0.2">
      <c r="A368" s="46" t="s">
        <v>1430</v>
      </c>
      <c r="B368" s="46" t="s">
        <v>1446</v>
      </c>
      <c r="C368" s="46" t="s">
        <v>1457</v>
      </c>
      <c r="N368" s="1" t="s">
        <v>1248</v>
      </c>
      <c r="O368" s="6" t="s">
        <v>1534</v>
      </c>
      <c r="P368" s="6" t="s">
        <v>2023</v>
      </c>
      <c r="V368" s="1"/>
      <c r="Z368"/>
      <c r="AA368"/>
    </row>
    <row r="369" spans="14:27" ht="16" x14ac:dyDescent="0.2">
      <c r="N369" s="1" t="s">
        <v>1248</v>
      </c>
      <c r="O369" s="6" t="s">
        <v>1534</v>
      </c>
      <c r="P369" s="6" t="s">
        <v>2025</v>
      </c>
      <c r="V369" s="1"/>
      <c r="Z369"/>
      <c r="AA369"/>
    </row>
    <row r="370" spans="14:27" ht="16" x14ac:dyDescent="0.2">
      <c r="N370" s="1" t="s">
        <v>1248</v>
      </c>
      <c r="O370" s="6" t="s">
        <v>1534</v>
      </c>
      <c r="P370" s="6" t="s">
        <v>2027</v>
      </c>
      <c r="V370" s="1"/>
      <c r="Z370"/>
      <c r="AA370"/>
    </row>
    <row r="371" spans="14:27" ht="16" x14ac:dyDescent="0.2">
      <c r="N371" s="1" t="s">
        <v>1248</v>
      </c>
      <c r="O371" s="6" t="s">
        <v>1537</v>
      </c>
      <c r="P371" s="6" t="s">
        <v>2029</v>
      </c>
      <c r="V371" s="1"/>
      <c r="Z371"/>
      <c r="AA371"/>
    </row>
    <row r="372" spans="14:27" ht="16" x14ac:dyDescent="0.2">
      <c r="N372" s="1" t="s">
        <v>1248</v>
      </c>
      <c r="O372" s="6" t="s">
        <v>1537</v>
      </c>
      <c r="P372" s="6" t="s">
        <v>2031</v>
      </c>
      <c r="V372" s="1"/>
      <c r="Z372"/>
      <c r="AA372"/>
    </row>
    <row r="373" spans="14:27" ht="16" x14ac:dyDescent="0.2">
      <c r="N373" s="1" t="s">
        <v>1248</v>
      </c>
      <c r="O373" s="6" t="s">
        <v>1537</v>
      </c>
      <c r="P373" s="6" t="s">
        <v>2033</v>
      </c>
      <c r="V373" s="1"/>
      <c r="Z373"/>
      <c r="AA373"/>
    </row>
    <row r="374" spans="14:27" ht="16" x14ac:dyDescent="0.2">
      <c r="N374" s="1" t="s">
        <v>1248</v>
      </c>
      <c r="O374" s="6" t="s">
        <v>1537</v>
      </c>
      <c r="P374" s="6" t="s">
        <v>2035</v>
      </c>
      <c r="V374" s="1"/>
      <c r="Z374"/>
      <c r="AA374"/>
    </row>
    <row r="375" spans="14:27" ht="16" x14ac:dyDescent="0.2">
      <c r="N375" s="1" t="s">
        <v>1248</v>
      </c>
      <c r="O375" s="6" t="s">
        <v>1537</v>
      </c>
      <c r="P375" s="6" t="s">
        <v>2037</v>
      </c>
      <c r="V375" s="1"/>
      <c r="Z375"/>
      <c r="AA375"/>
    </row>
    <row r="376" spans="14:27" ht="16" x14ac:dyDescent="0.2">
      <c r="N376" s="1" t="s">
        <v>1248</v>
      </c>
      <c r="O376" s="6" t="s">
        <v>1537</v>
      </c>
      <c r="P376" s="6" t="s">
        <v>2039</v>
      </c>
      <c r="V376" s="1"/>
      <c r="Z376"/>
      <c r="AA376"/>
    </row>
    <row r="377" spans="14:27" ht="16" x14ac:dyDescent="0.2">
      <c r="N377" s="1" t="s">
        <v>1248</v>
      </c>
      <c r="O377" s="6" t="s">
        <v>1540</v>
      </c>
      <c r="P377" s="6" t="s">
        <v>2041</v>
      </c>
      <c r="V377" s="1"/>
      <c r="Z377"/>
      <c r="AA377"/>
    </row>
    <row r="378" spans="14:27" ht="16" x14ac:dyDescent="0.2">
      <c r="N378" s="1" t="s">
        <v>1248</v>
      </c>
      <c r="O378" s="6" t="s">
        <v>1540</v>
      </c>
      <c r="P378" s="6" t="s">
        <v>2043</v>
      </c>
      <c r="V378" s="1"/>
      <c r="Z378"/>
      <c r="AA378"/>
    </row>
    <row r="379" spans="14:27" ht="16" x14ac:dyDescent="0.2">
      <c r="N379" s="1" t="s">
        <v>1248</v>
      </c>
      <c r="O379" s="6" t="s">
        <v>1540</v>
      </c>
      <c r="P379" s="6" t="s">
        <v>2045</v>
      </c>
      <c r="V379" s="1"/>
      <c r="Z379"/>
      <c r="AA379"/>
    </row>
    <row r="380" spans="14:27" ht="16" x14ac:dyDescent="0.2">
      <c r="N380" s="1" t="s">
        <v>1248</v>
      </c>
      <c r="O380" s="6" t="s">
        <v>1543</v>
      </c>
      <c r="P380" s="6" t="s">
        <v>2047</v>
      </c>
      <c r="V380" s="1"/>
      <c r="Z380"/>
      <c r="AA380"/>
    </row>
    <row r="381" spans="14:27" ht="16" x14ac:dyDescent="0.2">
      <c r="N381" s="1" t="s">
        <v>1248</v>
      </c>
      <c r="O381" s="6" t="s">
        <v>1543</v>
      </c>
      <c r="P381" s="6" t="s">
        <v>2049</v>
      </c>
      <c r="V381" s="1"/>
      <c r="Z381"/>
      <c r="AA381"/>
    </row>
    <row r="382" spans="14:27" ht="16" x14ac:dyDescent="0.2">
      <c r="N382" s="1" t="s">
        <v>1248</v>
      </c>
      <c r="O382" s="6" t="s">
        <v>1546</v>
      </c>
      <c r="P382" s="6" t="s">
        <v>2051</v>
      </c>
      <c r="V382" s="1"/>
      <c r="Z382"/>
      <c r="AA382"/>
    </row>
    <row r="383" spans="14:27" ht="16" x14ac:dyDescent="0.2">
      <c r="N383" s="1" t="s">
        <v>1248</v>
      </c>
      <c r="O383" s="6" t="s">
        <v>1546</v>
      </c>
      <c r="P383" s="6" t="s">
        <v>2053</v>
      </c>
      <c r="V383" s="1"/>
      <c r="Z383"/>
      <c r="AA383"/>
    </row>
    <row r="384" spans="14:27" ht="16" x14ac:dyDescent="0.2">
      <c r="N384" s="1" t="s">
        <v>1248</v>
      </c>
      <c r="O384" s="6" t="s">
        <v>1546</v>
      </c>
      <c r="P384" s="6" t="s">
        <v>2055</v>
      </c>
      <c r="V384" s="1"/>
      <c r="Z384"/>
      <c r="AA384"/>
    </row>
    <row r="385" spans="14:27" ht="16" x14ac:dyDescent="0.2">
      <c r="N385" s="1" t="s">
        <v>1248</v>
      </c>
      <c r="O385" s="6" t="s">
        <v>1546</v>
      </c>
      <c r="P385" s="6" t="s">
        <v>2057</v>
      </c>
      <c r="V385" s="1"/>
      <c r="Z385"/>
      <c r="AA385"/>
    </row>
    <row r="386" spans="14:27" ht="16" x14ac:dyDescent="0.2">
      <c r="N386" s="1" t="s">
        <v>1248</v>
      </c>
      <c r="O386" s="6" t="s">
        <v>1546</v>
      </c>
      <c r="P386" s="6" t="s">
        <v>2059</v>
      </c>
      <c r="V386" s="1"/>
      <c r="Z386"/>
      <c r="AA386"/>
    </row>
    <row r="387" spans="14:27" ht="16" x14ac:dyDescent="0.2">
      <c r="N387" s="1" t="s">
        <v>1248</v>
      </c>
      <c r="O387" s="6" t="s">
        <v>1549</v>
      </c>
      <c r="P387" s="6" t="s">
        <v>1886</v>
      </c>
      <c r="V387" s="1"/>
      <c r="Z387"/>
      <c r="AA387"/>
    </row>
    <row r="388" spans="14:27" ht="16" x14ac:dyDescent="0.2">
      <c r="N388" s="1" t="s">
        <v>1248</v>
      </c>
      <c r="O388" s="6" t="s">
        <v>1549</v>
      </c>
      <c r="P388" s="6" t="s">
        <v>798</v>
      </c>
      <c r="V388" s="1"/>
      <c r="Z388"/>
      <c r="AA388"/>
    </row>
    <row r="389" spans="14:27" ht="16" x14ac:dyDescent="0.2">
      <c r="N389" s="1" t="s">
        <v>1248</v>
      </c>
      <c r="O389" s="6" t="s">
        <v>1549</v>
      </c>
      <c r="P389" s="6" t="s">
        <v>1889</v>
      </c>
      <c r="V389" s="1"/>
      <c r="Z389"/>
      <c r="AA389"/>
    </row>
    <row r="390" spans="14:27" ht="16" x14ac:dyDescent="0.2">
      <c r="N390" s="1" t="s">
        <v>1329</v>
      </c>
      <c r="O390" s="4" t="s">
        <v>1517</v>
      </c>
      <c r="P390" s="4" t="s">
        <v>1568</v>
      </c>
      <c r="V390" s="1"/>
      <c r="Z390"/>
      <c r="AA390"/>
    </row>
    <row r="391" spans="14:27" ht="16" x14ac:dyDescent="0.2">
      <c r="N391" s="1" t="s">
        <v>1329</v>
      </c>
      <c r="O391" s="4" t="s">
        <v>1517</v>
      </c>
      <c r="P391" s="4" t="s">
        <v>1571</v>
      </c>
      <c r="V391" s="1"/>
      <c r="Z391"/>
      <c r="AA391"/>
    </row>
    <row r="392" spans="14:27" ht="16" x14ac:dyDescent="0.2">
      <c r="N392" s="1" t="s">
        <v>1329</v>
      </c>
      <c r="O392" s="4" t="s">
        <v>1517</v>
      </c>
      <c r="P392" s="4" t="s">
        <v>1574</v>
      </c>
      <c r="V392" s="1"/>
      <c r="Z392"/>
      <c r="AA392"/>
    </row>
    <row r="393" spans="14:27" ht="16" x14ac:dyDescent="0.2">
      <c r="N393" s="1" t="s">
        <v>1329</v>
      </c>
      <c r="O393" s="4" t="s">
        <v>1517</v>
      </c>
      <c r="P393" s="4" t="s">
        <v>1577</v>
      </c>
      <c r="V393" s="1"/>
      <c r="Z393"/>
      <c r="AA393"/>
    </row>
    <row r="394" spans="14:27" ht="16" x14ac:dyDescent="0.2">
      <c r="N394" s="1" t="s">
        <v>1329</v>
      </c>
      <c r="O394" s="4" t="s">
        <v>1517</v>
      </c>
      <c r="P394" s="4" t="s">
        <v>1580</v>
      </c>
      <c r="V394" s="1"/>
      <c r="Z394"/>
      <c r="AA394"/>
    </row>
    <row r="395" spans="14:27" ht="16" x14ac:dyDescent="0.2">
      <c r="N395" s="1" t="s">
        <v>1329</v>
      </c>
      <c r="O395" s="4" t="s">
        <v>1517</v>
      </c>
      <c r="P395" s="4" t="s">
        <v>1583</v>
      </c>
      <c r="V395" s="1"/>
      <c r="Z395"/>
      <c r="AA395"/>
    </row>
    <row r="396" spans="14:27" ht="16" x14ac:dyDescent="0.2">
      <c r="N396" s="1" t="s">
        <v>1329</v>
      </c>
      <c r="O396" s="4" t="s">
        <v>1517</v>
      </c>
      <c r="P396" s="4" t="s">
        <v>1586</v>
      </c>
      <c r="V396" s="1"/>
      <c r="Z396"/>
      <c r="AA396"/>
    </row>
    <row r="397" spans="14:27" ht="16" x14ac:dyDescent="0.2">
      <c r="N397" s="1" t="s">
        <v>1329</v>
      </c>
      <c r="O397" s="4" t="s">
        <v>1517</v>
      </c>
      <c r="P397" s="4" t="s">
        <v>1589</v>
      </c>
      <c r="V397" s="1"/>
      <c r="Z397"/>
      <c r="AA397"/>
    </row>
    <row r="398" spans="14:27" ht="16" x14ac:dyDescent="0.2">
      <c r="N398" s="1" t="s">
        <v>1329</v>
      </c>
      <c r="O398" s="4" t="s">
        <v>1491</v>
      </c>
      <c r="P398" s="4" t="s">
        <v>1592</v>
      </c>
      <c r="V398" s="1"/>
      <c r="Z398"/>
      <c r="AA398"/>
    </row>
    <row r="399" spans="14:27" ht="16" x14ac:dyDescent="0.2">
      <c r="N399" s="1" t="s">
        <v>1329</v>
      </c>
      <c r="O399" s="4" t="s">
        <v>1491</v>
      </c>
      <c r="P399" s="4" t="s">
        <v>1594</v>
      </c>
      <c r="V399" s="1"/>
      <c r="Z399"/>
      <c r="AA399"/>
    </row>
    <row r="400" spans="14:27" ht="16" x14ac:dyDescent="0.2">
      <c r="N400" s="1" t="s">
        <v>1329</v>
      </c>
      <c r="O400" s="4" t="s">
        <v>1491</v>
      </c>
      <c r="P400" s="4" t="s">
        <v>1597</v>
      </c>
      <c r="V400" s="1"/>
      <c r="Z400"/>
      <c r="AA400"/>
    </row>
    <row r="401" spans="14:27" ht="16" x14ac:dyDescent="0.2">
      <c r="N401" s="1" t="s">
        <v>1329</v>
      </c>
      <c r="O401" s="4" t="s">
        <v>1491</v>
      </c>
      <c r="P401" s="4" t="s">
        <v>228</v>
      </c>
      <c r="V401" s="1"/>
      <c r="Z401"/>
      <c r="AA401"/>
    </row>
    <row r="402" spans="14:27" ht="16" x14ac:dyDescent="0.2">
      <c r="N402" s="1" t="s">
        <v>1329</v>
      </c>
      <c r="O402" s="4" t="s">
        <v>1491</v>
      </c>
      <c r="P402" s="4" t="s">
        <v>1602</v>
      </c>
      <c r="V402" s="1"/>
      <c r="Z402"/>
      <c r="AA402"/>
    </row>
    <row r="403" spans="14:27" ht="16" x14ac:dyDescent="0.2">
      <c r="N403" s="1" t="s">
        <v>1329</v>
      </c>
      <c r="O403" s="4" t="s">
        <v>1491</v>
      </c>
      <c r="P403" s="4" t="s">
        <v>1605</v>
      </c>
      <c r="V403" s="1"/>
      <c r="Z403"/>
      <c r="AA403"/>
    </row>
    <row r="404" spans="14:27" ht="16" x14ac:dyDescent="0.2">
      <c r="N404" s="1" t="s">
        <v>1329</v>
      </c>
      <c r="O404" s="4" t="s">
        <v>1491</v>
      </c>
      <c r="P404" s="4" t="s">
        <v>1608</v>
      </c>
      <c r="V404" s="1"/>
      <c r="Z404"/>
      <c r="AA404"/>
    </row>
    <row r="405" spans="14:27" ht="16" x14ac:dyDescent="0.2">
      <c r="N405" s="1" t="s">
        <v>1329</v>
      </c>
      <c r="O405" s="4" t="s">
        <v>1491</v>
      </c>
      <c r="P405" s="4" t="s">
        <v>1611</v>
      </c>
      <c r="V405" s="1"/>
      <c r="Z405"/>
      <c r="AA405"/>
    </row>
    <row r="406" spans="14:27" ht="16" x14ac:dyDescent="0.2">
      <c r="N406" s="1" t="s">
        <v>1329</v>
      </c>
      <c r="O406" s="4" t="s">
        <v>1491</v>
      </c>
      <c r="P406" s="4" t="s">
        <v>1614</v>
      </c>
      <c r="V406" s="1"/>
      <c r="Z406"/>
      <c r="AA406"/>
    </row>
    <row r="407" spans="14:27" ht="16" x14ac:dyDescent="0.2">
      <c r="N407" s="1" t="s">
        <v>1329</v>
      </c>
      <c r="O407" s="4" t="s">
        <v>1491</v>
      </c>
      <c r="P407" s="4" t="s">
        <v>1617</v>
      </c>
      <c r="V407" s="1"/>
      <c r="Z407"/>
      <c r="AA407"/>
    </row>
    <row r="408" spans="14:27" ht="16" x14ac:dyDescent="0.2">
      <c r="N408" s="1" t="s">
        <v>1329</v>
      </c>
      <c r="O408" s="4" t="s">
        <v>1491</v>
      </c>
      <c r="P408" s="4" t="s">
        <v>1620</v>
      </c>
      <c r="V408" s="1"/>
      <c r="Z408"/>
      <c r="AA408"/>
    </row>
    <row r="409" spans="14:27" ht="16" x14ac:dyDescent="0.2">
      <c r="N409" s="1" t="s">
        <v>1329</v>
      </c>
      <c r="O409" s="4" t="s">
        <v>1497</v>
      </c>
      <c r="P409" s="4" t="s">
        <v>1623</v>
      </c>
      <c r="V409" s="1"/>
      <c r="Z409"/>
      <c r="AA409"/>
    </row>
    <row r="410" spans="14:27" ht="16" x14ac:dyDescent="0.2">
      <c r="N410" s="1" t="s">
        <v>1329</v>
      </c>
      <c r="O410" s="4" t="s">
        <v>1497</v>
      </c>
      <c r="P410" s="4" t="s">
        <v>1626</v>
      </c>
      <c r="V410" s="1"/>
      <c r="Z410"/>
      <c r="AA410"/>
    </row>
    <row r="411" spans="14:27" ht="16" x14ac:dyDescent="0.2">
      <c r="N411" s="1" t="s">
        <v>1329</v>
      </c>
      <c r="O411" s="4" t="s">
        <v>1497</v>
      </c>
      <c r="P411" s="4" t="s">
        <v>1628</v>
      </c>
      <c r="V411" s="1"/>
      <c r="Z411"/>
      <c r="AA411"/>
    </row>
    <row r="412" spans="14:27" ht="16" x14ac:dyDescent="0.2">
      <c r="N412" s="1" t="s">
        <v>1329</v>
      </c>
      <c r="O412" s="4" t="s">
        <v>1497</v>
      </c>
      <c r="P412" s="4" t="s">
        <v>1631</v>
      </c>
      <c r="V412" s="1"/>
      <c r="Z412"/>
      <c r="AA412"/>
    </row>
    <row r="413" spans="14:27" ht="16" x14ac:dyDescent="0.2">
      <c r="N413" s="1" t="s">
        <v>1329</v>
      </c>
      <c r="O413" s="4" t="s">
        <v>1497</v>
      </c>
      <c r="P413" s="4" t="s">
        <v>1634</v>
      </c>
      <c r="V413" s="1"/>
      <c r="Z413"/>
      <c r="AA413"/>
    </row>
    <row r="414" spans="14:27" ht="16" x14ac:dyDescent="0.2">
      <c r="N414" s="1" t="s">
        <v>1329</v>
      </c>
      <c r="O414" s="4" t="s">
        <v>1497</v>
      </c>
      <c r="P414" s="4" t="s">
        <v>1637</v>
      </c>
      <c r="V414" s="1"/>
      <c r="Z414"/>
      <c r="AA414"/>
    </row>
    <row r="415" spans="14:27" ht="16" x14ac:dyDescent="0.2">
      <c r="N415" s="1" t="s">
        <v>1329</v>
      </c>
      <c r="O415" s="4" t="s">
        <v>1497</v>
      </c>
      <c r="P415" s="4" t="s">
        <v>1640</v>
      </c>
      <c r="V415" s="1"/>
      <c r="Z415"/>
      <c r="AA415"/>
    </row>
    <row r="416" spans="14:27" ht="16" x14ac:dyDescent="0.2">
      <c r="N416" s="1" t="s">
        <v>1329</v>
      </c>
      <c r="O416" s="4" t="s">
        <v>1497</v>
      </c>
      <c r="P416" s="4" t="s">
        <v>1643</v>
      </c>
      <c r="V416" s="1"/>
      <c r="Z416"/>
      <c r="AA416"/>
    </row>
    <row r="417" spans="14:27" ht="16" x14ac:dyDescent="0.2">
      <c r="N417" s="1" t="s">
        <v>1329</v>
      </c>
      <c r="O417" s="4" t="s">
        <v>1497</v>
      </c>
      <c r="P417" s="4" t="s">
        <v>1646</v>
      </c>
      <c r="V417" s="1"/>
      <c r="Z417"/>
      <c r="AA417"/>
    </row>
    <row r="418" spans="14:27" ht="16" x14ac:dyDescent="0.2">
      <c r="N418" s="1" t="s">
        <v>1329</v>
      </c>
      <c r="O418" s="4" t="s">
        <v>1497</v>
      </c>
      <c r="P418" s="4" t="s">
        <v>1649</v>
      </c>
      <c r="V418" s="1"/>
      <c r="Z418"/>
      <c r="AA418"/>
    </row>
    <row r="419" spans="14:27" ht="16" x14ac:dyDescent="0.2">
      <c r="N419" s="1" t="s">
        <v>1329</v>
      </c>
      <c r="O419" s="4" t="s">
        <v>1497</v>
      </c>
      <c r="P419" s="4" t="s">
        <v>1652</v>
      </c>
      <c r="V419" s="1"/>
      <c r="Z419"/>
      <c r="AA419"/>
    </row>
    <row r="420" spans="14:27" ht="16" x14ac:dyDescent="0.2">
      <c r="N420" s="1" t="s">
        <v>1329</v>
      </c>
      <c r="O420" s="4" t="s">
        <v>1494</v>
      </c>
      <c r="P420" s="4" t="s">
        <v>1655</v>
      </c>
      <c r="V420" s="1"/>
      <c r="Z420"/>
      <c r="AA420"/>
    </row>
    <row r="421" spans="14:27" ht="16" x14ac:dyDescent="0.2">
      <c r="N421" s="1" t="s">
        <v>1329</v>
      </c>
      <c r="O421" s="4" t="s">
        <v>1494</v>
      </c>
      <c r="P421" s="4" t="s">
        <v>1658</v>
      </c>
      <c r="V421" s="1"/>
      <c r="Z421"/>
      <c r="AA421"/>
    </row>
    <row r="422" spans="14:27" ht="16" x14ac:dyDescent="0.2">
      <c r="N422" s="1" t="s">
        <v>1329</v>
      </c>
      <c r="O422" s="4" t="s">
        <v>1494</v>
      </c>
      <c r="P422" s="4" t="s">
        <v>1661</v>
      </c>
      <c r="V422" s="1"/>
      <c r="Z422"/>
      <c r="AA422"/>
    </row>
    <row r="423" spans="14:27" ht="16" x14ac:dyDescent="0.2">
      <c r="N423" s="1" t="s">
        <v>1329</v>
      </c>
      <c r="O423" s="4" t="s">
        <v>1494</v>
      </c>
      <c r="P423" s="4" t="s">
        <v>1664</v>
      </c>
      <c r="V423" s="1"/>
      <c r="Z423"/>
      <c r="AA423"/>
    </row>
    <row r="424" spans="14:27" ht="16" x14ac:dyDescent="0.2">
      <c r="N424" s="1" t="s">
        <v>1329</v>
      </c>
      <c r="O424" s="4" t="s">
        <v>1494</v>
      </c>
      <c r="P424" s="4" t="s">
        <v>1667</v>
      </c>
      <c r="V424" s="1"/>
      <c r="Z424"/>
      <c r="AA424"/>
    </row>
    <row r="425" spans="14:27" ht="16" x14ac:dyDescent="0.2">
      <c r="N425" s="1" t="s">
        <v>1329</v>
      </c>
      <c r="O425" s="4" t="s">
        <v>1494</v>
      </c>
      <c r="P425" s="4" t="s">
        <v>1670</v>
      </c>
      <c r="V425" s="1"/>
      <c r="Z425"/>
      <c r="AA425"/>
    </row>
    <row r="426" spans="14:27" ht="16" x14ac:dyDescent="0.2">
      <c r="N426" s="1" t="s">
        <v>1329</v>
      </c>
      <c r="O426" s="4" t="s">
        <v>1494</v>
      </c>
      <c r="P426" s="4" t="s">
        <v>1673</v>
      </c>
      <c r="V426" s="1"/>
      <c r="Z426"/>
      <c r="AA426"/>
    </row>
    <row r="427" spans="14:27" ht="16" x14ac:dyDescent="0.2">
      <c r="N427" s="1" t="s">
        <v>1329</v>
      </c>
      <c r="O427" s="4" t="s">
        <v>1494</v>
      </c>
      <c r="P427" s="4" t="s">
        <v>1676</v>
      </c>
      <c r="V427" s="1"/>
      <c r="Z427"/>
      <c r="AA427"/>
    </row>
    <row r="428" spans="14:27" ht="16" x14ac:dyDescent="0.2">
      <c r="N428" s="1" t="s">
        <v>1329</v>
      </c>
      <c r="O428" s="4" t="s">
        <v>1494</v>
      </c>
      <c r="P428" s="4" t="s">
        <v>1679</v>
      </c>
      <c r="V428" s="1"/>
      <c r="Z428"/>
      <c r="AA428"/>
    </row>
    <row r="429" spans="14:27" ht="16" x14ac:dyDescent="0.2">
      <c r="N429" s="1" t="s">
        <v>1329</v>
      </c>
      <c r="O429" s="4" t="s">
        <v>1494</v>
      </c>
      <c r="P429" s="4" t="s">
        <v>1682</v>
      </c>
      <c r="V429" s="1"/>
      <c r="Z429"/>
      <c r="AA429"/>
    </row>
    <row r="430" spans="14:27" ht="16" x14ac:dyDescent="0.2">
      <c r="N430" s="1" t="s">
        <v>1329</v>
      </c>
      <c r="O430" s="4" t="s">
        <v>1494</v>
      </c>
      <c r="P430" s="4" t="s">
        <v>1685</v>
      </c>
      <c r="V430" s="1"/>
      <c r="Z430"/>
      <c r="AA430"/>
    </row>
    <row r="431" spans="14:27" ht="16" x14ac:dyDescent="0.2">
      <c r="N431" s="1" t="s">
        <v>1329</v>
      </c>
      <c r="O431" s="4" t="s">
        <v>1494</v>
      </c>
      <c r="P431" s="4" t="s">
        <v>1688</v>
      </c>
      <c r="V431" s="1"/>
      <c r="Z431"/>
      <c r="AA431"/>
    </row>
    <row r="432" spans="14:27" ht="16" x14ac:dyDescent="0.2">
      <c r="N432" s="1" t="s">
        <v>1329</v>
      </c>
      <c r="O432" s="4" t="s">
        <v>1500</v>
      </c>
      <c r="P432" s="4" t="s">
        <v>1691</v>
      </c>
      <c r="V432" s="1"/>
      <c r="Z432"/>
      <c r="AA432"/>
    </row>
    <row r="433" spans="14:27" ht="16" x14ac:dyDescent="0.2">
      <c r="N433" s="1" t="s">
        <v>1329</v>
      </c>
      <c r="O433" s="4" t="s">
        <v>1500</v>
      </c>
      <c r="P433" s="4" t="s">
        <v>1694</v>
      </c>
      <c r="V433" s="1"/>
      <c r="Z433"/>
      <c r="AA433"/>
    </row>
    <row r="434" spans="14:27" ht="16" x14ac:dyDescent="0.2">
      <c r="N434" s="1" t="s">
        <v>1329</v>
      </c>
      <c r="O434" s="4" t="s">
        <v>1500</v>
      </c>
      <c r="P434" s="4" t="s">
        <v>1697</v>
      </c>
      <c r="V434" s="1"/>
      <c r="Z434"/>
      <c r="AA434"/>
    </row>
    <row r="435" spans="14:27" ht="16" x14ac:dyDescent="0.2">
      <c r="N435" s="1" t="s">
        <v>1329</v>
      </c>
      <c r="O435" s="4" t="s">
        <v>1500</v>
      </c>
      <c r="P435" s="4" t="s">
        <v>290</v>
      </c>
      <c r="V435" s="1"/>
      <c r="Z435"/>
      <c r="AA435"/>
    </row>
    <row r="436" spans="14:27" ht="16" x14ac:dyDescent="0.2">
      <c r="N436" s="1" t="s">
        <v>1329</v>
      </c>
      <c r="O436" s="4" t="s">
        <v>1500</v>
      </c>
      <c r="P436" s="4" t="s">
        <v>1702</v>
      </c>
      <c r="V436" s="1"/>
      <c r="Z436"/>
      <c r="AA436"/>
    </row>
    <row r="437" spans="14:27" ht="16" x14ac:dyDescent="0.2">
      <c r="N437" s="1" t="s">
        <v>1329</v>
      </c>
      <c r="O437" s="4" t="s">
        <v>1500</v>
      </c>
      <c r="P437" s="4" t="s">
        <v>1705</v>
      </c>
      <c r="V437" s="1"/>
      <c r="Z437"/>
      <c r="AA437"/>
    </row>
    <row r="438" spans="14:27" ht="16" x14ac:dyDescent="0.2">
      <c r="N438" s="1" t="s">
        <v>1329</v>
      </c>
      <c r="O438" s="4" t="s">
        <v>1500</v>
      </c>
      <c r="P438" s="4" t="s">
        <v>1708</v>
      </c>
      <c r="V438" s="1"/>
      <c r="Z438"/>
      <c r="AA438"/>
    </row>
    <row r="439" spans="14:27" ht="16" x14ac:dyDescent="0.2">
      <c r="N439" s="1" t="s">
        <v>1329</v>
      </c>
      <c r="O439" s="4" t="s">
        <v>1500</v>
      </c>
      <c r="P439" s="4" t="s">
        <v>1711</v>
      </c>
      <c r="V439" s="1"/>
      <c r="Z439"/>
      <c r="AA439"/>
    </row>
    <row r="440" spans="14:27" ht="16" x14ac:dyDescent="0.2">
      <c r="N440" s="1" t="s">
        <v>1329</v>
      </c>
      <c r="O440" s="4" t="s">
        <v>1500</v>
      </c>
      <c r="P440" s="4" t="s">
        <v>1714</v>
      </c>
      <c r="V440" s="1"/>
      <c r="Z440"/>
      <c r="AA440"/>
    </row>
    <row r="441" spans="14:27" ht="16" x14ac:dyDescent="0.2">
      <c r="N441" s="1" t="s">
        <v>1329</v>
      </c>
      <c r="O441" s="4" t="s">
        <v>1500</v>
      </c>
      <c r="P441" s="4" t="s">
        <v>1716</v>
      </c>
      <c r="V441" s="1"/>
      <c r="Z441"/>
      <c r="AA441"/>
    </row>
    <row r="442" spans="14:27" ht="16" x14ac:dyDescent="0.2">
      <c r="N442" s="1" t="s">
        <v>1329</v>
      </c>
      <c r="O442" s="4" t="s">
        <v>1500</v>
      </c>
      <c r="P442" s="4" t="s">
        <v>1718</v>
      </c>
      <c r="V442" s="1"/>
      <c r="Z442"/>
      <c r="AA442"/>
    </row>
    <row r="443" spans="14:27" ht="16" x14ac:dyDescent="0.2">
      <c r="N443" s="1" t="s">
        <v>1329</v>
      </c>
      <c r="O443" s="4" t="s">
        <v>1503</v>
      </c>
      <c r="P443" s="4" t="s">
        <v>1721</v>
      </c>
      <c r="V443" s="1"/>
      <c r="Z443"/>
      <c r="AA443"/>
    </row>
    <row r="444" spans="14:27" ht="16" x14ac:dyDescent="0.2">
      <c r="N444" s="1" t="s">
        <v>1329</v>
      </c>
      <c r="O444" s="4" t="s">
        <v>1503</v>
      </c>
      <c r="P444" s="4" t="s">
        <v>1724</v>
      </c>
      <c r="V444" s="1"/>
      <c r="Z444"/>
      <c r="AA444"/>
    </row>
    <row r="445" spans="14:27" ht="16" x14ac:dyDescent="0.2">
      <c r="N445" s="1" t="s">
        <v>1329</v>
      </c>
      <c r="O445" s="4" t="s">
        <v>1503</v>
      </c>
      <c r="P445" s="4" t="s">
        <v>1726</v>
      </c>
      <c r="V445" s="1"/>
      <c r="Z445"/>
      <c r="AA445"/>
    </row>
    <row r="446" spans="14:27" ht="16" x14ac:dyDescent="0.2">
      <c r="N446" s="1" t="s">
        <v>1329</v>
      </c>
      <c r="O446" s="4" t="s">
        <v>1503</v>
      </c>
      <c r="P446" s="4" t="s">
        <v>1729</v>
      </c>
      <c r="V446" s="1"/>
      <c r="Z446"/>
      <c r="AA446"/>
    </row>
    <row r="447" spans="14:27" ht="16" x14ac:dyDescent="0.2">
      <c r="N447" s="1" t="s">
        <v>1329</v>
      </c>
      <c r="O447" s="4" t="s">
        <v>1503</v>
      </c>
      <c r="P447" s="4" t="s">
        <v>1732</v>
      </c>
      <c r="V447" s="1"/>
      <c r="Z447"/>
      <c r="AA447"/>
    </row>
    <row r="448" spans="14:27" ht="16" x14ac:dyDescent="0.2">
      <c r="N448" s="1" t="s">
        <v>1329</v>
      </c>
      <c r="O448" s="4" t="s">
        <v>1503</v>
      </c>
      <c r="P448" s="4" t="s">
        <v>1735</v>
      </c>
      <c r="V448" s="1"/>
      <c r="Z448"/>
      <c r="AA448"/>
    </row>
    <row r="449" spans="14:27" ht="16" x14ac:dyDescent="0.2">
      <c r="N449" s="1" t="s">
        <v>1329</v>
      </c>
      <c r="O449" s="4" t="s">
        <v>1503</v>
      </c>
      <c r="P449" s="4" t="s">
        <v>1738</v>
      </c>
      <c r="V449" s="1"/>
      <c r="Z449"/>
      <c r="AA449"/>
    </row>
    <row r="450" spans="14:27" ht="16" x14ac:dyDescent="0.2">
      <c r="N450" s="1" t="s">
        <v>1329</v>
      </c>
      <c r="O450" s="4" t="s">
        <v>1503</v>
      </c>
      <c r="P450" s="4" t="s">
        <v>1741</v>
      </c>
      <c r="V450" s="1"/>
      <c r="Z450"/>
      <c r="AA450"/>
    </row>
    <row r="451" spans="14:27" ht="16" x14ac:dyDescent="0.2">
      <c r="N451" s="1" t="s">
        <v>1329</v>
      </c>
      <c r="O451" s="4" t="s">
        <v>1503</v>
      </c>
      <c r="P451" s="4" t="s">
        <v>1744</v>
      </c>
      <c r="V451" s="1"/>
      <c r="Z451"/>
      <c r="AA451"/>
    </row>
    <row r="452" spans="14:27" ht="16" x14ac:dyDescent="0.2">
      <c r="N452" s="1" t="s">
        <v>1329</v>
      </c>
      <c r="O452" s="4" t="s">
        <v>1503</v>
      </c>
      <c r="P452" s="4" t="s">
        <v>1747</v>
      </c>
      <c r="V452" s="1"/>
      <c r="Z452"/>
      <c r="AA452"/>
    </row>
    <row r="453" spans="14:27" ht="16" x14ac:dyDescent="0.2">
      <c r="N453" s="1" t="s">
        <v>1329</v>
      </c>
      <c r="O453" s="4" t="s">
        <v>1521</v>
      </c>
      <c r="P453" s="4" t="s">
        <v>1750</v>
      </c>
      <c r="V453" s="1"/>
      <c r="Z453"/>
      <c r="AA453"/>
    </row>
    <row r="454" spans="14:27" ht="16" x14ac:dyDescent="0.2">
      <c r="N454" s="1" t="s">
        <v>1329</v>
      </c>
      <c r="O454" s="4" t="s">
        <v>1521</v>
      </c>
      <c r="P454" s="4" t="s">
        <v>1753</v>
      </c>
      <c r="V454" s="1"/>
      <c r="Z454"/>
      <c r="AA454"/>
    </row>
    <row r="455" spans="14:27" ht="16" x14ac:dyDescent="0.2">
      <c r="N455" s="1" t="s">
        <v>1329</v>
      </c>
      <c r="O455" s="4" t="s">
        <v>1521</v>
      </c>
      <c r="P455" s="4" t="s">
        <v>1756</v>
      </c>
      <c r="V455" s="1"/>
      <c r="Z455"/>
      <c r="AA455"/>
    </row>
    <row r="456" spans="14:27" ht="16" x14ac:dyDescent="0.2">
      <c r="N456" s="1" t="s">
        <v>1329</v>
      </c>
      <c r="O456" s="4" t="s">
        <v>1521</v>
      </c>
      <c r="P456" s="4" t="s">
        <v>1759</v>
      </c>
      <c r="V456" s="1"/>
      <c r="Z456"/>
      <c r="AA456"/>
    </row>
    <row r="457" spans="14:27" ht="16" x14ac:dyDescent="0.2">
      <c r="N457" s="1" t="s">
        <v>1329</v>
      </c>
      <c r="O457" s="4" t="s">
        <v>1521</v>
      </c>
      <c r="P457" s="4" t="s">
        <v>1762</v>
      </c>
      <c r="V457" s="1"/>
      <c r="Z457"/>
      <c r="AA457"/>
    </row>
    <row r="458" spans="14:27" ht="16" x14ac:dyDescent="0.2">
      <c r="N458" s="1" t="s">
        <v>1329</v>
      </c>
      <c r="O458" s="4" t="s">
        <v>1513</v>
      </c>
      <c r="P458" s="4" t="s">
        <v>1765</v>
      </c>
      <c r="V458" s="1"/>
      <c r="Z458"/>
      <c r="AA458"/>
    </row>
    <row r="459" spans="14:27" ht="16" x14ac:dyDescent="0.2">
      <c r="N459" s="1" t="s">
        <v>1329</v>
      </c>
      <c r="O459" s="4" t="s">
        <v>1513</v>
      </c>
      <c r="P459" s="4" t="s">
        <v>1768</v>
      </c>
      <c r="V459" s="1"/>
      <c r="Z459"/>
      <c r="AA459"/>
    </row>
    <row r="460" spans="14:27" ht="16" x14ac:dyDescent="0.2">
      <c r="N460" s="1" t="s">
        <v>1329</v>
      </c>
      <c r="O460" s="4" t="s">
        <v>1513</v>
      </c>
      <c r="P460" s="4" t="s">
        <v>1771</v>
      </c>
      <c r="V460" s="1"/>
      <c r="Z460"/>
      <c r="AA460"/>
    </row>
    <row r="461" spans="14:27" ht="16" x14ac:dyDescent="0.2">
      <c r="N461" s="1" t="s">
        <v>1329</v>
      </c>
      <c r="O461" s="4" t="s">
        <v>1513</v>
      </c>
      <c r="P461" s="4" t="s">
        <v>1774</v>
      </c>
      <c r="V461" s="1"/>
      <c r="Z461"/>
      <c r="AA461"/>
    </row>
    <row r="462" spans="14:27" ht="16" x14ac:dyDescent="0.2">
      <c r="N462" s="1" t="s">
        <v>1329</v>
      </c>
      <c r="O462" s="4" t="s">
        <v>1513</v>
      </c>
      <c r="P462" s="4" t="s">
        <v>1777</v>
      </c>
      <c r="V462" s="1"/>
      <c r="Z462"/>
      <c r="AA462"/>
    </row>
    <row r="463" spans="14:27" ht="16" x14ac:dyDescent="0.2">
      <c r="N463" s="1" t="s">
        <v>1329</v>
      </c>
      <c r="O463" s="4" t="s">
        <v>1513</v>
      </c>
      <c r="P463" s="4" t="s">
        <v>1780</v>
      </c>
      <c r="V463" s="1"/>
      <c r="Z463"/>
      <c r="AA463"/>
    </row>
    <row r="464" spans="14:27" ht="16" x14ac:dyDescent="0.2">
      <c r="N464" s="1" t="s">
        <v>1329</v>
      </c>
      <c r="O464" s="4" t="s">
        <v>1513</v>
      </c>
      <c r="P464" s="4" t="s">
        <v>1783</v>
      </c>
      <c r="V464" s="1"/>
      <c r="Z464"/>
      <c r="AA464"/>
    </row>
    <row r="465" spans="14:27" ht="16" x14ac:dyDescent="0.2">
      <c r="N465" s="1" t="s">
        <v>1329</v>
      </c>
      <c r="O465" s="4" t="s">
        <v>1513</v>
      </c>
      <c r="P465" s="4" t="s">
        <v>1786</v>
      </c>
      <c r="V465" s="1"/>
      <c r="Z465"/>
      <c r="AA465"/>
    </row>
    <row r="466" spans="14:27" ht="16" x14ac:dyDescent="0.2">
      <c r="N466" s="1" t="s">
        <v>1329</v>
      </c>
      <c r="O466" s="4" t="s">
        <v>1513</v>
      </c>
      <c r="P466" s="4" t="s">
        <v>1789</v>
      </c>
      <c r="V466" s="1"/>
      <c r="Z466"/>
      <c r="AA466"/>
    </row>
    <row r="467" spans="14:27" ht="16" x14ac:dyDescent="0.2">
      <c r="N467" s="1" t="s">
        <v>1329</v>
      </c>
      <c r="O467" s="4" t="s">
        <v>1513</v>
      </c>
      <c r="P467" s="4" t="s">
        <v>1792</v>
      </c>
      <c r="V467" s="1"/>
      <c r="Z467"/>
      <c r="AA467"/>
    </row>
    <row r="468" spans="14:27" ht="16" x14ac:dyDescent="0.2">
      <c r="N468" s="1" t="s">
        <v>1329</v>
      </c>
      <c r="O468" s="4" t="s">
        <v>1513</v>
      </c>
      <c r="P468" s="4" t="s">
        <v>1795</v>
      </c>
      <c r="V468" s="1"/>
      <c r="Z468"/>
      <c r="AA468"/>
    </row>
    <row r="469" spans="14:27" ht="16" x14ac:dyDescent="0.2">
      <c r="N469" s="1" t="s">
        <v>1329</v>
      </c>
      <c r="O469" s="4" t="s">
        <v>1510</v>
      </c>
      <c r="P469" s="4" t="s">
        <v>1798</v>
      </c>
      <c r="V469" s="1"/>
      <c r="Z469"/>
      <c r="AA469"/>
    </row>
    <row r="470" spans="14:27" ht="16" x14ac:dyDescent="0.2">
      <c r="N470" s="1" t="s">
        <v>1329</v>
      </c>
      <c r="O470" s="4" t="s">
        <v>1510</v>
      </c>
      <c r="P470" s="4" t="s">
        <v>1801</v>
      </c>
      <c r="V470" s="1"/>
      <c r="Z470"/>
      <c r="AA470"/>
    </row>
    <row r="471" spans="14:27" ht="16" x14ac:dyDescent="0.2">
      <c r="N471" s="1" t="s">
        <v>1329</v>
      </c>
      <c r="O471" s="4" t="s">
        <v>1510</v>
      </c>
      <c r="P471" s="4" t="s">
        <v>1804</v>
      </c>
      <c r="V471" s="1"/>
      <c r="Z471"/>
      <c r="AA471"/>
    </row>
    <row r="472" spans="14:27" ht="16" x14ac:dyDescent="0.2">
      <c r="N472" s="1" t="s">
        <v>1329</v>
      </c>
      <c r="O472" s="4" t="s">
        <v>1510</v>
      </c>
      <c r="P472" s="4" t="s">
        <v>1807</v>
      </c>
      <c r="V472" s="1"/>
      <c r="Z472"/>
      <c r="AA472"/>
    </row>
    <row r="473" spans="14:27" ht="16" x14ac:dyDescent="0.2">
      <c r="N473" s="1" t="s">
        <v>1329</v>
      </c>
      <c r="O473" s="4" t="s">
        <v>1510</v>
      </c>
      <c r="P473" s="4" t="s">
        <v>1810</v>
      </c>
      <c r="V473" s="1"/>
      <c r="Z473"/>
      <c r="AA473"/>
    </row>
    <row r="474" spans="14:27" ht="16" x14ac:dyDescent="0.2">
      <c r="N474" s="1" t="s">
        <v>1329</v>
      </c>
      <c r="O474" s="4" t="s">
        <v>1506</v>
      </c>
      <c r="P474" s="4" t="s">
        <v>1813</v>
      </c>
      <c r="V474" s="1"/>
      <c r="Z474"/>
      <c r="AA474"/>
    </row>
    <row r="475" spans="14:27" ht="16" x14ac:dyDescent="0.2">
      <c r="N475" s="1" t="s">
        <v>1329</v>
      </c>
      <c r="O475" s="4" t="s">
        <v>142</v>
      </c>
      <c r="P475" s="4" t="s">
        <v>1816</v>
      </c>
      <c r="V475" s="1"/>
      <c r="Z475"/>
      <c r="AA475"/>
    </row>
    <row r="476" spans="14:27" ht="16" x14ac:dyDescent="0.2">
      <c r="N476" s="1" t="s">
        <v>1329</v>
      </c>
      <c r="O476" s="4" t="s">
        <v>142</v>
      </c>
      <c r="P476" s="4" t="s">
        <v>1819</v>
      </c>
      <c r="V476" s="1"/>
      <c r="Z476"/>
      <c r="AA476"/>
    </row>
    <row r="477" spans="14:27" ht="16" x14ac:dyDescent="0.2">
      <c r="N477" s="1" t="s">
        <v>1329</v>
      </c>
      <c r="O477" s="4" t="s">
        <v>142</v>
      </c>
      <c r="P477" s="4" t="s">
        <v>1822</v>
      </c>
      <c r="V477" s="1"/>
      <c r="Z477"/>
      <c r="AA477"/>
    </row>
    <row r="478" spans="14:27" ht="16" x14ac:dyDescent="0.2">
      <c r="N478" s="1" t="s">
        <v>1329</v>
      </c>
      <c r="O478" s="4" t="s">
        <v>142</v>
      </c>
      <c r="P478" s="4" t="s">
        <v>1825</v>
      </c>
      <c r="V478" s="1"/>
      <c r="Z478"/>
      <c r="AA478"/>
    </row>
    <row r="479" spans="14:27" ht="16" x14ac:dyDescent="0.2">
      <c r="N479" s="1" t="s">
        <v>1329</v>
      </c>
      <c r="O479" s="4" t="s">
        <v>142</v>
      </c>
      <c r="P479" s="4" t="s">
        <v>1828</v>
      </c>
      <c r="V479" s="1"/>
      <c r="Z479"/>
      <c r="AA479"/>
    </row>
    <row r="480" spans="14:27" ht="16" x14ac:dyDescent="0.2">
      <c r="N480" s="1" t="s">
        <v>1329</v>
      </c>
      <c r="O480" s="4" t="s">
        <v>142</v>
      </c>
      <c r="P480" s="4" t="s">
        <v>1831</v>
      </c>
      <c r="V480" s="1"/>
      <c r="Z480"/>
      <c r="AA480"/>
    </row>
    <row r="481" spans="14:27" ht="16" x14ac:dyDescent="0.2">
      <c r="N481" s="1" t="s">
        <v>1329</v>
      </c>
      <c r="O481" s="4" t="s">
        <v>142</v>
      </c>
      <c r="P481" s="4" t="s">
        <v>1834</v>
      </c>
      <c r="V481" s="1"/>
      <c r="Z481"/>
      <c r="AA481"/>
    </row>
    <row r="482" spans="14:27" ht="16" x14ac:dyDescent="0.2">
      <c r="N482" s="1" t="s">
        <v>1329</v>
      </c>
      <c r="O482" s="4" t="s">
        <v>142</v>
      </c>
      <c r="P482" s="4" t="s">
        <v>1837</v>
      </c>
      <c r="V482" s="1"/>
      <c r="Z482"/>
      <c r="AA482"/>
    </row>
    <row r="483" spans="14:27" ht="16" x14ac:dyDescent="0.2">
      <c r="N483" s="1" t="s">
        <v>1329</v>
      </c>
      <c r="O483" s="4" t="s">
        <v>170</v>
      </c>
      <c r="P483" s="4" t="s">
        <v>1840</v>
      </c>
      <c r="V483" s="1"/>
      <c r="Z483"/>
      <c r="AA483"/>
    </row>
    <row r="484" spans="14:27" ht="16" x14ac:dyDescent="0.2">
      <c r="N484" s="1" t="s">
        <v>1329</v>
      </c>
      <c r="O484" s="4" t="s">
        <v>170</v>
      </c>
      <c r="P484" s="4" t="s">
        <v>1843</v>
      </c>
      <c r="V484" s="1"/>
      <c r="Z484"/>
      <c r="AA484"/>
    </row>
    <row r="485" spans="14:27" ht="16" x14ac:dyDescent="0.2">
      <c r="N485" s="1" t="s">
        <v>1329</v>
      </c>
      <c r="O485" s="4" t="s">
        <v>170</v>
      </c>
      <c r="P485" s="4" t="s">
        <v>1846</v>
      </c>
      <c r="V485" s="1"/>
      <c r="Z485"/>
      <c r="AA485"/>
    </row>
    <row r="486" spans="14:27" ht="16" x14ac:dyDescent="0.2">
      <c r="N486" s="1" t="s">
        <v>1329</v>
      </c>
      <c r="O486" s="4" t="s">
        <v>170</v>
      </c>
      <c r="P486" s="4" t="s">
        <v>1849</v>
      </c>
      <c r="V486" s="1"/>
      <c r="Z486"/>
      <c r="AA486"/>
    </row>
    <row r="487" spans="14:27" ht="16" x14ac:dyDescent="0.2">
      <c r="N487" s="1" t="s">
        <v>1329</v>
      </c>
      <c r="O487" s="4" t="s">
        <v>170</v>
      </c>
      <c r="P487" s="4" t="s">
        <v>1852</v>
      </c>
      <c r="V487" s="1"/>
      <c r="Z487"/>
      <c r="AA487"/>
    </row>
    <row r="488" spans="14:27" ht="16" x14ac:dyDescent="0.2">
      <c r="N488" s="1" t="s">
        <v>1329</v>
      </c>
      <c r="O488" s="4" t="s">
        <v>170</v>
      </c>
      <c r="P488" s="4" t="s">
        <v>1855</v>
      </c>
      <c r="V488" s="1"/>
      <c r="Z488"/>
      <c r="AA488"/>
    </row>
    <row r="489" spans="14:27" ht="16" x14ac:dyDescent="0.2">
      <c r="N489" s="1" t="s">
        <v>1329</v>
      </c>
      <c r="O489" s="4" t="s">
        <v>170</v>
      </c>
      <c r="P489" s="4" t="s">
        <v>1858</v>
      </c>
      <c r="V489" s="1"/>
      <c r="Z489"/>
      <c r="AA489"/>
    </row>
    <row r="490" spans="14:27" ht="16" x14ac:dyDescent="0.2">
      <c r="N490" s="1" t="s">
        <v>1329</v>
      </c>
      <c r="O490" s="4" t="s">
        <v>170</v>
      </c>
      <c r="P490" s="4" t="s">
        <v>1861</v>
      </c>
      <c r="V490" s="1"/>
      <c r="Z490"/>
      <c r="AA490"/>
    </row>
    <row r="491" spans="14:27" ht="16" x14ac:dyDescent="0.2">
      <c r="N491" s="1" t="s">
        <v>1329</v>
      </c>
      <c r="O491" s="4" t="s">
        <v>1525</v>
      </c>
      <c r="P491" s="4" t="s">
        <v>1864</v>
      </c>
      <c r="V491" s="1"/>
      <c r="Z491"/>
      <c r="AA491"/>
    </row>
    <row r="492" spans="14:27" ht="16" x14ac:dyDescent="0.2">
      <c r="N492" s="1" t="s">
        <v>1329</v>
      </c>
      <c r="O492" s="4" t="s">
        <v>1525</v>
      </c>
      <c r="P492" s="4" t="s">
        <v>1867</v>
      </c>
      <c r="V492" s="1"/>
      <c r="Z492"/>
      <c r="AA492"/>
    </row>
    <row r="493" spans="14:27" ht="16" x14ac:dyDescent="0.2">
      <c r="N493" s="1" t="s">
        <v>1329</v>
      </c>
      <c r="O493" s="4" t="s">
        <v>1525</v>
      </c>
      <c r="P493" s="4" t="s">
        <v>1870</v>
      </c>
      <c r="V493" s="1"/>
      <c r="Z493"/>
      <c r="AA493"/>
    </row>
    <row r="494" spans="14:27" ht="16" x14ac:dyDescent="0.2">
      <c r="N494" s="1" t="s">
        <v>1329</v>
      </c>
      <c r="O494" s="4" t="s">
        <v>1525</v>
      </c>
      <c r="P494" s="4" t="s">
        <v>1873</v>
      </c>
      <c r="V494" s="1"/>
      <c r="Z494"/>
      <c r="AA494"/>
    </row>
    <row r="495" spans="14:27" ht="16" x14ac:dyDescent="0.2">
      <c r="N495" s="1" t="s">
        <v>1329</v>
      </c>
      <c r="O495" s="4" t="s">
        <v>1525</v>
      </c>
      <c r="P495" s="4" t="s">
        <v>1876</v>
      </c>
      <c r="V495" s="1"/>
      <c r="Z495"/>
      <c r="AA495"/>
    </row>
    <row r="496" spans="14:27" ht="16" x14ac:dyDescent="0.2">
      <c r="N496" s="1" t="s">
        <v>1329</v>
      </c>
      <c r="O496" s="4" t="s">
        <v>1525</v>
      </c>
      <c r="P496" s="4" t="s">
        <v>1879</v>
      </c>
      <c r="V496" s="1"/>
      <c r="Z496"/>
      <c r="AA496"/>
    </row>
    <row r="497" spans="14:27" ht="16" x14ac:dyDescent="0.2">
      <c r="N497" s="1" t="s">
        <v>1329</v>
      </c>
      <c r="O497" s="4" t="s">
        <v>1525</v>
      </c>
      <c r="P497" s="4" t="s">
        <v>1881</v>
      </c>
      <c r="V497" s="1"/>
      <c r="Z497"/>
      <c r="AA497"/>
    </row>
    <row r="498" spans="14:27" ht="16" x14ac:dyDescent="0.2">
      <c r="N498" s="1" t="s">
        <v>1329</v>
      </c>
      <c r="O498" s="4" t="s">
        <v>1525</v>
      </c>
      <c r="P498" s="4" t="s">
        <v>1884</v>
      </c>
      <c r="V498" s="1"/>
      <c r="Z498"/>
      <c r="AA498"/>
    </row>
    <row r="499" spans="14:27" ht="16" x14ac:dyDescent="0.2">
      <c r="N499" s="1" t="s">
        <v>1329</v>
      </c>
      <c r="O499" s="4" t="s">
        <v>210</v>
      </c>
      <c r="P499" s="4" t="s">
        <v>1887</v>
      </c>
      <c r="V499" s="1"/>
      <c r="Z499"/>
      <c r="AA499"/>
    </row>
    <row r="500" spans="14:27" ht="16" x14ac:dyDescent="0.2">
      <c r="N500" s="1" t="s">
        <v>1329</v>
      </c>
      <c r="O500" s="4" t="s">
        <v>210</v>
      </c>
      <c r="P500" s="4" t="s">
        <v>799</v>
      </c>
      <c r="V500" s="1"/>
      <c r="Z500"/>
      <c r="AA500"/>
    </row>
    <row r="501" spans="14:27" ht="16" x14ac:dyDescent="0.2">
      <c r="N501" s="1" t="s">
        <v>1329</v>
      </c>
      <c r="O501" s="4" t="s">
        <v>210</v>
      </c>
      <c r="P501" s="4" t="s">
        <v>1890</v>
      </c>
      <c r="V501" s="1"/>
      <c r="Z501"/>
      <c r="AA501"/>
    </row>
    <row r="502" spans="14:27" ht="16" x14ac:dyDescent="0.2">
      <c r="N502" s="1" t="s">
        <v>1329</v>
      </c>
      <c r="O502" s="4" t="s">
        <v>1556</v>
      </c>
      <c r="P502" s="4" t="s">
        <v>1893</v>
      </c>
      <c r="V502" s="1"/>
      <c r="Z502"/>
      <c r="AA502"/>
    </row>
    <row r="503" spans="14:27" ht="16" x14ac:dyDescent="0.2">
      <c r="N503" s="1" t="s">
        <v>1329</v>
      </c>
      <c r="O503" s="4" t="s">
        <v>1556</v>
      </c>
      <c r="P503" s="4" t="s">
        <v>1896</v>
      </c>
      <c r="V503" s="1"/>
      <c r="Z503"/>
      <c r="AA503"/>
    </row>
    <row r="504" spans="14:27" ht="16" x14ac:dyDescent="0.2">
      <c r="N504" s="1" t="s">
        <v>1329</v>
      </c>
      <c r="O504" s="4" t="s">
        <v>1556</v>
      </c>
      <c r="P504" s="4" t="s">
        <v>1899</v>
      </c>
      <c r="V504" s="1"/>
      <c r="Z504"/>
      <c r="AA504"/>
    </row>
    <row r="505" spans="14:27" ht="16" x14ac:dyDescent="0.2">
      <c r="N505" s="1" t="s">
        <v>1329</v>
      </c>
      <c r="O505" s="4" t="s">
        <v>1556</v>
      </c>
      <c r="P505" s="4" t="s">
        <v>1902</v>
      </c>
      <c r="V505" s="1"/>
      <c r="Z505"/>
      <c r="AA505"/>
    </row>
    <row r="506" spans="14:27" ht="16" x14ac:dyDescent="0.2">
      <c r="N506" s="1" t="s">
        <v>1329</v>
      </c>
      <c r="O506" s="4" t="s">
        <v>1556</v>
      </c>
      <c r="P506" s="4" t="s">
        <v>1905</v>
      </c>
      <c r="V506" s="1"/>
      <c r="Z506"/>
      <c r="AA506"/>
    </row>
    <row r="507" spans="14:27" ht="16" x14ac:dyDescent="0.2">
      <c r="N507" s="1" t="s">
        <v>1329</v>
      </c>
      <c r="O507" s="4" t="s">
        <v>1556</v>
      </c>
      <c r="P507" s="4" t="s">
        <v>1908</v>
      </c>
      <c r="V507" s="1"/>
      <c r="Z507"/>
      <c r="AA507"/>
    </row>
    <row r="508" spans="14:27" ht="16" x14ac:dyDescent="0.2">
      <c r="N508" s="1" t="s">
        <v>1329</v>
      </c>
      <c r="O508" s="4" t="s">
        <v>1556</v>
      </c>
      <c r="P508" s="4" t="s">
        <v>1911</v>
      </c>
      <c r="V508" s="1"/>
      <c r="Z508"/>
      <c r="AA508"/>
    </row>
    <row r="509" spans="14:27" ht="16" x14ac:dyDescent="0.2">
      <c r="N509" s="1" t="s">
        <v>1329</v>
      </c>
      <c r="O509" s="4" t="s">
        <v>1556</v>
      </c>
      <c r="P509" s="4" t="s">
        <v>1914</v>
      </c>
      <c r="V509" s="1"/>
      <c r="Z509"/>
      <c r="AA509"/>
    </row>
    <row r="510" spans="14:27" ht="16" x14ac:dyDescent="0.2">
      <c r="N510" s="1" t="s">
        <v>1329</v>
      </c>
      <c r="O510" s="4" t="s">
        <v>1556</v>
      </c>
      <c r="P510" s="4" t="s">
        <v>1917</v>
      </c>
      <c r="V510" s="1"/>
      <c r="Z510"/>
      <c r="AA510"/>
    </row>
    <row r="511" spans="14:27" ht="16" x14ac:dyDescent="0.2">
      <c r="N511" s="1" t="s">
        <v>1329</v>
      </c>
      <c r="O511" s="4" t="s">
        <v>1556</v>
      </c>
      <c r="P511" s="4" t="s">
        <v>1920</v>
      </c>
      <c r="V511" s="1"/>
      <c r="Z511"/>
      <c r="AA511"/>
    </row>
    <row r="512" spans="14:27" ht="16" x14ac:dyDescent="0.2">
      <c r="N512" s="1" t="s">
        <v>1329</v>
      </c>
      <c r="O512" s="4" t="s">
        <v>1553</v>
      </c>
      <c r="P512" s="4" t="s">
        <v>1923</v>
      </c>
      <c r="V512" s="1"/>
      <c r="Z512"/>
      <c r="AA512"/>
    </row>
    <row r="513" spans="14:27" ht="16" x14ac:dyDescent="0.2">
      <c r="N513" s="1" t="s">
        <v>1329</v>
      </c>
      <c r="O513" s="4" t="s">
        <v>1553</v>
      </c>
      <c r="P513" s="4" t="s">
        <v>1926</v>
      </c>
      <c r="V513" s="1"/>
      <c r="Z513"/>
      <c r="AA513"/>
    </row>
    <row r="514" spans="14:27" ht="16" x14ac:dyDescent="0.2">
      <c r="N514" s="1" t="s">
        <v>1329</v>
      </c>
      <c r="O514" s="4" t="s">
        <v>1553</v>
      </c>
      <c r="P514" s="4" t="s">
        <v>1929</v>
      </c>
      <c r="V514" s="1"/>
      <c r="Z514"/>
      <c r="AA514"/>
    </row>
    <row r="515" spans="14:27" ht="16" x14ac:dyDescent="0.2">
      <c r="N515" s="1" t="s">
        <v>1329</v>
      </c>
      <c r="O515" s="4" t="s">
        <v>1553</v>
      </c>
      <c r="P515" s="4" t="s">
        <v>1932</v>
      </c>
      <c r="V515" s="1"/>
      <c r="Z515"/>
      <c r="AA515"/>
    </row>
    <row r="516" spans="14:27" ht="16" x14ac:dyDescent="0.2">
      <c r="N516" s="1" t="s">
        <v>1329</v>
      </c>
      <c r="O516" s="4" t="s">
        <v>1553</v>
      </c>
      <c r="P516" s="4" t="s">
        <v>1935</v>
      </c>
      <c r="V516" s="1"/>
      <c r="Z516"/>
      <c r="AA516"/>
    </row>
    <row r="517" spans="14:27" ht="16" x14ac:dyDescent="0.2">
      <c r="N517" s="1" t="s">
        <v>1329</v>
      </c>
      <c r="O517" s="4" t="s">
        <v>1553</v>
      </c>
      <c r="P517" s="4" t="s">
        <v>1938</v>
      </c>
      <c r="V517" s="1"/>
      <c r="Z517"/>
      <c r="AA517"/>
    </row>
    <row r="518" spans="14:27" ht="16" x14ac:dyDescent="0.2">
      <c r="N518" s="1" t="s">
        <v>1329</v>
      </c>
      <c r="O518" s="4" t="s">
        <v>1553</v>
      </c>
      <c r="P518" s="4" t="s">
        <v>1941</v>
      </c>
      <c r="V518" s="1"/>
      <c r="Z518"/>
      <c r="AA518"/>
    </row>
    <row r="519" spans="14:27" ht="16" x14ac:dyDescent="0.2">
      <c r="N519" s="1" t="s">
        <v>1329</v>
      </c>
      <c r="O519" s="4" t="s">
        <v>1553</v>
      </c>
      <c r="P519" s="4" t="s">
        <v>1944</v>
      </c>
      <c r="V519" s="1"/>
      <c r="Z519"/>
      <c r="AA519"/>
    </row>
    <row r="520" spans="14:27" ht="16" x14ac:dyDescent="0.2">
      <c r="N520" s="1" t="s">
        <v>1329</v>
      </c>
      <c r="O520" s="4" t="s">
        <v>1553</v>
      </c>
      <c r="P520" s="4" t="s">
        <v>1947</v>
      </c>
      <c r="V520" s="1"/>
      <c r="Z520"/>
      <c r="AA520"/>
    </row>
    <row r="521" spans="14:27" ht="16" x14ac:dyDescent="0.2">
      <c r="N521" s="1" t="s">
        <v>1329</v>
      </c>
      <c r="O521" s="4" t="s">
        <v>1553</v>
      </c>
      <c r="P521" s="4" t="s">
        <v>1950</v>
      </c>
      <c r="V521" s="1"/>
      <c r="Z521"/>
      <c r="AA521"/>
    </row>
    <row r="522" spans="14:27" ht="16" x14ac:dyDescent="0.2">
      <c r="N522" s="1" t="s">
        <v>1329</v>
      </c>
      <c r="O522" s="4" t="s">
        <v>1565</v>
      </c>
      <c r="P522" s="4" t="s">
        <v>1953</v>
      </c>
      <c r="V522" s="1"/>
      <c r="Z522"/>
      <c r="AA522"/>
    </row>
    <row r="523" spans="14:27" ht="16" x14ac:dyDescent="0.2">
      <c r="N523" s="1" t="s">
        <v>1329</v>
      </c>
      <c r="O523" s="4" t="s">
        <v>1565</v>
      </c>
      <c r="P523" s="4" t="s">
        <v>1955</v>
      </c>
      <c r="V523" s="1"/>
      <c r="Z523"/>
      <c r="AA523"/>
    </row>
    <row r="524" spans="14:27" ht="16" x14ac:dyDescent="0.2">
      <c r="N524" s="1" t="s">
        <v>1329</v>
      </c>
      <c r="O524" s="4" t="s">
        <v>1565</v>
      </c>
      <c r="P524" s="4" t="s">
        <v>1957</v>
      </c>
      <c r="V524" s="1"/>
      <c r="Z524"/>
      <c r="AA524"/>
    </row>
    <row r="525" spans="14:27" ht="16" x14ac:dyDescent="0.2">
      <c r="N525" s="1" t="s">
        <v>1329</v>
      </c>
      <c r="O525" s="4" t="s">
        <v>1565</v>
      </c>
      <c r="P525" s="4" t="s">
        <v>1959</v>
      </c>
      <c r="V525" s="1"/>
      <c r="Z525"/>
      <c r="AA525"/>
    </row>
    <row r="526" spans="14:27" ht="16" x14ac:dyDescent="0.2">
      <c r="N526" s="1" t="s">
        <v>1329</v>
      </c>
      <c r="O526" s="4" t="s">
        <v>1565</v>
      </c>
      <c r="P526" s="4" t="s">
        <v>1961</v>
      </c>
      <c r="V526" s="1"/>
      <c r="Z526"/>
      <c r="AA526"/>
    </row>
    <row r="527" spans="14:27" ht="16" x14ac:dyDescent="0.2">
      <c r="N527" s="1" t="s">
        <v>1329</v>
      </c>
      <c r="O527" s="4" t="s">
        <v>1565</v>
      </c>
      <c r="P527" s="4" t="s">
        <v>1963</v>
      </c>
      <c r="V527" s="1"/>
      <c r="Z527"/>
      <c r="AA527"/>
    </row>
    <row r="528" spans="14:27" ht="16" x14ac:dyDescent="0.2">
      <c r="N528" s="1" t="s">
        <v>1329</v>
      </c>
      <c r="O528" s="4" t="s">
        <v>1565</v>
      </c>
      <c r="P528" s="4" t="s">
        <v>1965</v>
      </c>
      <c r="V528" s="1"/>
      <c r="Z528"/>
      <c r="AA528"/>
    </row>
    <row r="529" spans="14:27" ht="16" x14ac:dyDescent="0.2">
      <c r="N529" s="1" t="s">
        <v>1329</v>
      </c>
      <c r="O529" s="4" t="s">
        <v>1559</v>
      </c>
      <c r="P529" s="4" t="s">
        <v>1967</v>
      </c>
      <c r="V529" s="1"/>
      <c r="Z529"/>
      <c r="AA529"/>
    </row>
    <row r="530" spans="14:27" ht="16" x14ac:dyDescent="0.2">
      <c r="N530" s="1" t="s">
        <v>1329</v>
      </c>
      <c r="O530" s="4" t="s">
        <v>1559</v>
      </c>
      <c r="P530" s="4" t="s">
        <v>1969</v>
      </c>
      <c r="V530" s="1"/>
      <c r="Z530"/>
      <c r="AA530"/>
    </row>
    <row r="531" spans="14:27" ht="16" x14ac:dyDescent="0.2">
      <c r="N531" s="1" t="s">
        <v>1329</v>
      </c>
      <c r="O531" s="4" t="s">
        <v>1559</v>
      </c>
      <c r="P531" s="4" t="s">
        <v>1971</v>
      </c>
      <c r="V531" s="1"/>
      <c r="Z531"/>
      <c r="AA531"/>
    </row>
    <row r="532" spans="14:27" ht="16" x14ac:dyDescent="0.2">
      <c r="N532" s="1" t="s">
        <v>1329</v>
      </c>
      <c r="O532" s="4" t="s">
        <v>1559</v>
      </c>
      <c r="P532" s="4" t="s">
        <v>1973</v>
      </c>
      <c r="V532" s="1"/>
      <c r="Z532"/>
      <c r="AA532"/>
    </row>
    <row r="533" spans="14:27" ht="16" x14ac:dyDescent="0.2">
      <c r="N533" s="1" t="s">
        <v>1329</v>
      </c>
      <c r="O533" s="4" t="s">
        <v>1559</v>
      </c>
      <c r="P533" s="4" t="s">
        <v>1975</v>
      </c>
      <c r="V533" s="1"/>
      <c r="Z533"/>
      <c r="AA533"/>
    </row>
    <row r="534" spans="14:27" ht="16" x14ac:dyDescent="0.2">
      <c r="N534" s="1" t="s">
        <v>1329</v>
      </c>
      <c r="O534" s="4" t="s">
        <v>1559</v>
      </c>
      <c r="P534" s="4" t="s">
        <v>1977</v>
      </c>
      <c r="V534" s="1"/>
      <c r="Z534"/>
      <c r="AA534"/>
    </row>
    <row r="535" spans="14:27" ht="16" x14ac:dyDescent="0.2">
      <c r="N535" s="1" t="s">
        <v>1329</v>
      </c>
      <c r="O535" s="4" t="s">
        <v>1559</v>
      </c>
      <c r="P535" s="4" t="s">
        <v>1979</v>
      </c>
      <c r="V535" s="1"/>
      <c r="Z535"/>
      <c r="AA535"/>
    </row>
    <row r="536" spans="14:27" ht="16" x14ac:dyDescent="0.2">
      <c r="N536" s="1" t="s">
        <v>1329</v>
      </c>
      <c r="O536" s="4" t="s">
        <v>1559</v>
      </c>
      <c r="P536" s="4" t="s">
        <v>1981</v>
      </c>
      <c r="V536" s="1"/>
      <c r="Z536"/>
      <c r="AA536"/>
    </row>
    <row r="537" spans="14:27" ht="16" x14ac:dyDescent="0.2">
      <c r="N537" s="1" t="s">
        <v>1329</v>
      </c>
      <c r="O537" s="4" t="s">
        <v>1559</v>
      </c>
      <c r="P537" s="4" t="s">
        <v>1983</v>
      </c>
      <c r="V537" s="1"/>
      <c r="Z537"/>
      <c r="AA537"/>
    </row>
    <row r="538" spans="14:27" ht="16" x14ac:dyDescent="0.2">
      <c r="N538" s="1" t="s">
        <v>1329</v>
      </c>
      <c r="O538" s="4" t="s">
        <v>1559</v>
      </c>
      <c r="P538" s="4" t="s">
        <v>1985</v>
      </c>
      <c r="V538" s="1"/>
      <c r="Z538"/>
      <c r="AA538"/>
    </row>
    <row r="539" spans="14:27" ht="16" x14ac:dyDescent="0.2">
      <c r="N539" s="1" t="s">
        <v>1329</v>
      </c>
      <c r="O539" s="4" t="s">
        <v>1559</v>
      </c>
      <c r="P539" s="4" t="s">
        <v>1987</v>
      </c>
      <c r="V539" s="1"/>
      <c r="Z539"/>
      <c r="AA539"/>
    </row>
    <row r="540" spans="14:27" ht="16" x14ac:dyDescent="0.2">
      <c r="N540" s="1" t="s">
        <v>1329</v>
      </c>
      <c r="O540" s="4" t="s">
        <v>1562</v>
      </c>
      <c r="P540" s="4" t="s">
        <v>1989</v>
      </c>
      <c r="V540" s="1"/>
      <c r="Z540"/>
      <c r="AA540"/>
    </row>
    <row r="541" spans="14:27" ht="16" x14ac:dyDescent="0.2">
      <c r="N541" s="1" t="s">
        <v>1329</v>
      </c>
      <c r="O541" s="4" t="s">
        <v>1562</v>
      </c>
      <c r="P541" s="4" t="s">
        <v>1991</v>
      </c>
      <c r="V541" s="1"/>
      <c r="Z541"/>
      <c r="AA541"/>
    </row>
    <row r="542" spans="14:27" ht="16" x14ac:dyDescent="0.2">
      <c r="N542" s="1" t="s">
        <v>1329</v>
      </c>
      <c r="O542" s="4" t="s">
        <v>1562</v>
      </c>
      <c r="P542" s="4" t="s">
        <v>1993</v>
      </c>
      <c r="V542" s="1"/>
      <c r="Z542"/>
      <c r="AA542"/>
    </row>
    <row r="543" spans="14:27" ht="16" x14ac:dyDescent="0.2">
      <c r="N543" s="1" t="s">
        <v>1329</v>
      </c>
      <c r="O543" s="4" t="s">
        <v>1562</v>
      </c>
      <c r="P543" s="4" t="s">
        <v>1995</v>
      </c>
      <c r="V543" s="1"/>
      <c r="Z543"/>
      <c r="AA543"/>
    </row>
    <row r="544" spans="14:27" ht="16" x14ac:dyDescent="0.2">
      <c r="N544" s="1" t="s">
        <v>1329</v>
      </c>
      <c r="O544" s="4" t="s">
        <v>1562</v>
      </c>
      <c r="P544" s="4" t="s">
        <v>1997</v>
      </c>
      <c r="V544" s="1"/>
      <c r="Z544"/>
      <c r="AA544"/>
    </row>
    <row r="545" spans="14:27" ht="16" x14ac:dyDescent="0.2">
      <c r="N545" s="1" t="s">
        <v>1329</v>
      </c>
      <c r="O545" s="4" t="s">
        <v>1562</v>
      </c>
      <c r="P545" s="4" t="s">
        <v>1999</v>
      </c>
      <c r="V545" s="1"/>
      <c r="Z545"/>
      <c r="AA545"/>
    </row>
    <row r="546" spans="14:27" ht="16" x14ac:dyDescent="0.2">
      <c r="N546" s="1" t="s">
        <v>1329</v>
      </c>
      <c r="O546" s="4" t="s">
        <v>1562</v>
      </c>
      <c r="P546" s="4" t="s">
        <v>2001</v>
      </c>
      <c r="V546" s="1"/>
      <c r="Z546"/>
      <c r="AA546"/>
    </row>
    <row r="547" spans="14:27" ht="16" x14ac:dyDescent="0.2">
      <c r="N547" s="1" t="s">
        <v>1329</v>
      </c>
      <c r="O547" s="4" t="s">
        <v>1529</v>
      </c>
      <c r="P547" s="4" t="s">
        <v>2003</v>
      </c>
      <c r="V547" s="1"/>
      <c r="Z547"/>
      <c r="AA547"/>
    </row>
    <row r="548" spans="14:27" ht="16" x14ac:dyDescent="0.2">
      <c r="N548" s="1" t="s">
        <v>1329</v>
      </c>
      <c r="O548" s="4" t="s">
        <v>1529</v>
      </c>
      <c r="P548" s="4" t="s">
        <v>2005</v>
      </c>
      <c r="V548" s="1"/>
      <c r="Z548"/>
      <c r="AA548"/>
    </row>
    <row r="549" spans="14:27" ht="16" x14ac:dyDescent="0.2">
      <c r="N549" s="1" t="s">
        <v>1329</v>
      </c>
      <c r="O549" s="4" t="s">
        <v>1529</v>
      </c>
      <c r="P549" s="4" t="s">
        <v>2007</v>
      </c>
      <c r="V549" s="1"/>
      <c r="Z549"/>
      <c r="AA549"/>
    </row>
    <row r="550" spans="14:27" ht="16" x14ac:dyDescent="0.2">
      <c r="N550" s="1" t="s">
        <v>1329</v>
      </c>
      <c r="O550" s="4" t="s">
        <v>1529</v>
      </c>
      <c r="P550" s="4" t="s">
        <v>2009</v>
      </c>
      <c r="V550" s="1"/>
      <c r="Z550"/>
      <c r="AA550"/>
    </row>
    <row r="551" spans="14:27" ht="16" x14ac:dyDescent="0.2">
      <c r="N551" s="1" t="s">
        <v>1329</v>
      </c>
      <c r="O551" s="4" t="s">
        <v>1529</v>
      </c>
      <c r="P551" s="4" t="s">
        <v>2011</v>
      </c>
      <c r="V551" s="1"/>
      <c r="Z551"/>
      <c r="AA551"/>
    </row>
    <row r="552" spans="14:27" ht="16" x14ac:dyDescent="0.2">
      <c r="N552" s="1" t="s">
        <v>1329</v>
      </c>
      <c r="O552" s="4" t="s">
        <v>1532</v>
      </c>
      <c r="P552" s="4" t="s">
        <v>2012</v>
      </c>
      <c r="V552" s="1"/>
      <c r="Z552"/>
      <c r="AA552"/>
    </row>
    <row r="553" spans="14:27" ht="16" x14ac:dyDescent="0.2">
      <c r="N553" s="1" t="s">
        <v>1329</v>
      </c>
      <c r="O553" s="4" t="s">
        <v>1532</v>
      </c>
      <c r="P553" s="4" t="s">
        <v>2014</v>
      </c>
      <c r="V553" s="1"/>
      <c r="Z553"/>
      <c r="AA553"/>
    </row>
    <row r="554" spans="14:27" ht="16" x14ac:dyDescent="0.2">
      <c r="N554" s="1" t="s">
        <v>1329</v>
      </c>
      <c r="O554" s="4" t="s">
        <v>1532</v>
      </c>
      <c r="P554" s="4" t="s">
        <v>2016</v>
      </c>
      <c r="V554" s="1"/>
      <c r="Z554"/>
      <c r="AA554"/>
    </row>
    <row r="555" spans="14:27" ht="16" x14ac:dyDescent="0.2">
      <c r="N555" s="1" t="s">
        <v>1329</v>
      </c>
      <c r="O555" s="4" t="s">
        <v>1532</v>
      </c>
      <c r="P555" s="4" t="s">
        <v>1045</v>
      </c>
      <c r="V555" s="1"/>
      <c r="Z555"/>
      <c r="AA555"/>
    </row>
    <row r="556" spans="14:27" ht="16" x14ac:dyDescent="0.2">
      <c r="N556" s="1" t="s">
        <v>1329</v>
      </c>
      <c r="O556" s="4" t="s">
        <v>1532</v>
      </c>
      <c r="P556" s="4" t="s">
        <v>2018</v>
      </c>
      <c r="V556" s="1"/>
      <c r="Z556"/>
      <c r="AA556"/>
    </row>
    <row r="557" spans="14:27" ht="16" x14ac:dyDescent="0.2">
      <c r="N557" s="1" t="s">
        <v>1329</v>
      </c>
      <c r="O557" s="4" t="s">
        <v>1532</v>
      </c>
      <c r="P557" s="4" t="s">
        <v>2020</v>
      </c>
      <c r="V557" s="1"/>
      <c r="Z557"/>
      <c r="AA557"/>
    </row>
    <row r="558" spans="14:27" ht="16" x14ac:dyDescent="0.2">
      <c r="N558" s="1" t="s">
        <v>1329</v>
      </c>
      <c r="O558" s="4" t="s">
        <v>1532</v>
      </c>
      <c r="P558" s="4" t="s">
        <v>2022</v>
      </c>
      <c r="V558" s="1"/>
      <c r="Z558"/>
      <c r="AA558"/>
    </row>
    <row r="559" spans="14:27" ht="16" x14ac:dyDescent="0.2">
      <c r="N559" s="1" t="s">
        <v>1329</v>
      </c>
      <c r="O559" s="4" t="s">
        <v>1535</v>
      </c>
      <c r="P559" s="4" t="s">
        <v>2024</v>
      </c>
      <c r="V559" s="1"/>
      <c r="Z559"/>
      <c r="AA559"/>
    </row>
    <row r="560" spans="14:27" ht="16" x14ac:dyDescent="0.2">
      <c r="N560" s="1" t="s">
        <v>1329</v>
      </c>
      <c r="O560" s="4" t="s">
        <v>1535</v>
      </c>
      <c r="P560" s="4" t="s">
        <v>2026</v>
      </c>
      <c r="V560" s="1"/>
      <c r="Z560"/>
      <c r="AA560"/>
    </row>
    <row r="561" spans="14:27" ht="16" x14ac:dyDescent="0.2">
      <c r="N561" s="1" t="s">
        <v>1329</v>
      </c>
      <c r="O561" s="4" t="s">
        <v>1535</v>
      </c>
      <c r="P561" s="4" t="s">
        <v>2028</v>
      </c>
      <c r="V561" s="1"/>
      <c r="Z561"/>
      <c r="AA561"/>
    </row>
    <row r="562" spans="14:27" ht="16" x14ac:dyDescent="0.2">
      <c r="N562" s="1" t="s">
        <v>1329</v>
      </c>
      <c r="O562" s="4" t="s">
        <v>1538</v>
      </c>
      <c r="P562" s="4" t="s">
        <v>2030</v>
      </c>
      <c r="V562" s="1"/>
      <c r="Z562"/>
      <c r="AA562"/>
    </row>
    <row r="563" spans="14:27" ht="16" x14ac:dyDescent="0.2">
      <c r="N563" s="1" t="s">
        <v>1329</v>
      </c>
      <c r="O563" s="4" t="s">
        <v>1538</v>
      </c>
      <c r="P563" s="4" t="s">
        <v>2032</v>
      </c>
      <c r="V563" s="1"/>
      <c r="Z563"/>
      <c r="AA563"/>
    </row>
    <row r="564" spans="14:27" ht="16" x14ac:dyDescent="0.2">
      <c r="N564" s="1" t="s">
        <v>1329</v>
      </c>
      <c r="O564" s="4" t="s">
        <v>1538</v>
      </c>
      <c r="P564" s="4" t="s">
        <v>2034</v>
      </c>
      <c r="V564" s="1"/>
      <c r="Z564"/>
      <c r="AA564"/>
    </row>
    <row r="565" spans="14:27" ht="16" x14ac:dyDescent="0.2">
      <c r="N565" s="1" t="s">
        <v>1329</v>
      </c>
      <c r="O565" s="4" t="s">
        <v>1538</v>
      </c>
      <c r="P565" s="4" t="s">
        <v>2036</v>
      </c>
      <c r="V565" s="1"/>
      <c r="Z565"/>
      <c r="AA565"/>
    </row>
    <row r="566" spans="14:27" ht="16" x14ac:dyDescent="0.2">
      <c r="N566" s="1" t="s">
        <v>1329</v>
      </c>
      <c r="O566" s="4" t="s">
        <v>1538</v>
      </c>
      <c r="P566" s="4" t="s">
        <v>2038</v>
      </c>
      <c r="V566" s="1"/>
      <c r="Z566"/>
      <c r="AA566"/>
    </row>
    <row r="567" spans="14:27" ht="16" x14ac:dyDescent="0.2">
      <c r="N567" s="1" t="s">
        <v>1329</v>
      </c>
      <c r="O567" s="4" t="s">
        <v>1538</v>
      </c>
      <c r="P567" s="4" t="s">
        <v>2040</v>
      </c>
      <c r="V567" s="1"/>
      <c r="Z567"/>
      <c r="AA567"/>
    </row>
    <row r="568" spans="14:27" ht="16" x14ac:dyDescent="0.2">
      <c r="N568" s="1" t="s">
        <v>1329</v>
      </c>
      <c r="O568" s="4" t="s">
        <v>1541</v>
      </c>
      <c r="P568" s="4" t="s">
        <v>2042</v>
      </c>
      <c r="V568" s="1"/>
      <c r="Z568"/>
      <c r="AA568"/>
    </row>
    <row r="569" spans="14:27" ht="16" x14ac:dyDescent="0.2">
      <c r="N569" s="1" t="s">
        <v>1329</v>
      </c>
      <c r="O569" s="4" t="s">
        <v>1541</v>
      </c>
      <c r="P569" s="4" t="s">
        <v>2044</v>
      </c>
      <c r="V569" s="1"/>
      <c r="Z569"/>
      <c r="AA569"/>
    </row>
    <row r="570" spans="14:27" ht="16" x14ac:dyDescent="0.2">
      <c r="N570" s="1" t="s">
        <v>1329</v>
      </c>
      <c r="O570" s="4" t="s">
        <v>1541</v>
      </c>
      <c r="P570" s="4" t="s">
        <v>2046</v>
      </c>
      <c r="V570" s="1"/>
      <c r="Z570"/>
      <c r="AA570"/>
    </row>
    <row r="571" spans="14:27" ht="16" x14ac:dyDescent="0.2">
      <c r="N571" s="1" t="s">
        <v>1329</v>
      </c>
      <c r="O571" s="4" t="s">
        <v>1544</v>
      </c>
      <c r="P571" s="4" t="s">
        <v>2048</v>
      </c>
      <c r="V571" s="1"/>
      <c r="Z571"/>
      <c r="AA571"/>
    </row>
    <row r="572" spans="14:27" ht="16" x14ac:dyDescent="0.2">
      <c r="N572" s="1" t="s">
        <v>1329</v>
      </c>
      <c r="O572" s="4" t="s">
        <v>1544</v>
      </c>
      <c r="P572" s="4" t="s">
        <v>2050</v>
      </c>
      <c r="V572" s="1"/>
      <c r="Z572"/>
      <c r="AA572"/>
    </row>
    <row r="573" spans="14:27" ht="16" x14ac:dyDescent="0.2">
      <c r="N573" s="1" t="s">
        <v>1329</v>
      </c>
      <c r="O573" s="4" t="s">
        <v>1547</v>
      </c>
      <c r="P573" s="4" t="s">
        <v>2052</v>
      </c>
      <c r="V573" s="1"/>
      <c r="Z573"/>
      <c r="AA573"/>
    </row>
    <row r="574" spans="14:27" ht="16" x14ac:dyDescent="0.2">
      <c r="N574" s="1" t="s">
        <v>1329</v>
      </c>
      <c r="O574" s="4" t="s">
        <v>1547</v>
      </c>
      <c r="P574" s="4" t="s">
        <v>2054</v>
      </c>
      <c r="V574" s="1"/>
      <c r="Z574"/>
      <c r="AA574"/>
    </row>
    <row r="575" spans="14:27" ht="16" x14ac:dyDescent="0.2">
      <c r="N575" s="1" t="s">
        <v>1329</v>
      </c>
      <c r="O575" s="4" t="s">
        <v>1547</v>
      </c>
      <c r="P575" s="4" t="s">
        <v>2056</v>
      </c>
      <c r="V575" s="1"/>
      <c r="Z575"/>
      <c r="AA575"/>
    </row>
    <row r="576" spans="14:27" ht="16" x14ac:dyDescent="0.2">
      <c r="N576" s="1" t="s">
        <v>1329</v>
      </c>
      <c r="O576" s="4" t="s">
        <v>1547</v>
      </c>
      <c r="P576" s="4" t="s">
        <v>2058</v>
      </c>
      <c r="V576" s="1"/>
      <c r="Z576"/>
      <c r="AA576"/>
    </row>
    <row r="577" spans="14:27" ht="16" x14ac:dyDescent="0.2">
      <c r="N577" s="1" t="s">
        <v>1329</v>
      </c>
      <c r="O577" s="4" t="s">
        <v>1547</v>
      </c>
      <c r="P577" s="4" t="s">
        <v>2060</v>
      </c>
      <c r="V577" s="1"/>
      <c r="Z577"/>
      <c r="AA577"/>
    </row>
    <row r="578" spans="14:27" ht="16" x14ac:dyDescent="0.2">
      <c r="N578" s="1" t="s">
        <v>1329</v>
      </c>
      <c r="O578" s="4" t="s">
        <v>1550</v>
      </c>
      <c r="P578" s="4" t="s">
        <v>2061</v>
      </c>
      <c r="V578" s="1"/>
      <c r="Z578"/>
      <c r="AA578"/>
    </row>
    <row r="579" spans="14:27" ht="16" x14ac:dyDescent="0.2">
      <c r="N579" s="1" t="s">
        <v>1329</v>
      </c>
      <c r="O579" s="4" t="s">
        <v>1550</v>
      </c>
      <c r="P579" s="4" t="s">
        <v>799</v>
      </c>
      <c r="V579" s="1"/>
      <c r="Z579"/>
      <c r="AA579"/>
    </row>
    <row r="580" spans="14:27" ht="16" x14ac:dyDescent="0.2">
      <c r="N580" s="1" t="s">
        <v>1329</v>
      </c>
      <c r="O580" s="4" t="s">
        <v>1550</v>
      </c>
      <c r="P580" s="4" t="s">
        <v>1890</v>
      </c>
      <c r="V580" s="1"/>
      <c r="Z580"/>
      <c r="AA580"/>
    </row>
    <row r="581" spans="14:27" x14ac:dyDescent="0.2">
      <c r="V581" s="1"/>
      <c r="Z581"/>
      <c r="AA581"/>
    </row>
    <row r="582" spans="14:27" x14ac:dyDescent="0.2">
      <c r="V582" s="1"/>
      <c r="Z582"/>
      <c r="AA582"/>
    </row>
    <row r="583" spans="14:27" x14ac:dyDescent="0.2">
      <c r="V583" s="1"/>
      <c r="Z583"/>
      <c r="AA583"/>
    </row>
  </sheetData>
  <mergeCells count="2">
    <mergeCell ref="A359:C359"/>
    <mergeCell ref="A364:C364"/>
  </mergeCells>
  <phoneticPr fontId="23" type="noConversion"/>
  <pageMargins left="0.7" right="0.7" top="0.75" bottom="0.75" header="0.3" footer="0.3"/>
  <pageSetup paperSize="9" orientation="portrait"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3:F20"/>
  <sheetViews>
    <sheetView workbookViewId="0">
      <selection activeCell="E13" sqref="E13"/>
    </sheetView>
  </sheetViews>
  <sheetFormatPr baseColWidth="10" defaultColWidth="8.83203125" defaultRowHeight="15" x14ac:dyDescent="0.2"/>
  <cols>
    <col min="2" max="2" width="16.5" customWidth="1"/>
    <col min="3" max="3" width="27.5" bestFit="1" customWidth="1"/>
    <col min="4" max="4" width="17.5" style="53" customWidth="1"/>
    <col min="5" max="5" width="60.5" customWidth="1"/>
    <col min="6" max="6" width="18.5" bestFit="1" customWidth="1"/>
  </cols>
  <sheetData>
    <row r="3" spans="2:6" ht="21" customHeight="1" x14ac:dyDescent="0.2">
      <c r="B3" s="52" t="s">
        <v>2064</v>
      </c>
      <c r="C3" s="51" t="s">
        <v>2065</v>
      </c>
      <c r="D3" s="52" t="s">
        <v>2066</v>
      </c>
      <c r="E3" s="52" t="s">
        <v>2067</v>
      </c>
      <c r="F3" s="52" t="s">
        <v>2068</v>
      </c>
    </row>
    <row r="4" spans="2:6" ht="32" x14ac:dyDescent="0.2">
      <c r="B4" s="55">
        <v>1.2</v>
      </c>
      <c r="C4" s="57">
        <v>43882</v>
      </c>
      <c r="D4" s="55" t="s">
        <v>2069</v>
      </c>
      <c r="E4" s="55" t="s">
        <v>2070</v>
      </c>
      <c r="F4" s="54"/>
    </row>
    <row r="5" spans="2:6" ht="32" x14ac:dyDescent="0.2">
      <c r="B5" s="55">
        <v>1.3</v>
      </c>
      <c r="C5" s="57">
        <v>43941</v>
      </c>
      <c r="D5" s="55" t="s">
        <v>2071</v>
      </c>
      <c r="E5" s="55" t="s">
        <v>2072</v>
      </c>
      <c r="F5" s="54"/>
    </row>
    <row r="6" spans="2:6" ht="16" x14ac:dyDescent="0.2">
      <c r="B6" s="55">
        <v>1.3</v>
      </c>
      <c r="C6" s="57">
        <v>43941</v>
      </c>
      <c r="D6" s="55" t="s">
        <v>2073</v>
      </c>
      <c r="E6" s="55" t="s">
        <v>2074</v>
      </c>
      <c r="F6" s="54"/>
    </row>
    <row r="7" spans="2:6" ht="64" x14ac:dyDescent="0.2">
      <c r="B7" s="55">
        <v>1.3</v>
      </c>
      <c r="C7" s="57">
        <v>43945</v>
      </c>
      <c r="D7" s="55" t="s">
        <v>2071</v>
      </c>
      <c r="E7" s="55" t="s">
        <v>2075</v>
      </c>
      <c r="F7" s="54"/>
    </row>
    <row r="8" spans="2:6" ht="32" x14ac:dyDescent="0.2">
      <c r="B8" s="55">
        <v>1.3</v>
      </c>
      <c r="C8" s="57">
        <v>43950</v>
      </c>
      <c r="D8" s="58" t="s">
        <v>2076</v>
      </c>
      <c r="E8" s="55" t="s">
        <v>2077</v>
      </c>
      <c r="F8" s="54"/>
    </row>
    <row r="9" spans="2:6" ht="32" x14ac:dyDescent="0.2">
      <c r="B9" s="55">
        <v>1.3</v>
      </c>
      <c r="C9" s="57">
        <v>43958</v>
      </c>
      <c r="D9" s="58" t="s">
        <v>2078</v>
      </c>
      <c r="E9" s="55" t="s">
        <v>2079</v>
      </c>
      <c r="F9" s="54"/>
    </row>
    <row r="10" spans="2:6" ht="32" x14ac:dyDescent="0.2">
      <c r="B10" s="55">
        <v>1.4</v>
      </c>
      <c r="C10" s="57">
        <v>44090</v>
      </c>
      <c r="D10" s="55" t="s">
        <v>2080</v>
      </c>
      <c r="E10" s="60" t="s">
        <v>2081</v>
      </c>
      <c r="F10" s="54" t="s">
        <v>2082</v>
      </c>
    </row>
    <row r="11" spans="2:6" ht="32" x14ac:dyDescent="0.2">
      <c r="B11" s="55">
        <v>1.4</v>
      </c>
      <c r="C11" s="57">
        <v>44090</v>
      </c>
      <c r="D11" s="55" t="s">
        <v>2083</v>
      </c>
      <c r="E11" s="60" t="s">
        <v>2084</v>
      </c>
      <c r="F11" s="54" t="s">
        <v>2082</v>
      </c>
    </row>
    <row r="12" spans="2:6" ht="32" x14ac:dyDescent="0.2">
      <c r="B12" s="55">
        <v>1.4</v>
      </c>
      <c r="C12" s="57">
        <v>44090</v>
      </c>
      <c r="D12" s="55" t="s">
        <v>2085</v>
      </c>
      <c r="E12" s="60" t="s">
        <v>2086</v>
      </c>
      <c r="F12" s="54" t="s">
        <v>2082</v>
      </c>
    </row>
    <row r="13" spans="2:6" x14ac:dyDescent="0.2">
      <c r="B13" s="54"/>
      <c r="C13" s="54"/>
      <c r="D13" s="58"/>
      <c r="E13" s="54"/>
      <c r="F13" s="54"/>
    </row>
    <row r="14" spans="2:6" x14ac:dyDescent="0.2">
      <c r="B14" s="54"/>
      <c r="C14" s="54"/>
      <c r="D14" s="58"/>
      <c r="E14" s="54"/>
      <c r="F14" s="54"/>
    </row>
    <row r="15" spans="2:6" x14ac:dyDescent="0.2">
      <c r="B15" s="54"/>
      <c r="C15" s="54"/>
      <c r="D15" s="58"/>
      <c r="E15" s="54"/>
      <c r="F15" s="54"/>
    </row>
    <row r="16" spans="2:6" x14ac:dyDescent="0.2">
      <c r="B16" s="54"/>
      <c r="C16" s="54"/>
      <c r="D16" s="58"/>
      <c r="E16" s="54"/>
      <c r="F16" s="54"/>
    </row>
    <row r="17" spans="2:6" x14ac:dyDescent="0.2">
      <c r="B17" s="54"/>
      <c r="C17" s="54"/>
      <c r="D17" s="58"/>
      <c r="E17" s="54"/>
      <c r="F17" s="54"/>
    </row>
    <row r="18" spans="2:6" x14ac:dyDescent="0.2">
      <c r="B18" s="54"/>
      <c r="C18" s="54"/>
      <c r="D18" s="58"/>
      <c r="E18" s="54"/>
      <c r="F18" s="54"/>
    </row>
    <row r="19" spans="2:6" x14ac:dyDescent="0.2">
      <c r="B19" s="54"/>
      <c r="C19" s="54"/>
      <c r="D19" s="58"/>
      <c r="E19" s="54"/>
      <c r="F19" s="54"/>
    </row>
    <row r="20" spans="2:6" x14ac:dyDescent="0.2">
      <c r="B20" s="56"/>
      <c r="C20" s="56"/>
      <c r="D20" s="59"/>
      <c r="E20" s="56"/>
      <c r="F20" s="5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AF160"/>
  <sheetViews>
    <sheetView workbookViewId="0"/>
  </sheetViews>
  <sheetFormatPr baseColWidth="10" defaultColWidth="8.83203125" defaultRowHeight="15" x14ac:dyDescent="0.2"/>
  <sheetData>
    <row r="1" spans="1:32" x14ac:dyDescent="0.2">
      <c r="A1" t="s">
        <v>2087</v>
      </c>
      <c r="B1" t="s">
        <v>2088</v>
      </c>
      <c r="Y1" s="61" t="s">
        <v>2089</v>
      </c>
      <c r="Z1" s="61" t="s">
        <v>2090</v>
      </c>
      <c r="AA1" t="s">
        <v>2091</v>
      </c>
      <c r="AB1" t="s">
        <v>2092</v>
      </c>
      <c r="AC1" t="s">
        <v>2093</v>
      </c>
      <c r="AD1" t="s">
        <v>2094</v>
      </c>
      <c r="AE1" t="s">
        <v>2095</v>
      </c>
      <c r="AF1" t="s">
        <v>2096</v>
      </c>
    </row>
    <row r="2" spans="1:32" x14ac:dyDescent="0.2">
      <c r="Y2" s="61"/>
      <c r="Z2" s="61"/>
      <c r="AA2" s="61" t="s">
        <v>2097</v>
      </c>
      <c r="AB2" s="61" t="s">
        <v>2098</v>
      </c>
      <c r="AC2" s="61" t="s">
        <v>2099</v>
      </c>
      <c r="AD2" s="61" t="s">
        <v>1425</v>
      </c>
      <c r="AE2" s="61" t="s">
        <v>1425</v>
      </c>
      <c r="AF2" s="61" t="s">
        <v>73</v>
      </c>
    </row>
    <row r="3" spans="1:32" x14ac:dyDescent="0.2">
      <c r="AA3" s="61" t="s">
        <v>1420</v>
      </c>
      <c r="AB3" s="61" t="s">
        <v>2100</v>
      </c>
      <c r="AC3" s="61" t="s">
        <v>2101</v>
      </c>
      <c r="AD3" s="61" t="s">
        <v>1421</v>
      </c>
      <c r="AE3" s="61" t="s">
        <v>1421</v>
      </c>
      <c r="AF3" s="61" t="s">
        <v>2102</v>
      </c>
    </row>
    <row r="4" spans="1:32" x14ac:dyDescent="0.2">
      <c r="AA4" s="61" t="s">
        <v>61</v>
      </c>
      <c r="AB4" s="61" t="s">
        <v>2103</v>
      </c>
      <c r="AC4" s="61" t="s">
        <v>2104</v>
      </c>
      <c r="AD4" s="61" t="s">
        <v>1416</v>
      </c>
      <c r="AE4" s="61" t="s">
        <v>1416</v>
      </c>
      <c r="AF4" s="61" t="s">
        <v>2105</v>
      </c>
    </row>
    <row r="5" spans="1:32" x14ac:dyDescent="0.2">
      <c r="AA5" s="61" t="s">
        <v>2106</v>
      </c>
      <c r="AC5" s="61" t="s">
        <v>2107</v>
      </c>
      <c r="AD5" s="61" t="s">
        <v>1430</v>
      </c>
      <c r="AF5" s="61" t="s">
        <v>1430</v>
      </c>
    </row>
    <row r="6" spans="1:32" x14ac:dyDescent="0.2">
      <c r="AA6" s="61" t="s">
        <v>2108</v>
      </c>
      <c r="AC6" s="61" t="s">
        <v>46</v>
      </c>
      <c r="AF6" s="61" t="s">
        <v>2109</v>
      </c>
    </row>
    <row r="7" spans="1:32" x14ac:dyDescent="0.2">
      <c r="AA7" s="61" t="s">
        <v>2110</v>
      </c>
      <c r="AC7" s="61" t="s">
        <v>2111</v>
      </c>
    </row>
    <row r="8" spans="1:32" x14ac:dyDescent="0.2">
      <c r="AA8" s="61" t="s">
        <v>2112</v>
      </c>
    </row>
    <row r="9" spans="1:32" x14ac:dyDescent="0.2">
      <c r="AA9" s="61" t="s">
        <v>2113</v>
      </c>
    </row>
    <row r="10" spans="1:32" x14ac:dyDescent="0.2">
      <c r="AA10" s="61" t="s">
        <v>2114</v>
      </c>
    </row>
    <row r="11" spans="1:32" x14ac:dyDescent="0.2">
      <c r="AA11" s="61" t="s">
        <v>2115</v>
      </c>
    </row>
    <row r="12" spans="1:32" x14ac:dyDescent="0.2">
      <c r="AA12" s="61" t="s">
        <v>2116</v>
      </c>
    </row>
    <row r="13" spans="1:32" x14ac:dyDescent="0.2">
      <c r="AA13" s="61" t="s">
        <v>2117</v>
      </c>
    </row>
    <row r="14" spans="1:32" x14ac:dyDescent="0.2">
      <c r="AA14" s="61" t="s">
        <v>2118</v>
      </c>
    </row>
    <row r="15" spans="1:32" x14ac:dyDescent="0.2">
      <c r="AA15" s="61" t="s">
        <v>2119</v>
      </c>
    </row>
    <row r="16" spans="1:32" x14ac:dyDescent="0.2">
      <c r="AA16" s="61" t="s">
        <v>2120</v>
      </c>
    </row>
    <row r="17" spans="27:27" x14ac:dyDescent="0.2">
      <c r="AA17" s="61" t="s">
        <v>2121</v>
      </c>
    </row>
    <row r="18" spans="27:27" x14ac:dyDescent="0.2">
      <c r="AA18" s="61" t="s">
        <v>2122</v>
      </c>
    </row>
    <row r="19" spans="27:27" x14ac:dyDescent="0.2">
      <c r="AA19" s="61" t="s">
        <v>2123</v>
      </c>
    </row>
    <row r="20" spans="27:27" x14ac:dyDescent="0.2">
      <c r="AA20" s="61" t="s">
        <v>2124</v>
      </c>
    </row>
    <row r="21" spans="27:27" x14ac:dyDescent="0.2">
      <c r="AA21" s="61" t="s">
        <v>2125</v>
      </c>
    </row>
    <row r="22" spans="27:27" x14ac:dyDescent="0.2">
      <c r="AA22" s="61" t="s">
        <v>2126</v>
      </c>
    </row>
    <row r="23" spans="27:27" x14ac:dyDescent="0.2">
      <c r="AA23" s="61" t="s">
        <v>2127</v>
      </c>
    </row>
    <row r="24" spans="27:27" x14ac:dyDescent="0.2">
      <c r="AA24" s="61" t="s">
        <v>2128</v>
      </c>
    </row>
    <row r="25" spans="27:27" x14ac:dyDescent="0.2">
      <c r="AA25" s="61" t="s">
        <v>2129</v>
      </c>
    </row>
    <row r="26" spans="27:27" x14ac:dyDescent="0.2">
      <c r="AA26" s="61" t="s">
        <v>2130</v>
      </c>
    </row>
    <row r="27" spans="27:27" x14ac:dyDescent="0.2">
      <c r="AA27" s="61" t="s">
        <v>2131</v>
      </c>
    </row>
    <row r="28" spans="27:27" x14ac:dyDescent="0.2">
      <c r="AA28" s="61" t="s">
        <v>2132</v>
      </c>
    </row>
    <row r="29" spans="27:27" x14ac:dyDescent="0.2">
      <c r="AA29" s="61" t="s">
        <v>2133</v>
      </c>
    </row>
    <row r="30" spans="27:27" x14ac:dyDescent="0.2">
      <c r="AA30" s="61" t="s">
        <v>2134</v>
      </c>
    </row>
    <row r="31" spans="27:27" x14ac:dyDescent="0.2">
      <c r="AA31" s="61" t="s">
        <v>2135</v>
      </c>
    </row>
    <row r="32" spans="27:27" x14ac:dyDescent="0.2">
      <c r="AA32" s="61" t="s">
        <v>2136</v>
      </c>
    </row>
    <row r="33" spans="27:27" x14ac:dyDescent="0.2">
      <c r="AA33" s="61" t="s">
        <v>2137</v>
      </c>
    </row>
    <row r="34" spans="27:27" x14ac:dyDescent="0.2">
      <c r="AA34" s="61" t="s">
        <v>2138</v>
      </c>
    </row>
    <row r="35" spans="27:27" x14ac:dyDescent="0.2">
      <c r="AA35" s="61" t="s">
        <v>2139</v>
      </c>
    </row>
    <row r="36" spans="27:27" x14ac:dyDescent="0.2">
      <c r="AA36" s="61" t="s">
        <v>2140</v>
      </c>
    </row>
    <row r="37" spans="27:27" x14ac:dyDescent="0.2">
      <c r="AA37" s="61" t="s">
        <v>2141</v>
      </c>
    </row>
    <row r="38" spans="27:27" x14ac:dyDescent="0.2">
      <c r="AA38" s="61" t="s">
        <v>2142</v>
      </c>
    </row>
    <row r="39" spans="27:27" x14ac:dyDescent="0.2">
      <c r="AA39" s="61" t="s">
        <v>2143</v>
      </c>
    </row>
    <row r="40" spans="27:27" x14ac:dyDescent="0.2">
      <c r="AA40" s="61" t="s">
        <v>2144</v>
      </c>
    </row>
    <row r="41" spans="27:27" x14ac:dyDescent="0.2">
      <c r="AA41" s="61" t="s">
        <v>2145</v>
      </c>
    </row>
    <row r="42" spans="27:27" x14ac:dyDescent="0.2">
      <c r="AA42" s="61" t="s">
        <v>2146</v>
      </c>
    </row>
    <row r="43" spans="27:27" x14ac:dyDescent="0.2">
      <c r="AA43" s="61" t="s">
        <v>2147</v>
      </c>
    </row>
    <row r="44" spans="27:27" x14ac:dyDescent="0.2">
      <c r="AA44" s="61" t="s">
        <v>2148</v>
      </c>
    </row>
    <row r="45" spans="27:27" x14ac:dyDescent="0.2">
      <c r="AA45" s="61" t="s">
        <v>2149</v>
      </c>
    </row>
    <row r="46" spans="27:27" x14ac:dyDescent="0.2">
      <c r="AA46" s="61" t="s">
        <v>2150</v>
      </c>
    </row>
    <row r="47" spans="27:27" x14ac:dyDescent="0.2">
      <c r="AA47" s="61" t="s">
        <v>2151</v>
      </c>
    </row>
    <row r="48" spans="27:27" x14ac:dyDescent="0.2">
      <c r="AA48" s="61" t="s">
        <v>2152</v>
      </c>
    </row>
    <row r="49" spans="27:27" x14ac:dyDescent="0.2">
      <c r="AA49" s="61" t="s">
        <v>2153</v>
      </c>
    </row>
    <row r="50" spans="27:27" x14ac:dyDescent="0.2">
      <c r="AA50" s="61" t="s">
        <v>2154</v>
      </c>
    </row>
    <row r="51" spans="27:27" x14ac:dyDescent="0.2">
      <c r="AA51" s="61" t="s">
        <v>2155</v>
      </c>
    </row>
    <row r="52" spans="27:27" x14ac:dyDescent="0.2">
      <c r="AA52" s="61" t="s">
        <v>2156</v>
      </c>
    </row>
    <row r="53" spans="27:27" x14ac:dyDescent="0.2">
      <c r="AA53" s="61" t="s">
        <v>2157</v>
      </c>
    </row>
    <row r="54" spans="27:27" x14ac:dyDescent="0.2">
      <c r="AA54" s="61" t="s">
        <v>2158</v>
      </c>
    </row>
    <row r="55" spans="27:27" x14ac:dyDescent="0.2">
      <c r="AA55" s="61" t="s">
        <v>2159</v>
      </c>
    </row>
    <row r="56" spans="27:27" x14ac:dyDescent="0.2">
      <c r="AA56" s="61" t="s">
        <v>2160</v>
      </c>
    </row>
    <row r="57" spans="27:27" x14ac:dyDescent="0.2">
      <c r="AA57" s="61" t="s">
        <v>2161</v>
      </c>
    </row>
    <row r="58" spans="27:27" x14ac:dyDescent="0.2">
      <c r="AA58" s="61" t="s">
        <v>2162</v>
      </c>
    </row>
    <row r="59" spans="27:27" x14ac:dyDescent="0.2">
      <c r="AA59" s="61" t="s">
        <v>2163</v>
      </c>
    </row>
    <row r="60" spans="27:27" x14ac:dyDescent="0.2">
      <c r="AA60" s="61" t="s">
        <v>2164</v>
      </c>
    </row>
    <row r="61" spans="27:27" x14ac:dyDescent="0.2">
      <c r="AA61" s="61" t="s">
        <v>2165</v>
      </c>
    </row>
    <row r="62" spans="27:27" x14ac:dyDescent="0.2">
      <c r="AA62" s="61" t="s">
        <v>2166</v>
      </c>
    </row>
    <row r="63" spans="27:27" x14ac:dyDescent="0.2">
      <c r="AA63" s="61" t="s">
        <v>2167</v>
      </c>
    </row>
    <row r="64" spans="27:27" x14ac:dyDescent="0.2">
      <c r="AA64" s="61" t="s">
        <v>2168</v>
      </c>
    </row>
    <row r="65" spans="27:27" x14ac:dyDescent="0.2">
      <c r="AA65" s="61" t="s">
        <v>2169</v>
      </c>
    </row>
    <row r="66" spans="27:27" x14ac:dyDescent="0.2">
      <c r="AA66" s="61" t="s">
        <v>2170</v>
      </c>
    </row>
    <row r="67" spans="27:27" x14ac:dyDescent="0.2">
      <c r="AA67" s="61" t="s">
        <v>2171</v>
      </c>
    </row>
    <row r="68" spans="27:27" x14ac:dyDescent="0.2">
      <c r="AA68" s="61" t="s">
        <v>2172</v>
      </c>
    </row>
    <row r="69" spans="27:27" x14ac:dyDescent="0.2">
      <c r="AA69" s="61" t="s">
        <v>2173</v>
      </c>
    </row>
    <row r="70" spans="27:27" x14ac:dyDescent="0.2">
      <c r="AA70" s="61" t="s">
        <v>2174</v>
      </c>
    </row>
    <row r="71" spans="27:27" x14ac:dyDescent="0.2">
      <c r="AA71" s="61" t="s">
        <v>2175</v>
      </c>
    </row>
    <row r="72" spans="27:27" x14ac:dyDescent="0.2">
      <c r="AA72" s="61" t="s">
        <v>2176</v>
      </c>
    </row>
    <row r="73" spans="27:27" x14ac:dyDescent="0.2">
      <c r="AA73" s="61" t="s">
        <v>2177</v>
      </c>
    </row>
    <row r="74" spans="27:27" x14ac:dyDescent="0.2">
      <c r="AA74" s="61" t="s">
        <v>2178</v>
      </c>
    </row>
    <row r="75" spans="27:27" x14ac:dyDescent="0.2">
      <c r="AA75" s="61" t="s">
        <v>2179</v>
      </c>
    </row>
    <row r="76" spans="27:27" x14ac:dyDescent="0.2">
      <c r="AA76" s="61" t="s">
        <v>2180</v>
      </c>
    </row>
    <row r="77" spans="27:27" x14ac:dyDescent="0.2">
      <c r="AA77" s="61" t="s">
        <v>2181</v>
      </c>
    </row>
    <row r="78" spans="27:27" x14ac:dyDescent="0.2">
      <c r="AA78" s="61" t="s">
        <v>2182</v>
      </c>
    </row>
    <row r="79" spans="27:27" x14ac:dyDescent="0.2">
      <c r="AA79" s="61" t="s">
        <v>2183</v>
      </c>
    </row>
    <row r="80" spans="27:27" x14ac:dyDescent="0.2">
      <c r="AA80" s="61" t="s">
        <v>2184</v>
      </c>
    </row>
    <row r="81" spans="27:27" x14ac:dyDescent="0.2">
      <c r="AA81" s="61" t="s">
        <v>2185</v>
      </c>
    </row>
    <row r="82" spans="27:27" x14ac:dyDescent="0.2">
      <c r="AA82" s="61" t="s">
        <v>2186</v>
      </c>
    </row>
    <row r="83" spans="27:27" x14ac:dyDescent="0.2">
      <c r="AA83" s="61" t="s">
        <v>2187</v>
      </c>
    </row>
    <row r="84" spans="27:27" x14ac:dyDescent="0.2">
      <c r="AA84" s="61" t="s">
        <v>2188</v>
      </c>
    </row>
    <row r="85" spans="27:27" x14ac:dyDescent="0.2">
      <c r="AA85" s="61" t="s">
        <v>2189</v>
      </c>
    </row>
    <row r="86" spans="27:27" x14ac:dyDescent="0.2">
      <c r="AA86" s="61" t="s">
        <v>2190</v>
      </c>
    </row>
    <row r="87" spans="27:27" x14ac:dyDescent="0.2">
      <c r="AA87" s="61" t="s">
        <v>2191</v>
      </c>
    </row>
    <row r="88" spans="27:27" x14ac:dyDescent="0.2">
      <c r="AA88" s="61" t="s">
        <v>2192</v>
      </c>
    </row>
    <row r="89" spans="27:27" x14ac:dyDescent="0.2">
      <c r="AA89" s="61" t="s">
        <v>2193</v>
      </c>
    </row>
    <row r="90" spans="27:27" x14ac:dyDescent="0.2">
      <c r="AA90" s="61" t="s">
        <v>2194</v>
      </c>
    </row>
    <row r="91" spans="27:27" x14ac:dyDescent="0.2">
      <c r="AA91" s="61" t="s">
        <v>2195</v>
      </c>
    </row>
    <row r="92" spans="27:27" x14ac:dyDescent="0.2">
      <c r="AA92" s="61" t="s">
        <v>2196</v>
      </c>
    </row>
    <row r="93" spans="27:27" x14ac:dyDescent="0.2">
      <c r="AA93" s="61" t="s">
        <v>2197</v>
      </c>
    </row>
    <row r="94" spans="27:27" x14ac:dyDescent="0.2">
      <c r="AA94" s="61" t="s">
        <v>2198</v>
      </c>
    </row>
    <row r="95" spans="27:27" x14ac:dyDescent="0.2">
      <c r="AA95" s="61" t="s">
        <v>2199</v>
      </c>
    </row>
    <row r="96" spans="27:27" x14ac:dyDescent="0.2">
      <c r="AA96" s="61" t="s">
        <v>2200</v>
      </c>
    </row>
    <row r="97" spans="27:27" x14ac:dyDescent="0.2">
      <c r="AA97" s="61" t="s">
        <v>2201</v>
      </c>
    </row>
    <row r="98" spans="27:27" x14ac:dyDescent="0.2">
      <c r="AA98" s="61" t="s">
        <v>2202</v>
      </c>
    </row>
    <row r="99" spans="27:27" x14ac:dyDescent="0.2">
      <c r="AA99" s="61" t="s">
        <v>2203</v>
      </c>
    </row>
    <row r="100" spans="27:27" x14ac:dyDescent="0.2">
      <c r="AA100" s="61" t="s">
        <v>2204</v>
      </c>
    </row>
    <row r="101" spans="27:27" x14ac:dyDescent="0.2">
      <c r="AA101" s="61" t="s">
        <v>2205</v>
      </c>
    </row>
    <row r="102" spans="27:27" x14ac:dyDescent="0.2">
      <c r="AA102" s="61" t="s">
        <v>2206</v>
      </c>
    </row>
    <row r="103" spans="27:27" x14ac:dyDescent="0.2">
      <c r="AA103" s="61" t="s">
        <v>2207</v>
      </c>
    </row>
    <row r="104" spans="27:27" x14ac:dyDescent="0.2">
      <c r="AA104" s="61" t="s">
        <v>2208</v>
      </c>
    </row>
    <row r="105" spans="27:27" x14ac:dyDescent="0.2">
      <c r="AA105" s="61" t="s">
        <v>2209</v>
      </c>
    </row>
    <row r="106" spans="27:27" x14ac:dyDescent="0.2">
      <c r="AA106" s="61" t="s">
        <v>2210</v>
      </c>
    </row>
    <row r="107" spans="27:27" x14ac:dyDescent="0.2">
      <c r="AA107" s="61" t="s">
        <v>2211</v>
      </c>
    </row>
    <row r="108" spans="27:27" x14ac:dyDescent="0.2">
      <c r="AA108" s="61" t="s">
        <v>2212</v>
      </c>
    </row>
    <row r="109" spans="27:27" x14ac:dyDescent="0.2">
      <c r="AA109" s="61" t="s">
        <v>2213</v>
      </c>
    </row>
    <row r="110" spans="27:27" x14ac:dyDescent="0.2">
      <c r="AA110" s="61" t="s">
        <v>2214</v>
      </c>
    </row>
    <row r="111" spans="27:27" x14ac:dyDescent="0.2">
      <c r="AA111" s="61" t="s">
        <v>2215</v>
      </c>
    </row>
    <row r="112" spans="27:27" x14ac:dyDescent="0.2">
      <c r="AA112" s="61" t="s">
        <v>2216</v>
      </c>
    </row>
    <row r="113" spans="27:27" x14ac:dyDescent="0.2">
      <c r="AA113" s="61" t="s">
        <v>2217</v>
      </c>
    </row>
    <row r="114" spans="27:27" x14ac:dyDescent="0.2">
      <c r="AA114" s="61" t="s">
        <v>2218</v>
      </c>
    </row>
    <row r="115" spans="27:27" x14ac:dyDescent="0.2">
      <c r="AA115" s="61" t="s">
        <v>2219</v>
      </c>
    </row>
    <row r="116" spans="27:27" x14ac:dyDescent="0.2">
      <c r="AA116" s="61" t="s">
        <v>2220</v>
      </c>
    </row>
    <row r="117" spans="27:27" x14ac:dyDescent="0.2">
      <c r="AA117" s="61" t="s">
        <v>2221</v>
      </c>
    </row>
    <row r="118" spans="27:27" x14ac:dyDescent="0.2">
      <c r="AA118" s="61" t="s">
        <v>2222</v>
      </c>
    </row>
    <row r="119" spans="27:27" x14ac:dyDescent="0.2">
      <c r="AA119" s="61" t="s">
        <v>2223</v>
      </c>
    </row>
    <row r="120" spans="27:27" x14ac:dyDescent="0.2">
      <c r="AA120" s="61" t="s">
        <v>2224</v>
      </c>
    </row>
    <row r="121" spans="27:27" x14ac:dyDescent="0.2">
      <c r="AA121" s="61" t="s">
        <v>2225</v>
      </c>
    </row>
    <row r="122" spans="27:27" x14ac:dyDescent="0.2">
      <c r="AA122" s="61" t="s">
        <v>2226</v>
      </c>
    </row>
    <row r="123" spans="27:27" x14ac:dyDescent="0.2">
      <c r="AA123" s="61" t="s">
        <v>2227</v>
      </c>
    </row>
    <row r="124" spans="27:27" x14ac:dyDescent="0.2">
      <c r="AA124" s="61" t="s">
        <v>2228</v>
      </c>
    </row>
    <row r="125" spans="27:27" x14ac:dyDescent="0.2">
      <c r="AA125" s="61" t="s">
        <v>2229</v>
      </c>
    </row>
    <row r="126" spans="27:27" x14ac:dyDescent="0.2">
      <c r="AA126" s="61" t="s">
        <v>2230</v>
      </c>
    </row>
    <row r="127" spans="27:27" x14ac:dyDescent="0.2">
      <c r="AA127" s="61" t="s">
        <v>2231</v>
      </c>
    </row>
    <row r="128" spans="27:27" x14ac:dyDescent="0.2">
      <c r="AA128" s="61" t="s">
        <v>2232</v>
      </c>
    </row>
    <row r="129" spans="27:27" x14ac:dyDescent="0.2">
      <c r="AA129" s="61" t="s">
        <v>2233</v>
      </c>
    </row>
    <row r="130" spans="27:27" x14ac:dyDescent="0.2">
      <c r="AA130" s="61" t="s">
        <v>2234</v>
      </c>
    </row>
    <row r="131" spans="27:27" x14ac:dyDescent="0.2">
      <c r="AA131" s="61" t="s">
        <v>2235</v>
      </c>
    </row>
    <row r="132" spans="27:27" x14ac:dyDescent="0.2">
      <c r="AA132" s="61" t="s">
        <v>2236</v>
      </c>
    </row>
    <row r="133" spans="27:27" x14ac:dyDescent="0.2">
      <c r="AA133" s="61" t="s">
        <v>2237</v>
      </c>
    </row>
    <row r="134" spans="27:27" x14ac:dyDescent="0.2">
      <c r="AA134" s="61" t="s">
        <v>2238</v>
      </c>
    </row>
    <row r="135" spans="27:27" x14ac:dyDescent="0.2">
      <c r="AA135" s="61" t="s">
        <v>2239</v>
      </c>
    </row>
    <row r="136" spans="27:27" x14ac:dyDescent="0.2">
      <c r="AA136" s="61" t="s">
        <v>2240</v>
      </c>
    </row>
    <row r="137" spans="27:27" x14ac:dyDescent="0.2">
      <c r="AA137" s="61" t="s">
        <v>2241</v>
      </c>
    </row>
    <row r="138" spans="27:27" x14ac:dyDescent="0.2">
      <c r="AA138" s="61" t="s">
        <v>2242</v>
      </c>
    </row>
    <row r="139" spans="27:27" x14ac:dyDescent="0.2">
      <c r="AA139" s="61" t="s">
        <v>2243</v>
      </c>
    </row>
    <row r="140" spans="27:27" x14ac:dyDescent="0.2">
      <c r="AA140" s="61" t="s">
        <v>2244</v>
      </c>
    </row>
    <row r="141" spans="27:27" x14ac:dyDescent="0.2">
      <c r="AA141" s="61" t="s">
        <v>2245</v>
      </c>
    </row>
    <row r="142" spans="27:27" x14ac:dyDescent="0.2">
      <c r="AA142" s="61" t="s">
        <v>2246</v>
      </c>
    </row>
    <row r="143" spans="27:27" x14ac:dyDescent="0.2">
      <c r="AA143" s="61" t="s">
        <v>2247</v>
      </c>
    </row>
    <row r="144" spans="27:27" x14ac:dyDescent="0.2">
      <c r="AA144" s="61" t="s">
        <v>2248</v>
      </c>
    </row>
    <row r="145" spans="27:27" x14ac:dyDescent="0.2">
      <c r="AA145" s="61" t="s">
        <v>2249</v>
      </c>
    </row>
    <row r="146" spans="27:27" x14ac:dyDescent="0.2">
      <c r="AA146" s="61" t="s">
        <v>2250</v>
      </c>
    </row>
    <row r="147" spans="27:27" x14ac:dyDescent="0.2">
      <c r="AA147" s="61" t="s">
        <v>2251</v>
      </c>
    </row>
    <row r="148" spans="27:27" x14ac:dyDescent="0.2">
      <c r="AA148" s="61" t="s">
        <v>2252</v>
      </c>
    </row>
    <row r="149" spans="27:27" x14ac:dyDescent="0.2">
      <c r="AA149" s="61" t="s">
        <v>2253</v>
      </c>
    </row>
    <row r="150" spans="27:27" x14ac:dyDescent="0.2">
      <c r="AA150" s="61" t="s">
        <v>2254</v>
      </c>
    </row>
    <row r="151" spans="27:27" x14ac:dyDescent="0.2">
      <c r="AA151" s="61" t="s">
        <v>2255</v>
      </c>
    </row>
    <row r="152" spans="27:27" x14ac:dyDescent="0.2">
      <c r="AA152" s="61" t="s">
        <v>2256</v>
      </c>
    </row>
    <row r="153" spans="27:27" x14ac:dyDescent="0.2">
      <c r="AA153" s="61" t="s">
        <v>2257</v>
      </c>
    </row>
    <row r="154" spans="27:27" x14ac:dyDescent="0.2">
      <c r="AA154" s="61" t="s">
        <v>2258</v>
      </c>
    </row>
    <row r="155" spans="27:27" x14ac:dyDescent="0.2">
      <c r="AA155" s="61" t="s">
        <v>2259</v>
      </c>
    </row>
    <row r="156" spans="27:27" x14ac:dyDescent="0.2">
      <c r="AA156" s="61" t="s">
        <v>2260</v>
      </c>
    </row>
    <row r="157" spans="27:27" x14ac:dyDescent="0.2">
      <c r="AA157" s="61" t="s">
        <v>2261</v>
      </c>
    </row>
    <row r="158" spans="27:27" x14ac:dyDescent="0.2">
      <c r="AA158" s="61" t="s">
        <v>2262</v>
      </c>
    </row>
    <row r="159" spans="27:27" x14ac:dyDescent="0.2">
      <c r="AA159" s="61" t="s">
        <v>2263</v>
      </c>
    </row>
    <row r="160" spans="27:27" x14ac:dyDescent="0.2">
      <c r="AA160" s="61" t="s">
        <v>2264</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14337" r:id="rId4">
          <objectPr defaultSize="0" r:id="rId5">
            <anchor moveWithCells="1">
              <from>
                <xdr:col>0</xdr:col>
                <xdr:colOff>0</xdr:colOff>
                <xdr:row>0</xdr:row>
                <xdr:rowOff>0</xdr:rowOff>
              </from>
              <to>
                <xdr:col>4</xdr:col>
                <xdr:colOff>393700</xdr:colOff>
                <xdr:row>2</xdr:row>
                <xdr:rowOff>165100</xdr:rowOff>
              </to>
            </anchor>
          </objectPr>
        </oleObject>
      </mc:Choice>
      <mc:Fallback>
        <oleObject progId="Packager Shell Object" dvAspect="DVASPECT_ICON" shapeId="14337" r:id="rId4"/>
      </mc:Fallback>
    </mc:AlternateContent>
    <mc:AlternateContent xmlns:mc="http://schemas.openxmlformats.org/markup-compatibility/2006">
      <mc:Choice Requires="x14">
        <oleObject progId="Packager Shell Object" dvAspect="DVASPECT_ICON" shapeId="14338" r:id="rId6">
          <objectPr defaultSize="0" r:id="rId7">
            <anchor moveWithCells="1">
              <from>
                <xdr:col>0</xdr:col>
                <xdr:colOff>0</xdr:colOff>
                <xdr:row>0</xdr:row>
                <xdr:rowOff>0</xdr:rowOff>
              </from>
              <to>
                <xdr:col>0</xdr:col>
                <xdr:colOff>571500</xdr:colOff>
                <xdr:row>2</xdr:row>
                <xdr:rowOff>165100</xdr:rowOff>
              </to>
            </anchor>
          </objectPr>
        </oleObject>
      </mc:Choice>
      <mc:Fallback>
        <oleObject progId="Packager Shell Object" dvAspect="DVASPECT_ICON" shapeId="14338" r:id="rId6"/>
      </mc:Fallback>
    </mc:AlternateContent>
    <mc:AlternateContent xmlns:mc="http://schemas.openxmlformats.org/markup-compatibility/2006">
      <mc:Choice Requires="x14">
        <oleObject progId="Packager Shell Object" dvAspect="DVASPECT_ICON" shapeId="14339" r:id="rId8">
          <objectPr defaultSize="0" r:id="rId9">
            <anchor moveWithCells="1">
              <from>
                <xdr:col>0</xdr:col>
                <xdr:colOff>0</xdr:colOff>
                <xdr:row>0</xdr:row>
                <xdr:rowOff>0</xdr:rowOff>
              </from>
              <to>
                <xdr:col>1</xdr:col>
                <xdr:colOff>393700</xdr:colOff>
                <xdr:row>2</xdr:row>
                <xdr:rowOff>165100</xdr:rowOff>
              </to>
            </anchor>
          </objectPr>
        </oleObject>
      </mc:Choice>
      <mc:Fallback>
        <oleObject progId="Packager Shell Object" dvAspect="DVASPECT_ICON" shapeId="14339" r:id="rId8"/>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EB82F3FDC0493647B521A7A424B5B012" ma:contentTypeVersion="5" ma:contentTypeDescription=" Working Document (0 years retention period)" ma:contentTypeScope="" ma:versionID="988ef2041f9b574b4153810260189b2d">
  <xsd:schema xmlns:xsd="http://www.w3.org/2001/XMLSchema" xmlns:xs="http://www.w3.org/2001/XMLSchema" xmlns:p="http://schemas.microsoft.com/office/2006/metadata/properties" xmlns:ns2="a03ac030-8fc0-429e-a59d-aec15056182b" xmlns:ns3="http://schemas.microsoft.com/sharepoint/v4" xmlns:ns4="2219519e-2df8-4e68-9bc8-47ece53c639c" targetNamespace="http://schemas.microsoft.com/office/2006/metadata/properties" ma:root="true" ma:fieldsID="ccd14a736a2985a4fd4c1287b5566216" ns2:_="" ns3:_="" ns4:_="">
    <xsd:import namespace="a03ac030-8fc0-429e-a59d-aec15056182b"/>
    <xsd:import namespace="http://schemas.microsoft.com/sharepoint/v4"/>
    <xsd:import namespace="2219519e-2df8-4e68-9bc8-47ece53c639c"/>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19519e-2df8-4e68-9bc8-47ece53c639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3NAZ7T4E3CZ3-539361286-687</_dlc_DocId>
    <_dlc_DocIdUrl xmlns="a03ac030-8fc0-429e-a59d-aec15056182b">
      <Url>https://tgf.sharepoint.com/sites/TSA2F1/A2FD/_layouts/15/DocIdRedir.aspx?ID=3NAZ7T4E3CZ3-539361286-687</Url>
      <Description>3NAZ7T4E3CZ3-539361286-687</Description>
    </_dlc_DocIdUrl>
    <IconOverlay xmlns="http://schemas.microsoft.com/sharepoint/v4"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E4A77B7-EF83-4ED6-B26F-1B6FA60FAC33}">
  <ds:schemaRefs>
    <ds:schemaRef ds:uri="http://schemas.microsoft.com/sharepoint/v3/contenttype/forms"/>
  </ds:schemaRefs>
</ds:datastoreItem>
</file>

<file path=customXml/itemProps2.xml><?xml version="1.0" encoding="utf-8"?>
<ds:datastoreItem xmlns:ds="http://schemas.openxmlformats.org/officeDocument/2006/customXml" ds:itemID="{C2B85C08-57A9-490B-BF9B-EA2F3CC1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sharepoint/v4"/>
    <ds:schemaRef ds:uri="2219519e-2df8-4e68-9bc8-47ece53c6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68545D-F9C1-43F5-9000-FFA0A197EAEC}">
  <ds:schemaRefs>
    <ds:schemaRef ds:uri="http://schemas.microsoft.com/DataMashup"/>
  </ds:schemaRefs>
</ds:datastoreItem>
</file>

<file path=customXml/itemProps4.xml><?xml version="1.0" encoding="utf-8"?>
<ds:datastoreItem xmlns:ds="http://schemas.openxmlformats.org/officeDocument/2006/customXml" ds:itemID="{FAFD8EB1-C9E7-4E6B-80BE-7056C8FD86F9}">
  <ds:schemaRefs>
    <ds:schemaRef ds:uri="http://purl.org/dc/dcmitype/"/>
    <ds:schemaRef ds:uri="http://schemas.microsoft.com/sharepoint/v4"/>
    <ds:schemaRef ds:uri="http://schemas.microsoft.com/office/2006/documentManagement/types"/>
    <ds:schemaRef ds:uri="a03ac030-8fc0-429e-a59d-aec15056182b"/>
    <ds:schemaRef ds:uri="http://schemas.microsoft.com/office/2006/metadata/propertie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2219519e-2df8-4e68-9bc8-47ece53c639c"/>
  </ds:schemaRefs>
</ds:datastoreItem>
</file>

<file path=customXml/itemProps5.xml><?xml version="1.0" encoding="utf-8"?>
<ds:datastoreItem xmlns:ds="http://schemas.openxmlformats.org/officeDocument/2006/customXml" ds:itemID="{842C3852-59EA-40AB-873F-7DBBDFC063D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102</vt:i4>
      </vt:variant>
    </vt:vector>
  </HeadingPairs>
  <TitlesOfParts>
    <vt:vector size="105" baseType="lpstr">
      <vt:lpstr>Instructions</vt:lpstr>
      <vt:lpstr>PAAR</vt:lpstr>
      <vt:lpstr>PAAR (EN)</vt:lpstr>
      <vt:lpstr>_02ad39f3_57e3_49df_801f_0b57a1bdfb84</vt:lpstr>
      <vt:lpstr>_02bdc5b6_f405_4455_84ca_aac645fac99a</vt:lpstr>
      <vt:lpstr>_0aba1aad_a2db_4f91_bf15_fb17938568c4</vt:lpstr>
      <vt:lpstr>_0b156c7e_5d2f_4042_9bc9_55e6ef8d1f9e</vt:lpstr>
      <vt:lpstr>_0c998168_70c9_4abc_87bd_809173a91101</vt:lpstr>
      <vt:lpstr>_100e0d0a_853d_42fd_ac33_2c0488ef7758</vt:lpstr>
      <vt:lpstr>_108f5ad8_7393_426d_9f7c_bae12068cdd8</vt:lpstr>
      <vt:lpstr>_12f80f5d_30f8_40b3_940d_52e55da78e79</vt:lpstr>
      <vt:lpstr>_1380a560_8917_4a6c_8643_5eaf67a107ec</vt:lpstr>
      <vt:lpstr>_1beb92be_190d_487d_8ba8_7231ac46b0f6</vt:lpstr>
      <vt:lpstr>_1d959eb1_25e0_459c_be70_75087b3e8e5c</vt:lpstr>
      <vt:lpstr>_1d9c1b03_f2a0_4739_88c1_656e0cbec465</vt:lpstr>
      <vt:lpstr>_1e83f210_e875_4af6_91e5_ac9c698a0120</vt:lpstr>
      <vt:lpstr>_200601b2_d857_4b7b_b9c8_b4b1dcfdbead</vt:lpstr>
      <vt:lpstr>_246c9ece_37cf_4f3d_bb58_d0705dabf0a1</vt:lpstr>
      <vt:lpstr>_2a721706_e90e_49c0_9b1b_9fe9a5604342</vt:lpstr>
      <vt:lpstr>_2d92d753_f6bf_4a5c_b057_9dc6f5816fb7</vt:lpstr>
      <vt:lpstr>_2e0733e5_9f9a_4068_8140_d34067ae9602</vt:lpstr>
      <vt:lpstr>_2f6b97be_955e_4555_b176_24eda76d7f6e</vt:lpstr>
      <vt:lpstr>_2fdc3edb_3b18_4068_b529_5df0f3710fc1</vt:lpstr>
      <vt:lpstr>_36f9532d_a51f_4081_9b33_d12464ae83b3</vt:lpstr>
      <vt:lpstr>_37f5b219_b7be_4068_92cf_9912ba353f53</vt:lpstr>
      <vt:lpstr>_39458981_54f6_4afa_ad0b_1abb0155050c</vt:lpstr>
      <vt:lpstr>_3a17e598_913f_4164_9970_95748140b3f3</vt:lpstr>
      <vt:lpstr>_3bced8e2_f8b6_4fbd_833e_c9cd21a3bbd8</vt:lpstr>
      <vt:lpstr>_3ed08b87_0856_47c6_ac1b_a0f75fac0829</vt:lpstr>
      <vt:lpstr>_4165c931_ccea_48b3_b6b8_b79823fbb780</vt:lpstr>
      <vt:lpstr>_42f04d30_cada_454c_b1b6_632a2aba90a2</vt:lpstr>
      <vt:lpstr>_43011b08_5bec_4974_8f93_a93601785563</vt:lpstr>
      <vt:lpstr>_43f42dc0_b49b_49bb_adf2_ff4aa3aeb9af</vt:lpstr>
      <vt:lpstr>_4674e4d5_5bf9_49ef_89e0_66eecaf67bfc</vt:lpstr>
      <vt:lpstr>_47248bf4_333e_4cf5_ab12_1664f6307394</vt:lpstr>
      <vt:lpstr>_4a840919_0905_4a1f_b4c7_fac45d99a9b3</vt:lpstr>
      <vt:lpstr>_4b6deeee_22f4_4978_af46_2f3f3b997083</vt:lpstr>
      <vt:lpstr>_4bdaa627_e613_4884_884e_9af563e81977</vt:lpstr>
      <vt:lpstr>_4fcd4c75_0cb5_47e0_80dc_d4dc6d52d7ab</vt:lpstr>
      <vt:lpstr>_514f35f9_1e87_4a11_ae79_17984f0da986</vt:lpstr>
      <vt:lpstr>_5252a73d_22e0_4a08_acbd_c5c7556fb6db</vt:lpstr>
      <vt:lpstr>_540f1fe9_0285_4ef3_81d9_5887d6ae37cb</vt:lpstr>
      <vt:lpstr>_5af35f97_4d7e_4e31_a529_293afd51e986</vt:lpstr>
      <vt:lpstr>_5c2decfc_19a2_4428_8964_baa83343b66f</vt:lpstr>
      <vt:lpstr>_616a9b6c_adcb_465e_9d12_aece5062f9ff</vt:lpstr>
      <vt:lpstr>_63a6d78c_0d06_428d_b1d8_7f467af58f32</vt:lpstr>
      <vt:lpstr>_6a4d5129_3c60_4b5c_99fa_99f187281ae6</vt:lpstr>
      <vt:lpstr>_6b9feab1_8a4e_4def_b9ea_d11b120def49</vt:lpstr>
      <vt:lpstr>_6c64e49b_420c_49d6_91eb_6f53bed8c310</vt:lpstr>
      <vt:lpstr>_6fab634e_ba2b_4907_88c0_020129f5d1d5</vt:lpstr>
      <vt:lpstr>_6fb8cdbb_658c_42c9_baa9_287e8003cb95</vt:lpstr>
      <vt:lpstr>_720d31b9_1eed_4b0b_9a73_79810b734349</vt:lpstr>
      <vt:lpstr>_735757ee_ca56_403a_ba6d_821953adfaa1</vt:lpstr>
      <vt:lpstr>_76895d3d_8612_4598_992e_68a7a3b1bec0</vt:lpstr>
      <vt:lpstr>_77e8fde8_f32c_4bc9_9276_d7590ae5c138</vt:lpstr>
      <vt:lpstr>_77efa5dd_9430_4266_9106_060c94e3525f</vt:lpstr>
      <vt:lpstr>_83b4b2b1_91da_4273_bb28_92579fd58b98</vt:lpstr>
      <vt:lpstr>_84f4f1c9_46d9_4d50_a578_70a0e140218e</vt:lpstr>
      <vt:lpstr>_8a19c987_bb5e_4dd5_b228_3f858988819f</vt:lpstr>
      <vt:lpstr>_8a4875f0_12c9_4b27_9d65_fc9de4040357</vt:lpstr>
      <vt:lpstr>_92fd79a5_236d_4c37_8d93_672656baa59d</vt:lpstr>
      <vt:lpstr>_94903140_df63_4838_b151_057f4b07305d</vt:lpstr>
      <vt:lpstr>_955d5dfa_899b_4044_bb68_9f852088faad</vt:lpstr>
      <vt:lpstr>_98683e66_00c0_4421_8d8e_08e5bd010020</vt:lpstr>
      <vt:lpstr>_98e9a85d_eea9_4a6f_9d7b_2208ff60b346</vt:lpstr>
      <vt:lpstr>_9b1a1afa_6ff0_4b63_99c7_81e1448db497</vt:lpstr>
      <vt:lpstr>_9be834b4_a26b_4262_908b_a17288c66a03</vt:lpstr>
      <vt:lpstr>_9dca9c75_8637_4106_a7b1_ad0381862a53</vt:lpstr>
      <vt:lpstr>_9fab802b_0c12_4609_9f3c_8910b7c9e5c8</vt:lpstr>
      <vt:lpstr>_a1d533d9_df5e_42e8_8414_1323202425d7</vt:lpstr>
      <vt:lpstr>_a675865b_d1cf_41a8_b436_12dfc45ca429</vt:lpstr>
      <vt:lpstr>_ae238f09_06b7_4710_962a_a5f6a9de8456</vt:lpstr>
      <vt:lpstr>_b08a4c41_6e06_41b4_8de7_d7d4c4a5b0d0</vt:lpstr>
      <vt:lpstr>_b1e6fc1c_8ed8_4170_9175_366ea26d1fbd</vt:lpstr>
      <vt:lpstr>_b49f5148_45f2_4444_969f_cb60a476e6aa</vt:lpstr>
      <vt:lpstr>_ba4716e8_d1f2_4b6f_a64b_6cd058691c18</vt:lpstr>
      <vt:lpstr>_bc7903d4_63ad_46e5_8193_415282ed7994</vt:lpstr>
      <vt:lpstr>_bd1a71fb_21a6_4736_8941_5128f28a0c38</vt:lpstr>
      <vt:lpstr>_c33428e4_6095_46db_b4fd_df3facaf1c60</vt:lpstr>
      <vt:lpstr>_c42e2362_c27a_4990_84c5_bf06079e3898</vt:lpstr>
      <vt:lpstr>_c4b1b70f_1237_4bc6_aac4_6ff4977dfc62</vt:lpstr>
      <vt:lpstr>_cf51b15d_67aa_47fe_831c_8acb1e0e9d34</vt:lpstr>
      <vt:lpstr>_d60c1176_8250_4608_ba63_a3aa2999088d</vt:lpstr>
      <vt:lpstr>_dcd4cc59_87ef_4a87_8aa9_7e94ddb8dd5a</vt:lpstr>
      <vt:lpstr>_e25ecbd0_9feb_4e3e_9eba_16e28d17c524</vt:lpstr>
      <vt:lpstr>_e61f5e65_2380_4c24_a2fc_986f3a3bdaa3</vt:lpstr>
      <vt:lpstr>_e7531f29_fe42_42f2_b46f_bfe48c63b6bb</vt:lpstr>
      <vt:lpstr>_f286ecd9_5053_4e73_b002_325ea2e11a14</vt:lpstr>
      <vt:lpstr>_f6b2f159_6c81_4d6a_82a6_2d671899269c</vt:lpstr>
      <vt:lpstr>_fcb0a822_ddff_4280_a0bf_4334a6e3465f</vt:lpstr>
      <vt:lpstr>_ffcb7369_0e6a_488d_b74d_d05766e525a6</vt:lpstr>
      <vt:lpstr>AIM_Funding_Request__c.AIM_Funding_Request_Currency__c</vt:lpstr>
      <vt:lpstr>AIM_Funding_Request__c.AIM_TRP_Review_Outcome__c</vt:lpstr>
      <vt:lpstr>AIM_Funding_Request__c.PAAR_Status__c</vt:lpstr>
      <vt:lpstr>Modules!Extract</vt:lpstr>
      <vt:lpstr>L1FR_PAAR_UQD_Intervention__c.L1FR_Applicant_Priority_Rating__c</vt:lpstr>
      <vt:lpstr>L1FR_PAAR_UQD_Intervention__c.L1FR_Status__c</vt:lpstr>
      <vt:lpstr>L1FR_PAAR_UQD_Intervention__c.L1FR_TRP_Priority__c</vt:lpstr>
      <vt:lpstr>ModuleStart</vt:lpstr>
      <vt:lpstr>PICKLISTKEYVALUEPAIR</vt:lpstr>
      <vt:lpstr>'Add Info-Info Supp-Info Ad'!Print_Area</vt:lpstr>
      <vt:lpstr>'Additional Info (EN)'!Print_Area</vt:lpstr>
      <vt:lpstr>PAAR!Print_Area</vt:lpstr>
      <vt:lpstr>'PAAR (EN)'!Print_Area</vt:lpstr>
      <vt:lpstr>XAE_Invalid_PLData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Shreya Gurubacharya</dc:creator>
  <cp:keywords/>
  <dc:description/>
  <cp:lastModifiedBy>Anna Katasonova</cp:lastModifiedBy>
  <cp:revision/>
  <dcterms:created xsi:type="dcterms:W3CDTF">2018-07-31T08:09:43Z</dcterms:created>
  <dcterms:modified xsi:type="dcterms:W3CDTF">2023-03-18T05:08:11Z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0x010100DB1926E75FE6D448A94BA4FC7E9CAC0400EB82F3FDC0493647B521A7A424B5B012</vt:lpwstr>
  </property>
  <property fmtid="{D5CDD505-2E9C-101B-9397-08002B2CF9AE}" pid="3" name="_dlc_DocIdItemGuid">
    <vt:lpwstr>3d58d2e6-eb8c-4acb-b525-aebf403bbe8f</vt:lpwstr>
  </property>
  <property fmtid="{D5CDD505-2E9C-101B-9397-08002B2CF9AE}" pid="4" name="AuthorIds_UIVersion_3584">
    <vt:lpwstr>174</vt:lpwstr>
  </property>
  <property fmtid="{D5CDD505-2E9C-101B-9397-08002B2CF9AE}" pid="5" name="APPBUILDER_RUNTIME_FILE">
    <vt:lpwstr>true</vt:lpwstr>
  </property>
</Properties>
</file>