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SingleCells1.xml" ContentType="application/vnd.openxmlformats-officedocument.spreadsheetml.tableSingleCell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CCM\Dashboard\HIV-TB\"/>
    </mc:Choice>
  </mc:AlternateContent>
  <bookViews>
    <workbookView xWindow="-15" yWindow="1605" windowWidth="15600" windowHeight="4350" tabRatio="793" activeTab="6"/>
  </bookViews>
  <sheets>
    <sheet name="Меню" sheetId="1" r:id="rId1"/>
    <sheet name="Показатели" sheetId="45" r:id="rId2"/>
    <sheet name="Ввод данных" sheetId="29" r:id="rId3"/>
    <sheet name="Сведения о гранте" sheetId="27" r:id="rId4"/>
    <sheet name="Финансирование" sheetId="30" r:id="rId5"/>
    <sheet name="Управление" sheetId="35" r:id="rId6"/>
    <sheet name="Программа" sheetId="37" r:id="rId7"/>
    <sheet name="Рекомендации" sheetId="42" r:id="rId8"/>
    <sheet name="Действия" sheetId="39" r:id="rId9"/>
    <sheet name="Установки" sheetId="32" state="hidden" r:id="rId10"/>
    <sheet name="Акронимы" sheetId="46" state="hidden" r:id="rId11"/>
    <sheet name="Лист1" sheetId="47" r:id="rId12"/>
  </sheets>
  <externalReferences>
    <externalReference r:id="rId13"/>
    <externalReference r:id="rId14"/>
  </externalReference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PrintA">Действия!$A$2:$L$34</definedName>
    <definedName name="PrintDataF">'Ввод данных'!$A$25:$I$74</definedName>
    <definedName name="PrintDataM">'Ввод данных'!$A$76:$G$159</definedName>
    <definedName name="PrintF">Финансирование!$A$2:$M$31</definedName>
    <definedName name="PrintGD">'Сведения о гранте'!$A$2:$J$13</definedName>
    <definedName name="PrintM" localSheetId="8">Действия!$A$2:$L$6</definedName>
    <definedName name="PrintM">Управление!$A$2:$M$65</definedName>
    <definedName name="PrintP">Программа!$A$2:$P$61</definedName>
    <definedName name="PrintR">Рекомендации!$A$2:$N$41</definedName>
    <definedName name="Rating">Установки!$G$9:$G$14</definedName>
    <definedName name="Round">Установки!$D$9:$D$21</definedName>
    <definedName name="мва">Установки!$I$9:$I$30</definedName>
    <definedName name="_xlnm.Print_Area" localSheetId="8">Действия!$A$1:$L$43</definedName>
    <definedName name="_xlnm.Print_Area" localSheetId="6">Программа!$A$1:$Q$60</definedName>
    <definedName name="_xlnm.Print_Area" localSheetId="5">Управление!$A$1:$M$52</definedName>
    <definedName name="_xlnm.Print_Area" localSheetId="4">Финансирование!$A$2:$M$31</definedName>
  </definedNames>
  <calcPr calcId="152511"/>
</workbook>
</file>

<file path=xl/calcChain.xml><?xml version="1.0" encoding="utf-8"?>
<calcChain xmlns="http://schemas.openxmlformats.org/spreadsheetml/2006/main">
  <c r="D115" i="29" l="1"/>
  <c r="E115" i="29" s="1"/>
  <c r="C115" i="29"/>
  <c r="E34" i="29" l="1"/>
  <c r="E33" i="29"/>
  <c r="M49" i="35" l="1"/>
  <c r="M50" i="35"/>
  <c r="M51" i="35"/>
  <c r="M48" i="35"/>
  <c r="M32" i="35"/>
  <c r="M33" i="35"/>
  <c r="M34" i="35"/>
  <c r="M35" i="35"/>
  <c r="M36" i="35"/>
  <c r="M37" i="35"/>
  <c r="M38" i="35"/>
  <c r="M39" i="35"/>
  <c r="M40" i="35"/>
  <c r="M41" i="35"/>
  <c r="M42" i="35"/>
  <c r="M43" i="35"/>
  <c r="G134" i="29"/>
  <c r="G135" i="29"/>
  <c r="G128" i="29"/>
  <c r="H122" i="29" l="1"/>
  <c r="J122" i="29" s="1"/>
  <c r="H123" i="29"/>
  <c r="J123" i="29" s="1"/>
  <c r="H124" i="29"/>
  <c r="J124" i="29" s="1"/>
  <c r="H125" i="29"/>
  <c r="J125" i="29" s="1"/>
  <c r="H126" i="29"/>
  <c r="J126" i="29" s="1"/>
  <c r="H127" i="29"/>
  <c r="J127" i="29" s="1"/>
  <c r="H128" i="29"/>
  <c r="J128" i="29" s="1"/>
  <c r="H129" i="29"/>
  <c r="J129" i="29" s="1"/>
  <c r="H130" i="29"/>
  <c r="J130" i="29" s="1"/>
  <c r="H131" i="29"/>
  <c r="J131" i="29" s="1"/>
  <c r="H132" i="29"/>
  <c r="J132" i="29" s="1"/>
  <c r="H133" i="29"/>
  <c r="J133" i="29" s="1"/>
  <c r="H134" i="29"/>
  <c r="J134" i="29" s="1"/>
  <c r="H135" i="29"/>
  <c r="J135" i="29" s="1"/>
  <c r="H136" i="29"/>
  <c r="J136" i="29" s="1"/>
  <c r="F122" i="29"/>
  <c r="F123" i="29"/>
  <c r="F124" i="29"/>
  <c r="F125" i="29"/>
  <c r="F126" i="29"/>
  <c r="F127" i="29"/>
  <c r="F128" i="29"/>
  <c r="F129" i="29"/>
  <c r="F130" i="29"/>
  <c r="F131" i="29"/>
  <c r="F132" i="29"/>
  <c r="F133" i="29"/>
  <c r="F134" i="29"/>
  <c r="F135" i="29"/>
  <c r="F136" i="29"/>
  <c r="D122" i="29"/>
  <c r="D123" i="29"/>
  <c r="D124" i="29"/>
  <c r="D125" i="29"/>
  <c r="D126" i="29"/>
  <c r="D127" i="29"/>
  <c r="D128" i="29"/>
  <c r="D129" i="29"/>
  <c r="D130" i="29"/>
  <c r="D131" i="29"/>
  <c r="D132" i="29"/>
  <c r="D133" i="29"/>
  <c r="D134" i="29"/>
  <c r="D135" i="29"/>
  <c r="M68" i="35"/>
  <c r="M67" i="35"/>
  <c r="M66" i="35"/>
  <c r="F153" i="29"/>
  <c r="H153" i="29" s="1"/>
  <c r="J153" i="29" s="1"/>
  <c r="E114" i="29" l="1"/>
  <c r="E113" i="29"/>
  <c r="M71" i="35" l="1"/>
  <c r="M54" i="35"/>
  <c r="M55" i="35"/>
  <c r="M56" i="35"/>
  <c r="M57" i="35"/>
  <c r="M58" i="35"/>
  <c r="M59" i="35"/>
  <c r="M60" i="35"/>
  <c r="M61" i="35"/>
  <c r="M62" i="35"/>
  <c r="M63" i="35"/>
  <c r="M64" i="35"/>
  <c r="M65" i="35"/>
  <c r="M69" i="35"/>
  <c r="M70" i="35"/>
  <c r="M46" i="35"/>
  <c r="M47" i="35"/>
  <c r="M52" i="35"/>
  <c r="M53" i="35"/>
  <c r="M45" i="35"/>
  <c r="M44" i="35"/>
  <c r="X38" i="37" l="1"/>
  <c r="W38" i="37"/>
  <c r="V38" i="37"/>
  <c r="U38" i="37"/>
  <c r="T38" i="37"/>
  <c r="B57" i="37"/>
  <c r="I198" i="29"/>
  <c r="G198" i="29"/>
  <c r="I197" i="29"/>
  <c r="G197" i="29"/>
  <c r="I196" i="29"/>
  <c r="G196" i="29"/>
  <c r="I195" i="29"/>
  <c r="G195" i="29"/>
  <c r="I194" i="29"/>
  <c r="G194" i="29"/>
  <c r="I193" i="29"/>
  <c r="G193" i="29"/>
  <c r="F154" i="29"/>
  <c r="H154" i="29" s="1"/>
  <c r="J154" i="29" s="1"/>
  <c r="F139" i="29"/>
  <c r="H139" i="29" s="1"/>
  <c r="J139" i="29" s="1"/>
  <c r="F140" i="29"/>
  <c r="H140" i="29" s="1"/>
  <c r="J140" i="29" s="1"/>
  <c r="F141" i="29"/>
  <c r="H141" i="29" s="1"/>
  <c r="J141" i="29" s="1"/>
  <c r="F142" i="29"/>
  <c r="H142" i="29" s="1"/>
  <c r="J142" i="29" s="1"/>
  <c r="F143" i="29"/>
  <c r="H143" i="29" s="1"/>
  <c r="J143" i="29" s="1"/>
  <c r="F144" i="29"/>
  <c r="H144" i="29" s="1"/>
  <c r="J144" i="29" s="1"/>
  <c r="F145" i="29"/>
  <c r="H145" i="29" s="1"/>
  <c r="J145" i="29" s="1"/>
  <c r="F146" i="29"/>
  <c r="H146" i="29" s="1"/>
  <c r="J146" i="29" s="1"/>
  <c r="F147" i="29"/>
  <c r="H147" i="29" s="1"/>
  <c r="J147" i="29" s="1"/>
  <c r="F148" i="29"/>
  <c r="H148" i="29" s="1"/>
  <c r="J148" i="29" s="1"/>
  <c r="F149" i="29"/>
  <c r="H149" i="29" s="1"/>
  <c r="J149" i="29" s="1"/>
  <c r="F150" i="29"/>
  <c r="H150" i="29" s="1"/>
  <c r="J150" i="29" s="1"/>
  <c r="F151" i="29"/>
  <c r="H151" i="29" s="1"/>
  <c r="J151" i="29" s="1"/>
  <c r="F152" i="29"/>
  <c r="H152" i="29" s="1"/>
  <c r="J152" i="29" s="1"/>
  <c r="F138" i="29"/>
  <c r="H138" i="29" s="1"/>
  <c r="J138" i="29" s="1"/>
  <c r="B28" i="35"/>
  <c r="L8" i="37"/>
  <c r="F8" i="37"/>
  <c r="B8" i="37"/>
  <c r="B55" i="37"/>
  <c r="B56" i="37"/>
  <c r="B58" i="37"/>
  <c r="B59" i="37"/>
  <c r="B60" i="37"/>
  <c r="D137" i="29"/>
  <c r="F137" i="29" s="1"/>
  <c r="H137" i="29" s="1"/>
  <c r="J137" i="29" s="1"/>
  <c r="D114" i="29"/>
  <c r="D113" i="29"/>
  <c r="D104" i="29"/>
  <c r="D105" i="29"/>
  <c r="D103" i="29"/>
  <c r="X37" i="37"/>
  <c r="W37" i="37"/>
  <c r="V37" i="37"/>
  <c r="U37" i="37"/>
  <c r="T37" i="37"/>
  <c r="X36" i="37"/>
  <c r="W36" i="37"/>
  <c r="V36" i="37"/>
  <c r="U36" i="37"/>
  <c r="T36" i="37"/>
  <c r="X35" i="37"/>
  <c r="W35" i="37"/>
  <c r="V35" i="37"/>
  <c r="U35" i="37"/>
  <c r="T35" i="37"/>
  <c r="X34" i="37"/>
  <c r="W34" i="37"/>
  <c r="V34" i="37"/>
  <c r="U34" i="37"/>
  <c r="T34" i="37"/>
  <c r="X33" i="37"/>
  <c r="W33" i="37"/>
  <c r="V33" i="37"/>
  <c r="U33" i="37"/>
  <c r="T33" i="37"/>
  <c r="X32" i="37"/>
  <c r="W32" i="37"/>
  <c r="V32" i="37"/>
  <c r="U32" i="37"/>
  <c r="T32" i="37"/>
  <c r="X29" i="37"/>
  <c r="W29" i="37"/>
  <c r="V29" i="37"/>
  <c r="U29" i="37"/>
  <c r="T29" i="37"/>
  <c r="X28" i="37"/>
  <c r="W28" i="37"/>
  <c r="V28" i="37"/>
  <c r="U28" i="37"/>
  <c r="T28" i="37"/>
  <c r="Z26" i="37"/>
  <c r="AA26" i="37" s="1"/>
  <c r="X26" i="37"/>
  <c r="W26" i="37"/>
  <c r="V26" i="37"/>
  <c r="U26" i="37"/>
  <c r="T26" i="37"/>
  <c r="Z25" i="37"/>
  <c r="AA25" i="37" s="1"/>
  <c r="X25" i="37"/>
  <c r="W25" i="37"/>
  <c r="V25" i="37"/>
  <c r="U25" i="37"/>
  <c r="T25" i="37"/>
  <c r="Z24" i="37"/>
  <c r="AA24" i="37"/>
  <c r="AD24" i="37" s="1"/>
  <c r="X24" i="37"/>
  <c r="W24" i="37"/>
  <c r="V24" i="37"/>
  <c r="U24" i="37"/>
  <c r="T24" i="37"/>
  <c r="AF23" i="37"/>
  <c r="AE23" i="37"/>
  <c r="AD23" i="37"/>
  <c r="AC23" i="37"/>
  <c r="AB23" i="37"/>
  <c r="X23" i="37"/>
  <c r="W23" i="37"/>
  <c r="V23" i="37"/>
  <c r="U23" i="37"/>
  <c r="T23" i="37"/>
  <c r="I52" i="35"/>
  <c r="I32" i="35"/>
  <c r="D90" i="29"/>
  <c r="O193" i="29"/>
  <c r="P193" i="29"/>
  <c r="Q193" i="29"/>
  <c r="O194" i="29"/>
  <c r="P194" i="29"/>
  <c r="Q194" i="29"/>
  <c r="O195" i="29"/>
  <c r="P195" i="29"/>
  <c r="Q195" i="29"/>
  <c r="O196" i="29"/>
  <c r="P196" i="29"/>
  <c r="Q196" i="29"/>
  <c r="O197" i="29"/>
  <c r="P197" i="29"/>
  <c r="Q197" i="29"/>
  <c r="O198" i="29"/>
  <c r="P198" i="29"/>
  <c r="Q198" i="29"/>
  <c r="N198" i="29"/>
  <c r="M198" i="29"/>
  <c r="L198" i="29"/>
  <c r="K198" i="29"/>
  <c r="J198" i="29"/>
  <c r="N197" i="29"/>
  <c r="M197" i="29"/>
  <c r="L197" i="29"/>
  <c r="K197" i="29"/>
  <c r="J197" i="29"/>
  <c r="E197" i="29"/>
  <c r="D197" i="29"/>
  <c r="A197" i="29"/>
  <c r="N196" i="29"/>
  <c r="M196" i="29"/>
  <c r="L196" i="29"/>
  <c r="K196" i="29"/>
  <c r="J196" i="29"/>
  <c r="N195" i="29"/>
  <c r="M195" i="29"/>
  <c r="L195" i="29"/>
  <c r="K195" i="29"/>
  <c r="J195" i="29"/>
  <c r="E195" i="29"/>
  <c r="D195" i="29"/>
  <c r="A195" i="29"/>
  <c r="N194" i="29"/>
  <c r="M194" i="29"/>
  <c r="L194" i="29"/>
  <c r="K194" i="29"/>
  <c r="J194" i="29"/>
  <c r="N193" i="29"/>
  <c r="M193" i="29"/>
  <c r="L193" i="29"/>
  <c r="K193" i="29"/>
  <c r="J193" i="29"/>
  <c r="E193" i="29"/>
  <c r="D193" i="29"/>
  <c r="A193" i="29"/>
  <c r="H214" i="29"/>
  <c r="G234" i="29"/>
  <c r="H234" i="29"/>
  <c r="I234" i="29"/>
  <c r="J234" i="29"/>
  <c r="K234" i="29"/>
  <c r="L234" i="29"/>
  <c r="M234" i="29"/>
  <c r="N234" i="29"/>
  <c r="O234" i="29"/>
  <c r="P234" i="29"/>
  <c r="Q234" i="29"/>
  <c r="A235" i="29"/>
  <c r="D235" i="29"/>
  <c r="E235" i="29"/>
  <c r="G235" i="29"/>
  <c r="H235" i="29"/>
  <c r="I235" i="29"/>
  <c r="J235" i="29"/>
  <c r="K235" i="29"/>
  <c r="L235" i="29"/>
  <c r="M235" i="29"/>
  <c r="N235" i="29"/>
  <c r="O235" i="29"/>
  <c r="P235" i="29"/>
  <c r="Q235" i="29"/>
  <c r="G236" i="29"/>
  <c r="H236" i="29"/>
  <c r="I236" i="29"/>
  <c r="J236" i="29"/>
  <c r="K236" i="29"/>
  <c r="L236" i="29"/>
  <c r="M236" i="29"/>
  <c r="N236" i="29"/>
  <c r="O236" i="29"/>
  <c r="P236" i="29"/>
  <c r="Q236" i="29"/>
  <c r="A237" i="29"/>
  <c r="D237" i="29"/>
  <c r="E237" i="29"/>
  <c r="G237" i="29"/>
  <c r="H237" i="29"/>
  <c r="I237" i="29"/>
  <c r="J237" i="29"/>
  <c r="K237" i="29"/>
  <c r="L237" i="29"/>
  <c r="M237" i="29"/>
  <c r="N237" i="29"/>
  <c r="O237" i="29"/>
  <c r="P237" i="29"/>
  <c r="Q237" i="29"/>
  <c r="G238" i="29"/>
  <c r="H238" i="29"/>
  <c r="I238" i="29"/>
  <c r="J238" i="29"/>
  <c r="K238" i="29"/>
  <c r="L238" i="29"/>
  <c r="M238" i="29"/>
  <c r="N238" i="29"/>
  <c r="O238" i="29"/>
  <c r="P238" i="29"/>
  <c r="Q238" i="29"/>
  <c r="A239" i="29"/>
  <c r="D239" i="29"/>
  <c r="E239" i="29"/>
  <c r="G239" i="29"/>
  <c r="H239" i="29"/>
  <c r="I239" i="29"/>
  <c r="J239" i="29"/>
  <c r="K239" i="29"/>
  <c r="L239" i="29"/>
  <c r="M239" i="29"/>
  <c r="N239" i="29"/>
  <c r="O239" i="29"/>
  <c r="P239" i="29"/>
  <c r="Q239" i="29"/>
  <c r="G240" i="29"/>
  <c r="H240" i="29"/>
  <c r="I240" i="29"/>
  <c r="J240" i="29"/>
  <c r="K240" i="29"/>
  <c r="L240" i="29"/>
  <c r="M240" i="29"/>
  <c r="N240" i="29"/>
  <c r="O240" i="29"/>
  <c r="P240" i="29"/>
  <c r="Q240" i="29"/>
  <c r="F83" i="29"/>
  <c r="F84" i="29"/>
  <c r="AE24" i="37"/>
  <c r="B115" i="29"/>
  <c r="C114" i="29"/>
  <c r="B114" i="29"/>
  <c r="C113" i="29"/>
  <c r="B113" i="29"/>
  <c r="B33" i="29"/>
  <c r="Q29" i="29" s="1"/>
  <c r="C33" i="29"/>
  <c r="D33" i="29" s="1"/>
  <c r="B32" i="29"/>
  <c r="B34" i="29" s="1"/>
  <c r="C34" i="29" s="1"/>
  <c r="D34" i="29" s="1"/>
  <c r="B56" i="29"/>
  <c r="E56" i="29" s="1"/>
  <c r="C56" i="29"/>
  <c r="I27" i="47"/>
  <c r="I28" i="47"/>
  <c r="G29" i="47"/>
  <c r="G31" i="47"/>
  <c r="G27" i="47"/>
  <c r="G28" i="47"/>
  <c r="G26" i="47"/>
  <c r="F20" i="47"/>
  <c r="G19" i="47"/>
  <c r="G18" i="47"/>
  <c r="D22" i="47"/>
  <c r="E19" i="47"/>
  <c r="E20" i="47"/>
  <c r="E18" i="47"/>
  <c r="F14" i="47"/>
  <c r="E14" i="47"/>
  <c r="K10" i="47"/>
  <c r="J10" i="47"/>
  <c r="C14" i="47"/>
  <c r="D13" i="47"/>
  <c r="D12" i="47"/>
  <c r="D11" i="47"/>
  <c r="D6" i="47"/>
  <c r="C6" i="47"/>
  <c r="D64" i="29"/>
  <c r="D63" i="29"/>
  <c r="D62" i="29"/>
  <c r="D61" i="29"/>
  <c r="E35" i="29"/>
  <c r="H160"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B8" i="45"/>
  <c r="B23" i="45"/>
  <c r="B2" i="37"/>
  <c r="B2" i="35"/>
  <c r="B2" i="45"/>
  <c r="B3" i="27"/>
  <c r="B3" i="32" s="1"/>
  <c r="B2" i="30"/>
  <c r="B2" i="1"/>
  <c r="B2" i="39"/>
  <c r="B2" i="42"/>
  <c r="K3" i="30"/>
  <c r="M3" i="30"/>
  <c r="J8" i="30" s="1"/>
  <c r="A32" i="29"/>
  <c r="B3" i="39"/>
  <c r="B3" i="42"/>
  <c r="C4" i="42"/>
  <c r="B4" i="1"/>
  <c r="C3" i="37"/>
  <c r="B3" i="37"/>
  <c r="B3" i="30"/>
  <c r="B6" i="27"/>
  <c r="C4" i="30"/>
  <c r="C4" i="35"/>
  <c r="C4" i="37"/>
  <c r="C4" i="39"/>
  <c r="D60" i="29"/>
  <c r="C38" i="29"/>
  <c r="B38" i="29"/>
  <c r="B9" i="45"/>
  <c r="K3" i="35"/>
  <c r="M3" i="35"/>
  <c r="I11" i="27"/>
  <c r="B12" i="27"/>
  <c r="C3" i="35"/>
  <c r="B3" i="35"/>
  <c r="B4" i="35"/>
  <c r="E4" i="35"/>
  <c r="K4" i="35"/>
  <c r="M4" i="35"/>
  <c r="D5" i="35"/>
  <c r="L5" i="35"/>
  <c r="M5" i="35"/>
  <c r="B54" i="35"/>
  <c r="J3" i="39"/>
  <c r="L3" i="39"/>
  <c r="B4" i="39"/>
  <c r="E4" i="39"/>
  <c r="J4" i="39"/>
  <c r="L4" i="39"/>
  <c r="K5" i="39"/>
  <c r="L5" i="39"/>
  <c r="L3" i="42"/>
  <c r="M3" i="42"/>
  <c r="B4" i="42"/>
  <c r="E4" i="42"/>
  <c r="L4" i="42"/>
  <c r="M4" i="42"/>
  <c r="L5" i="42"/>
  <c r="M5" i="42"/>
  <c r="D14" i="42"/>
  <c r="O3" i="37"/>
  <c r="Q3" i="37"/>
  <c r="B4" i="37"/>
  <c r="E4" i="37"/>
  <c r="P4" i="37"/>
  <c r="Q4" i="37"/>
  <c r="D5" i="37"/>
  <c r="P5" i="37"/>
  <c r="Q5" i="37"/>
  <c r="B41" i="37"/>
  <c r="F41" i="37"/>
  <c r="L41" i="37"/>
  <c r="T56" i="37"/>
  <c r="U56" i="37"/>
  <c r="T57" i="37"/>
  <c r="U57"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F35" i="29"/>
  <c r="H35" i="29"/>
  <c r="Q59" i="29"/>
  <c r="K35" i="29"/>
  <c r="M35" i="29"/>
  <c r="D91" i="29"/>
  <c r="B10" i="45"/>
  <c r="B11" i="45"/>
  <c r="B19" i="45"/>
  <c r="B20" i="45"/>
  <c r="B21" i="45"/>
  <c r="B22" i="45"/>
  <c r="B25" i="45"/>
  <c r="H4" i="1"/>
  <c r="C35" i="29"/>
  <c r="I35" i="29"/>
  <c r="G35" i="29"/>
  <c r="Q35" i="29"/>
  <c r="J35" i="29"/>
  <c r="Q33" i="29"/>
  <c r="Q34" i="29"/>
  <c r="B35" i="29"/>
  <c r="Q58" i="29"/>
  <c r="Q32" i="29"/>
  <c r="L35" i="29"/>
  <c r="P60" i="29"/>
  <c r="B22" i="30" l="1"/>
  <c r="D35" i="29"/>
  <c r="Q31" i="29"/>
  <c r="B7" i="35"/>
  <c r="J22" i="30"/>
  <c r="Q30" i="29"/>
  <c r="D14" i="47"/>
  <c r="F22" i="47" s="1"/>
  <c r="AF25" i="37"/>
  <c r="AC25" i="37"/>
  <c r="AB25" i="37"/>
  <c r="AE25" i="37"/>
  <c r="AD25" i="37"/>
  <c r="AE26" i="37"/>
  <c r="AD26" i="37"/>
  <c r="AF26" i="37"/>
  <c r="AC26" i="37"/>
  <c r="AB26" i="37"/>
  <c r="I18" i="35"/>
  <c r="I28" i="35"/>
  <c r="AB24" i="37"/>
  <c r="B8" i="30"/>
  <c r="AC24" i="37"/>
  <c r="AF24" i="37"/>
  <c r="I7" i="35"/>
  <c r="B18" i="35"/>
</calcChain>
</file>

<file path=xl/comments1.xml><?xml version="1.0" encoding="utf-8"?>
<comments xmlns="http://schemas.openxmlformats.org/spreadsheetml/2006/main">
  <authors>
    <author>Irina Schelokova</author>
  </authors>
  <commentList>
    <comment ref="B55" authorId="0" shapeId="0">
      <text>
        <r>
          <rPr>
            <b/>
            <sz val="9"/>
            <color indexed="81"/>
            <rFont val="Tahoma"/>
            <family val="2"/>
            <charset val="204"/>
          </rPr>
          <t>Irina Schelokova:</t>
        </r>
        <r>
          <rPr>
            <sz val="9"/>
            <color indexed="81"/>
            <rFont val="Tahoma"/>
            <family val="2"/>
            <charset val="204"/>
          </rPr>
          <t xml:space="preserve">
в 2 фазе индикатор модифицирован</t>
        </r>
      </text>
    </comment>
    <comment ref="B56" authorId="0" shapeId="0">
      <text>
        <r>
          <rPr>
            <b/>
            <sz val="9"/>
            <color indexed="81"/>
            <rFont val="Tahoma"/>
            <family val="2"/>
            <charset val="204"/>
          </rPr>
          <t>Irina Schelokova:</t>
        </r>
        <r>
          <rPr>
            <sz val="9"/>
            <color indexed="81"/>
            <rFont val="Tahoma"/>
            <family val="2"/>
            <charset val="204"/>
          </rPr>
          <t xml:space="preserve">
в 2 фазе индикатор модифицирован</t>
        </r>
      </text>
    </comment>
    <comment ref="B58" authorId="0" shapeId="0">
      <text>
        <r>
          <rPr>
            <b/>
            <sz val="9"/>
            <color indexed="81"/>
            <rFont val="Tahoma"/>
            <family val="2"/>
            <charset val="204"/>
          </rPr>
          <t>Irina Schelokova:</t>
        </r>
        <r>
          <rPr>
            <sz val="9"/>
            <color indexed="81"/>
            <rFont val="Tahoma"/>
            <family val="2"/>
            <charset val="204"/>
          </rPr>
          <t xml:space="preserve">
в 2 фазе индикатор исключен</t>
        </r>
      </text>
    </comment>
  </commentList>
</comments>
</file>

<file path=xl/comments2.xml><?xml version="1.0" encoding="utf-8"?>
<comments xmlns="http://schemas.openxmlformats.org/spreadsheetml/2006/main">
  <authors>
    <author>mgleixner</author>
    <author>Nazgul Akaeva</author>
    <author>molszak</author>
  </authors>
  <commentList>
    <comment ref="A30" authorId="0" shapeId="0">
      <text>
        <r>
          <rPr>
            <sz val="8"/>
            <color indexed="81"/>
            <rFont val="Tahoma"/>
            <family val="2"/>
          </rPr>
          <t>To define your periods (eg. P1, P2, P3 etc or P9, P10, P11 etc) you need to unprotect the cells.</t>
        </r>
      </text>
    </comment>
    <comment ref="B32" authorId="1" shapeId="0">
      <text>
        <r>
          <rPr>
            <b/>
            <sz val="9"/>
            <color indexed="81"/>
            <rFont val="Tahoma"/>
            <family val="2"/>
            <charset val="204"/>
          </rPr>
          <t>Nazgul Akaeva:</t>
        </r>
        <r>
          <rPr>
            <sz val="9"/>
            <color indexed="81"/>
            <rFont val="Tahoma"/>
            <family val="2"/>
            <charset val="204"/>
          </rPr>
          <t xml:space="preserve">
2 214 860$ -uncommitted cash balance from closed grants transferred to grant KGZ-C-UNDP</t>
        </r>
      </text>
    </comment>
    <comment ref="A81" authorId="2" shapeId="0">
      <text>
        <r>
          <rPr>
            <b/>
            <sz val="8"/>
            <color indexed="81"/>
            <rFont val="Tahoma"/>
            <family val="2"/>
          </rPr>
          <t xml:space="preserve">If data are not available, do not enter zeros; rather, leave the cells in the table blank. </t>
        </r>
      </text>
    </comment>
    <comment ref="A82" authorId="2" shapeId="0">
      <text>
        <r>
          <rPr>
            <b/>
            <sz val="8"/>
            <color indexed="81"/>
            <rFont val="Tahoma"/>
            <family val="2"/>
          </rPr>
          <t>If data are not available, do not enter zeros; rather, leave the cells in this table blank.</t>
        </r>
      </text>
    </comment>
    <comment ref="A83" authorId="2" shapeId="0">
      <text>
        <r>
          <rPr>
            <b/>
            <sz val="8"/>
            <color indexed="81"/>
            <rFont val="Tahoma"/>
            <family val="2"/>
          </rPr>
          <t xml:space="preserve">If data are not available, do not enter zeros; rather, leave the cells in the table blank. </t>
        </r>
      </text>
    </comment>
    <comment ref="A84" authorId="2" shapeId="0">
      <text>
        <r>
          <rPr>
            <b/>
            <sz val="8"/>
            <color indexed="81"/>
            <rFont val="Tahoma"/>
            <family val="2"/>
          </rPr>
          <t>If data are not available, do not enter zeros; rather, leave the cells in this table blank.</t>
        </r>
      </text>
    </comment>
    <comment ref="A91" authorId="0" shapeId="0">
      <text>
        <r>
          <rPr>
            <sz val="8"/>
            <color indexed="81"/>
            <rFont val="Tahoma"/>
            <family val="2"/>
          </rPr>
          <t xml:space="preserve">If data are not available, do not enter zeros; rather, leave the cells in this table blank. </t>
        </r>
      </text>
    </comment>
    <comment ref="A109" authorId="0" shapeId="0">
      <text>
        <r>
          <rPr>
            <sz val="8"/>
            <color indexed="81"/>
            <rFont val="Tahoma"/>
            <family val="2"/>
          </rPr>
          <t>To define your periods (eg. P1, P2, P3 etc or P9, P10, P11 etc) you need to unprotect the cells.</t>
        </r>
      </text>
    </comment>
  </commentList>
</comments>
</file>

<file path=xl/comments3.xml><?xml version="1.0" encoding="utf-8"?>
<comments xmlns="http://schemas.openxmlformats.org/spreadsheetml/2006/main">
  <authors>
    <author>Elena Mikhalchenko</author>
  </authors>
  <commentList>
    <comment ref="D6"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 ref="D14"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List>
</comments>
</file>

<file path=xl/sharedStrings.xml><?xml version="1.0" encoding="utf-8"?>
<sst xmlns="http://schemas.openxmlformats.org/spreadsheetml/2006/main" count="1149" uniqueCount="788">
  <si>
    <t xml:space="preserve">     Введите финансовые данные в каждую ячейку оранжевого цвета.</t>
  </si>
  <si>
    <t>M1: Статус Предварительных условий (ПУ) и Действий с установленным сроком исполнения (ДУС)</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</si>
  <si>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</si>
  <si>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(3)
Общее кол-во пациентов, получающих лечение</t>
  </si>
  <si>
    <t>Общ. финансирование:</t>
  </si>
  <si>
    <r>
      <rPr>
        <sz val="11"/>
        <rFont val="Arial"/>
        <family val="2"/>
      </rPr>
      <t>ОПР/ЗПС</t>
    </r>
    <r>
      <rPr>
        <sz val="11"/>
        <color indexed="8"/>
        <rFont val="Arial"/>
        <family val="2"/>
      </rPr>
      <t>; данные ОР; отчеты СР  основному реципиенту.</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</si>
  <si>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</si>
  <si>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M4: Количество полных отчетов, полученных к установленному сроку</t>
  </si>
  <si>
    <t>Документация ОР: складские данные</t>
  </si>
  <si>
    <t>Источник данных</t>
  </si>
  <si>
    <t>Валюта финансирования гранта (долл. США или евро).</t>
  </si>
  <si>
    <t>Количество месяцев.</t>
  </si>
  <si>
    <t>Банковская или бухгалтерская информация ОР; уведомления ГФ о выплате средств; ОПР/ЗПС; веб-сайт ГФ.</t>
  </si>
  <si>
    <t xml:space="preserve">Документация ОР. </t>
  </si>
  <si>
    <t>Документация ОР и СР.</t>
  </si>
  <si>
    <t>Документация ОР; соглашения с субреципиентами/ меморандум о взаимопонимании (МоВ); документация СКК.</t>
  </si>
  <si>
    <t>€</t>
  </si>
  <si>
    <t>$</t>
  </si>
  <si>
    <t>RCC</t>
  </si>
  <si>
    <t>Component</t>
  </si>
  <si>
    <t>Currency</t>
  </si>
  <si>
    <t>Round</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</si>
  <si>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</si>
  <si>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</si>
  <si>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</si>
  <si>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</si>
  <si>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</si>
  <si>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</si>
  <si>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</si>
  <si>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</si>
  <si>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</si>
  <si>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</si>
  <si>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</si>
  <si>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</si>
  <si>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</si>
  <si>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</si>
  <si>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</si>
  <si>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</si>
  <si>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</si>
  <si>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NVP</t>
  </si>
  <si>
    <t>3TC</t>
  </si>
  <si>
    <t>D4T</t>
  </si>
  <si>
    <t>AZT</t>
  </si>
  <si>
    <t>DDI</t>
  </si>
  <si>
    <t>EFV</t>
  </si>
  <si>
    <t>AS/MQ</t>
  </si>
  <si>
    <t>AS/LF</t>
  </si>
  <si>
    <t>AS/AQ</t>
  </si>
  <si>
    <t>Medicaments</t>
  </si>
  <si>
    <t>min</t>
  </si>
  <si>
    <t>max</t>
  </si>
  <si>
    <t>F1</t>
  </si>
  <si>
    <t>F2</t>
  </si>
  <si>
    <t>F3</t>
  </si>
  <si>
    <t>F4</t>
  </si>
  <si>
    <t>P1</t>
  </si>
  <si>
    <t>P2</t>
  </si>
  <si>
    <t>P3</t>
  </si>
  <si>
    <t>P4</t>
  </si>
  <si>
    <t>M1</t>
  </si>
  <si>
    <t>M2</t>
  </si>
  <si>
    <t>M3</t>
  </si>
  <si>
    <t>M4</t>
  </si>
  <si>
    <t>M5</t>
  </si>
  <si>
    <t>M6</t>
  </si>
  <si>
    <t>P5</t>
  </si>
  <si>
    <t>P6</t>
  </si>
  <si>
    <t>P7</t>
  </si>
  <si>
    <t>P8</t>
  </si>
  <si>
    <t>P9</t>
  </si>
  <si>
    <t>P10</t>
  </si>
  <si>
    <t>P11</t>
  </si>
  <si>
    <t>Countries</t>
  </si>
  <si>
    <t>UNOPS</t>
  </si>
  <si>
    <t>Valor</t>
  </si>
  <si>
    <t>Rating</t>
  </si>
  <si>
    <t>RDT</t>
  </si>
  <si>
    <t>Period</t>
  </si>
  <si>
    <t>P12</t>
  </si>
  <si>
    <t>LFA</t>
  </si>
  <si>
    <t>E-PAP</t>
  </si>
  <si>
    <t>Al/Lum</t>
  </si>
  <si>
    <t>Set-up = List of validation for Grant Detail page</t>
  </si>
  <si>
    <t>0% - 59%</t>
  </si>
  <si>
    <t>60% - 89%</t>
  </si>
  <si>
    <t>&gt; 90%</t>
  </si>
  <si>
    <t>V1.0</t>
  </si>
  <si>
    <t>Наименование:</t>
  </si>
  <si>
    <t>Определение</t>
  </si>
  <si>
    <t>Измерение</t>
  </si>
  <si>
    <t>Источники Данных</t>
  </si>
  <si>
    <t>Грант №</t>
  </si>
  <si>
    <t>Страна:</t>
  </si>
  <si>
    <t>Пожалуйста выберите</t>
  </si>
  <si>
    <t>Афганистан</t>
  </si>
  <si>
    <t>Албания</t>
  </si>
  <si>
    <t>Алжир</t>
  </si>
  <si>
    <t>Ангола</t>
  </si>
  <si>
    <t>Аргентина</t>
  </si>
  <si>
    <t>Армения</t>
  </si>
  <si>
    <t>Азербайджан</t>
  </si>
  <si>
    <t>Бангладеш</t>
  </si>
  <si>
    <t>Беларусь</t>
  </si>
  <si>
    <t>Белиз</t>
  </si>
  <si>
    <t>Бенин</t>
  </si>
  <si>
    <t>Бутан</t>
  </si>
  <si>
    <t>Боливия</t>
  </si>
  <si>
    <t>Босния и Герцеговина</t>
  </si>
  <si>
    <t>Ботсвана</t>
  </si>
  <si>
    <t>Бразилия</t>
  </si>
  <si>
    <t>Болгария</t>
  </si>
  <si>
    <t>Буркина Фасо</t>
  </si>
  <si>
    <t>Бурунди</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</si>
  <si>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</si>
  <si>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</si>
  <si>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</si>
  <si>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</si>
  <si>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</si>
  <si>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</si>
  <si>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</si>
  <si>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</si>
  <si>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</si>
  <si>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</si>
  <si>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</si>
  <si>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</si>
  <si>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</si>
  <si>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</si>
  <si>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</si>
  <si>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</si>
  <si>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</si>
  <si>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</si>
  <si>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</si>
  <si>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</si>
  <si>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</si>
  <si>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</si>
  <si>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</si>
  <si>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</si>
  <si>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</si>
  <si>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</si>
  <si>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</si>
  <si>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</si>
  <si>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</si>
  <si>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</si>
  <si>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</si>
  <si>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</si>
  <si>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</si>
  <si>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</si>
  <si>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</si>
  <si>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</si>
  <si>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</si>
  <si>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</si>
  <si>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</si>
  <si>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</si>
  <si>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</si>
  <si>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</si>
  <si>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</si>
  <si>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</si>
  <si>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</si>
  <si>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Кыргызстан</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</si>
  <si>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</si>
  <si>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</si>
  <si>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</si>
  <si>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</si>
  <si>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</si>
  <si>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</si>
  <si>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</si>
  <si>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</si>
  <si>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</si>
  <si>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</si>
  <si>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</si>
  <si>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</si>
  <si>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</si>
  <si>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</si>
  <si>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</si>
  <si>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Глобальный (LWF)</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</si>
  <si>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</si>
  <si>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</si>
  <si>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</si>
  <si>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</si>
  <si>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</si>
  <si>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</si>
  <si>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</si>
  <si>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</si>
  <si>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</si>
  <si>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</si>
  <si>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</si>
  <si>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</si>
  <si>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</si>
  <si>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</si>
  <si>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</si>
  <si>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</si>
  <si>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</si>
  <si>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</si>
  <si>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</si>
  <si>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</si>
  <si>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</si>
  <si>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</si>
  <si>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</si>
  <si>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</si>
  <si>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</si>
  <si>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</si>
  <si>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</si>
  <si>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</si>
  <si>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</si>
  <si>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</si>
  <si>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</si>
  <si>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</si>
  <si>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</si>
  <si>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</si>
  <si>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</si>
  <si>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</si>
  <si>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</si>
  <si>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</si>
  <si>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</si>
  <si>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</si>
  <si>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</si>
  <si>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</si>
  <si>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</si>
  <si>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</si>
  <si>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</si>
  <si>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</si>
  <si>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</si>
  <si>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</si>
  <si>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</si>
  <si>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</si>
  <si>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</si>
  <si>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</si>
  <si>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Раунд 1</t>
  </si>
  <si>
    <t>Раунд 2</t>
  </si>
  <si>
    <t>Раунд 3</t>
  </si>
  <si>
    <t>Раунд 4</t>
  </si>
  <si>
    <t>Раунд 5</t>
  </si>
  <si>
    <t>Раунд 6</t>
  </si>
  <si>
    <t>Раунд 7</t>
  </si>
  <si>
    <t>Раунд 8</t>
  </si>
  <si>
    <t>Раунд 9</t>
  </si>
  <si>
    <t>Раунд 10</t>
  </si>
  <si>
    <t>Фаза 1</t>
  </si>
  <si>
    <t>Фаза 2</t>
  </si>
  <si>
    <t>Изониазид</t>
  </si>
  <si>
    <t>Этамбутол</t>
  </si>
  <si>
    <t>Рифампицин</t>
  </si>
  <si>
    <t>Пиразинамид</t>
  </si>
  <si>
    <t>Пищевые добавки для ТБ</t>
  </si>
  <si>
    <t>ВИЧ / СПИД</t>
  </si>
  <si>
    <t>МАЛЯРИЯ</t>
  </si>
  <si>
    <t>ТБ</t>
  </si>
  <si>
    <t>ВИЧ/СПИД/ТБ</t>
  </si>
  <si>
    <t>УСЗ</t>
  </si>
  <si>
    <t>Компонент:</t>
  </si>
  <si>
    <t>Раунд:</t>
  </si>
  <si>
    <t>Период предоставления отчетной информации</t>
  </si>
  <si>
    <t>Отчетный период</t>
  </si>
  <si>
    <t>Дата ввода информации:</t>
  </si>
  <si>
    <t>Кем подготовлено:</t>
  </si>
  <si>
    <t>Информация об индикаторах</t>
  </si>
  <si>
    <t>Фаза:</t>
  </si>
  <si>
    <t>Всего</t>
  </si>
  <si>
    <t>До отчетного периода</t>
  </si>
  <si>
    <t>Текущий отчетный период</t>
  </si>
  <si>
    <t>Выполненные</t>
  </si>
  <si>
    <t>Невыполненные, но непросроченные</t>
  </si>
  <si>
    <t>Запланировано</t>
  </si>
  <si>
    <t>Заполнено</t>
  </si>
  <si>
    <t>Вакантно</t>
  </si>
  <si>
    <t>СР</t>
  </si>
  <si>
    <t>Ожидаемое кол-во</t>
  </si>
  <si>
    <t>Полученное кол-во</t>
  </si>
  <si>
    <t>Расходы</t>
  </si>
  <si>
    <t>Компонент</t>
  </si>
  <si>
    <t>Код</t>
  </si>
  <si>
    <t>Достигнуто</t>
  </si>
  <si>
    <t>с:</t>
  </si>
  <si>
    <t>дo:</t>
  </si>
  <si>
    <t>Дата начала:</t>
  </si>
  <si>
    <t>Дата подготовки отчета:</t>
  </si>
  <si>
    <t>Рекомендации</t>
  </si>
  <si>
    <t>Управление</t>
  </si>
  <si>
    <t>P1 - тенденция</t>
  </si>
  <si>
    <t>P2 - тенденция</t>
  </si>
  <si>
    <t>P3 - тенденция</t>
  </si>
  <si>
    <t>Срок</t>
  </si>
  <si>
    <t>Ответственное лицо</t>
  </si>
  <si>
    <t>Дата</t>
  </si>
  <si>
    <t>АРВ</t>
  </si>
  <si>
    <t>Анти-ретровирусные препараты</t>
  </si>
  <si>
    <t>ВИЧ</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</si>
  <si>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</si>
  <si>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</si>
  <si>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</si>
  <si>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</si>
  <si>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</si>
  <si>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</si>
  <si>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</si>
  <si>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</si>
  <si>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</si>
  <si>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</si>
  <si>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</si>
  <si>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</si>
  <si>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</si>
  <si>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</si>
  <si>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ПУ</t>
  </si>
  <si>
    <t>Предварительное условие</t>
  </si>
  <si>
    <t>СКМ</t>
  </si>
  <si>
    <t>Страновой Координационный Механизм</t>
  </si>
  <si>
    <t>Суб-реципиент</t>
  </si>
  <si>
    <t>ССР</t>
  </si>
  <si>
    <t>Суб-суб-реципиент</t>
  </si>
  <si>
    <t>УЗС</t>
  </si>
  <si>
    <t>Управление Закупками и Снабжением</t>
  </si>
  <si>
    <t>УФО</t>
  </si>
  <si>
    <t>Принципиальный Реципиент</t>
  </si>
  <si>
    <t>Улучшенный Финансовый Отчет</t>
  </si>
  <si>
    <t>Финансирование</t>
  </si>
  <si>
    <t>Информация о гранте</t>
  </si>
  <si>
    <t>Основной реципиент:</t>
  </si>
  <si>
    <t>Дата начала (дд/ммм/гг):</t>
  </si>
  <si>
    <t>Название гранта:</t>
  </si>
  <si>
    <t>Местный агент Фонда:</t>
  </si>
  <si>
    <t>Менеджер портфолио Фонда:</t>
  </si>
  <si>
    <t xml:space="preserve">Информация о программе: </t>
  </si>
  <si>
    <t>Введите данные в ячейки соответствующего цвета</t>
  </si>
  <si>
    <t>Общий бюджет</t>
  </si>
  <si>
    <t>Общая сумма выплат</t>
  </si>
  <si>
    <t xml:space="preserve">Информация об управлении: </t>
  </si>
  <si>
    <t>Выплачено Глобальным фондом</t>
  </si>
  <si>
    <t>Расходы и платежи ОР</t>
  </si>
  <si>
    <t>Выплачено субреципиентам</t>
  </si>
  <si>
    <t>F4: Последний отчетный и платежный цикл ОР</t>
  </si>
  <si>
    <t>Информация об управлении:</t>
  </si>
  <si>
    <t>Невыполненные и просроченные</t>
  </si>
  <si>
    <t>Финансовые обязательства</t>
  </si>
  <si>
    <t>Общий объем финансовых обязательств</t>
  </si>
  <si>
    <t>Общий объем расходов</t>
  </si>
  <si>
    <t>Связаны напрямую?</t>
  </si>
  <si>
    <t>Грант №:</t>
  </si>
  <si>
    <t>Отчетный период:</t>
  </si>
  <si>
    <t>Разница между имеющимся и безопасным уровнем запасов</t>
  </si>
  <si>
    <t>Решение СКК</t>
  </si>
  <si>
    <t>Предпринятые действия</t>
  </si>
  <si>
    <t>Предыдущий отчетный период</t>
  </si>
  <si>
    <t>F3: Выплаты и расходы</t>
  </si>
  <si>
    <t>Выплаты</t>
  </si>
  <si>
    <t>Всего:</t>
  </si>
  <si>
    <t>Валюта финансирования гранта</t>
  </si>
  <si>
    <t>(2 = 1 x 30)
Месячный курс лечения 
(кол-во таблеток на 1 пациента на 30 дней)</t>
  </si>
  <si>
    <t>% Общего объема</t>
  </si>
  <si>
    <t>Решения и действия</t>
  </si>
  <si>
    <t>до:</t>
  </si>
  <si>
    <t>Общая сумма:</t>
  </si>
  <si>
    <t>Осуществляются ли закупки и набор персонала согласно графику?</t>
  </si>
  <si>
    <t xml:space="preserve">Информация о финансировании: </t>
  </si>
  <si>
    <t>(4 = 2 x 3)
Общее кол-во таблеток, необходимое для всех пациентов на 1месяц</t>
  </si>
  <si>
    <t xml:space="preserve">     Введите данные о реализации программы в каждую ячейку желтого цвета.</t>
  </si>
  <si>
    <t>Заключительные комментарии</t>
  </si>
  <si>
    <t>Расходы субреципиентов</t>
  </si>
  <si>
    <t>Расчетные (дни)</t>
  </si>
  <si>
    <t>Фактические (дни)</t>
  </si>
  <si>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</si>
  <si>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Количество  полученных отчетов. Эта цифра отражает только отчетный период; она не является совокупной.</t>
  </si>
  <si>
    <t>Введите данные об управлении в каждую ячейку голубого цвета.</t>
  </si>
  <si>
    <t>Программа</t>
  </si>
  <si>
    <t>Осваиваются ли все средства и расходуются ли они согласно бюджету?</t>
  </si>
  <si>
    <t>F2: Бюджет и фактические расходы согласно задачам гранта</t>
  </si>
  <si>
    <t>Последняя выплата средств: количество календарных дней</t>
  </si>
  <si>
    <t xml:space="preserve">Спустя сколько дней ОР получил платеж </t>
  </si>
  <si>
    <t>Спустя сколько дней суб-реципиенты получили платежи</t>
  </si>
  <si>
    <t>Получающие финансирование</t>
  </si>
  <si>
    <t>Незавершенные</t>
  </si>
  <si>
    <t xml:space="preserve">M3: Контрактные соглашения (СР) </t>
  </si>
  <si>
    <t>Совокупный утвердженный бюджет*</t>
  </si>
  <si>
    <t>M6: Разница между текущим и резервным запасами</t>
  </si>
  <si>
    <t>(1)
Кол-во таблеток на 1 пациента в день
(см. Национальный протокол по лечению)</t>
  </si>
  <si>
    <t>(5)
Текущие запасы на центральном складе (с действительным сроком годности на ближайшие 3 месяца)</t>
  </si>
  <si>
    <t xml:space="preserve">Сколько дней понадобилось для подачи ИОР/ЗПС в офис МАФ </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</si>
  <si>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</si>
  <si>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</si>
  <si>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</si>
  <si>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Программные показатели (Система оценки результатов реализации)</t>
  </si>
  <si>
    <t>Целевой показатель</t>
  </si>
  <si>
    <t>Таблица обновляется автоматически. Данные в эти ячейки не вводятся</t>
  </si>
  <si>
    <t>Финансовые показатели</t>
  </si>
  <si>
    <t>Уровень запасов, выраженный в месяцах лечения для всех имеющихся пациентов</t>
  </si>
  <si>
    <t xml:space="preserve">Уровень резервных запасов в месяцах </t>
  </si>
  <si>
    <t>Лекарственные средства и продукты медицинского назначения</t>
  </si>
  <si>
    <t>Отдел управления проектом</t>
  </si>
  <si>
    <t>Основные рекомендации Комитета по надзору</t>
  </si>
  <si>
    <t>Какой общий статус реализации этого гранта?</t>
  </si>
  <si>
    <t>Запланированные действия/Предыдущий период</t>
  </si>
  <si>
    <t>Каково общее состояние действий, осуществленных за предыдущий период?</t>
  </si>
  <si>
    <t>Достигаются ли технические целевые показатели?</t>
  </si>
  <si>
    <t>Показатели</t>
  </si>
  <si>
    <t>Показатели по управлению</t>
  </si>
  <si>
    <t>Кем подготовлен:</t>
  </si>
  <si>
    <t>Портфолио Менеджер  Фонда:</t>
  </si>
  <si>
    <t>Последняя оценка</t>
  </si>
  <si>
    <t>Последняя оценка:</t>
  </si>
  <si>
    <t>F1: Бюджет и выплаты Глобальным фондом</t>
  </si>
  <si>
    <t>M2: Статус ключевых руководящих должностей в структуре ОР</t>
  </si>
  <si>
    <t>Показатели должны быть выбраны ОР и членами СКК или Техническим комитетом СКК, см. Систему оценки результатов реализации</t>
  </si>
  <si>
    <t>Номер показателя: название (№ в Системе оценки результатов реализации)</t>
  </si>
  <si>
    <t>Система оценки результатов реализации</t>
  </si>
  <si>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</si>
  <si>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M5: Бюджет и закупки товаров медицинского назначения, медицинского оборудования,  лекарственных средств и фармацевтических препаратов</t>
  </si>
  <si>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</si>
  <si>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</si>
  <si>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Совокупный бюджет</t>
  </si>
  <si>
    <t>Совокупные расходы</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</si>
  <si>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</si>
  <si>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</si>
  <si>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Подписавшие соглашение</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</si>
  <si>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</si>
  <si>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t>Определеные</t>
  </si>
  <si>
    <t>Прошедшие оценку</t>
  </si>
  <si>
    <t>Одобренные</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</si>
  <si>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</si>
  <si>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</si>
  <si>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</si>
  <si>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</si>
  <si>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</si>
  <si>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</si>
  <si>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</si>
  <si>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Количество в текущем отчетном периоде.</t>
  </si>
  <si>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</si>
  <si>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</si>
  <si>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</si>
  <si>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</si>
  <si>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</si>
  <si>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ZDV/3TC/NVP</t>
  </si>
  <si>
    <t>ZDV/3TC</t>
  </si>
  <si>
    <t>ПРООН</t>
  </si>
  <si>
    <t>да</t>
  </si>
  <si>
    <t>Улучшение выявления и диагностики ТБ и качественное лечение ТБ случаев</t>
  </si>
  <si>
    <t>Расширение доступа к диагностике и лечению лекарственно-устойчивого туберкулеза</t>
  </si>
  <si>
    <t>Управление проектом</t>
  </si>
  <si>
    <t>Комментарии:</t>
  </si>
  <si>
    <t>Отчетная документация организаций - СР: ежемесячные списки больных МЛУ-ТБ и ежеквартальные отчеты.</t>
  </si>
  <si>
    <t>Измеряется в абсолютных числах  на основании списков больных, которые предоставляет СР.</t>
  </si>
  <si>
    <t>База данных МЛУ-ТБ НЦФ РЦИиЭ</t>
  </si>
  <si>
    <t>Число лабораторно подтвержденных МЛУ-ТБ больных, начавших  лечение препаратами второго ряда по ДОТС+, согласно годовому рабочему плану.</t>
  </si>
  <si>
    <t>Число МЛУ-ТБ больных на лечение получающие мотивационную поддержку.</t>
  </si>
  <si>
    <t>Бюджет (в $)</t>
  </si>
  <si>
    <t>Утвержденный бюджет*</t>
  </si>
  <si>
    <t>To consolidate DOTS framework through strengthening programme management, improving TB case detection and diagnosis and quality treatment of TB cases</t>
  </si>
  <si>
    <t xml:space="preserve"> To expand access to diagnosis and treatment of drug-resistant tuberculosis</t>
  </si>
  <si>
    <t>Program management</t>
  </si>
  <si>
    <t>Budget</t>
  </si>
  <si>
    <t>Expenditures</t>
  </si>
  <si>
    <t>1 Budget</t>
  </si>
  <si>
    <t>1 Expenditures</t>
  </si>
  <si>
    <t>PR</t>
  </si>
  <si>
    <t>SR</t>
  </si>
  <si>
    <t>Общий итог</t>
  </si>
  <si>
    <t>Cummulative/EFR</t>
  </si>
  <si>
    <t>Last/DB</t>
  </si>
  <si>
    <t>PUDR</t>
  </si>
  <si>
    <t>Замечания и комментарии</t>
  </si>
  <si>
    <t>Продукция</t>
  </si>
  <si>
    <t>Число МЛУ-ТБ больных на лечение по ДОТС+, получающие мотивационную поддержку ( продуктовые и гигиенические пакеты, денежные перечисления) для лучшей приверженности лечения в течение всего курса лечения.</t>
  </si>
  <si>
    <t>Число МЛУ-ТБ больных, включенных в лечение препаратами второго ряда ( гражданский и пенитенциарный секторы здравоохранения).</t>
  </si>
  <si>
    <t xml:space="preserve">Число  больных с чувствительной формой ТБ и ПЛУ(ПТП 1 ряда) на лечении, получающих мотивационную поддержку для лучшей приверженности к лечению </t>
  </si>
  <si>
    <t>Р1</t>
  </si>
  <si>
    <t xml:space="preserve">MDR TB-1: Процент ранее излеченных ТБ пациентов, прошедших ТЛЧ (только бактериологически положительные случаи) </t>
  </si>
  <si>
    <t>MDR TB-2: Количество бактериологически подтвержденных зарегистрированных ЛУ-ТБ случаев (РУ-ТБ и/или МЛУ-ТБ)</t>
  </si>
  <si>
    <t>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t>
  </si>
  <si>
    <t xml:space="preserve">Процент и количество пациентов с симптомами или подозрениями на ТБ, обследованных методом Xpert MTB/RIF и подтвержденным активным ТБ  </t>
  </si>
  <si>
    <t>Разрабатываются УОФ.</t>
  </si>
  <si>
    <t>Арташес Мирзоян</t>
  </si>
  <si>
    <t>Р2</t>
  </si>
  <si>
    <t>Мотивационной поддержкой были охвачены все больные ЛУ-ТБ, которые не прерывали лечение более  5 дней.</t>
  </si>
  <si>
    <t>Мотивационные выплаты для больных с чувствительной формой был включен в 2016 году и охватывает больных с чувствительной формой ТБ и ПЛУ-ТБ, которые не прерывают лечение только на амбулаторной фазе лечения..</t>
  </si>
  <si>
    <t>Данный индикатор показывает охват ранее леченных тестом на лекарственную чувствительность.</t>
  </si>
  <si>
    <t>&gt;100%</t>
  </si>
  <si>
    <t>KGZ-C-UNDP</t>
  </si>
  <si>
    <t>Управление программой</t>
  </si>
  <si>
    <t>Профилактика - ПИН и их партнеры</t>
  </si>
  <si>
    <t>Профилактика - Работники секс-бизнеса и их клиенты</t>
  </si>
  <si>
    <t>Профилактика - МСМ и трансгендерные лица</t>
  </si>
  <si>
    <t xml:space="preserve">Профилактика - Другие уязвимые группы населения </t>
  </si>
  <si>
    <t xml:space="preserve">Лечение, уход и поддержка
</t>
  </si>
  <si>
    <t>Укрепление систем сообществ</t>
  </si>
  <si>
    <t>Устранение правовых барьеров к доступу</t>
  </si>
  <si>
    <t>УC3 - Информационные системы здравоохранения и МиО</t>
  </si>
  <si>
    <t>ТБ/ВИЧ</t>
  </si>
  <si>
    <t>МЛУ-ТБ</t>
  </si>
  <si>
    <t>ППМР</t>
  </si>
  <si>
    <t>УСЗ - системы управления закупками и логистикой</t>
  </si>
  <si>
    <t xml:space="preserve">Профилактика - заключенные
</t>
  </si>
  <si>
    <t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t>
  </si>
  <si>
    <t>Процент взрослых и детей с известным ВИЧ статусом, получающих антиретровирусную терапию на данный момент</t>
  </si>
  <si>
    <t xml:space="preserve">Все лица с известным статусом на конец отчетного периода получающие АРТ в соответствие с национальным клиническим протоколом из оценочного числа ЛЖВ. </t>
  </si>
  <si>
    <t xml:space="preserve">Индикатор не кумулятивный, состоит из двух частей. Числитель: Число людей, находящихся на АРТ в данный момент (на конец отчетного периода), знаменатель: оценочное число ЛЖВ по Спектруму на 2016 г. </t>
  </si>
  <si>
    <t xml:space="preserve">Для сбора данных используется утвержденные НСК КР учетно-отчетные формы 4 и 4 а. РЦ “СПИД” предоставляет данные в ПРООН ежеквартально. </t>
  </si>
  <si>
    <t xml:space="preserve">Количество ЛЖВ, находящихся на попечении общинных организаций и участвующих в программах поддержки </t>
  </si>
  <si>
    <t xml:space="preserve">Указывается фактическое количество ЛЖВ,  получивших услугу через сообщества/инициативные группы/НПО и/или программы поддержки хотя бы один раз в квартал (и как минимум дважды за отчетное полугодие). </t>
  </si>
  <si>
    <t>Измеряется в абсолютных числах, расчет ведется по лицам, получившим услуги. Не кумулятивный.</t>
  </si>
  <si>
    <t>Отчетная документация организаций - СР (ежеквартально), БД МИС.</t>
  </si>
  <si>
    <t>Процент ЛУИН, охваченных программами по профилактике ВИЧ</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</si>
  <si>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за отчетный период, включая заключенных ЛУИН; знаменатель: оценочное количество ЛУИН за 2013 г. </t>
  </si>
  <si>
    <t>Процент ЛУИН заключенных, охваченных программами по  профилактике ВИЧ</t>
  </si>
  <si>
    <t xml:space="preserve">Количество лиц, которые получили минимальный пакет услуг (шприцы, иглы, салфетки),  информационные материалы (в виде информационных брошюр или информационных сессий) и обеспечен доступ к презервативам  хотя бы один раз в течение отчетного периода из числа заключенных. </t>
  </si>
  <si>
    <t>Не кумулятивный, данные от СР представляются в абсолютных числах. На уровне ОР осуществляется кумуляция данных и расчеты в процентах. Числитель:Количество лиц, которые получили минимальный пакет услуг (шприцы, иглы, салфетки),  информационные материалы (в виде информационных брошюр или информационных сессий) и обеспечен доступ к презервативам  хотя бы один раз в течение отчетного периода; знаменатель: фактическое количество заключенных.</t>
  </si>
  <si>
    <t xml:space="preserve">Количество игл и шприцев, розданных на 1-го ЛУИН за год
</t>
  </si>
  <si>
    <t>Число шприцев, распространенных в рамках программ по обмену игл и шприцев на одно лицо, употребляющее инъекционные наркотики за год</t>
  </si>
  <si>
    <t xml:space="preserve">Кумулятивно за год. 
Числитель: Число игл и шприцев, распространенных в рамках ПОШ за последние 12 месяцев
Знаменатель: Оценочное число лиц, потребляющих инъекционные наркотики в стране за 2013 год. </t>
  </si>
  <si>
    <t xml:space="preserve">Процент ЛУИН получающих ОЗТ, которые находятся на лечении не менее 6 месяцев после начала лечения </t>
  </si>
  <si>
    <t xml:space="preserve">Индикатор отражает приверженность/удержание на опиоидной заместительной терапии и охватывает и гражданский, пенитенциарный системы (включая сайты CDC). </t>
  </si>
  <si>
    <t>Измеряется в процентах, количество людей вступивших в программу ОЗТ в период предыдущий отчетному на  количество людей продолживших терапию в течении 6 месяцев после ее начала. Не кумулятивный.</t>
  </si>
  <si>
    <t>Процент ЛУИН, протестированных на ВИЧ и знающих свой результат</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</si>
  <si>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</si>
  <si>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</si>
  <si>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протестированных на ВИЧ и знающих свой результат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</si>
  <si>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</si>
  <si>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 Числитель: Число заключенных, прошедших тестирование на ВИЧ в течение отчетного периода и знающих их результаты.
Знаменатель: фактическое число заключенных. </t>
  </si>
  <si>
    <t>Источником данных являются отчеты суб-получателей.</t>
  </si>
  <si>
    <t>Процент СР охваченных, программами по профилактике ВИЧ</t>
  </si>
  <si>
    <t>Процент СР, которые получили хотя бы один раз минимальный пакет услуг в течение отчетного периода из оценочного числа.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</si>
  <si>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СР за 2013 г. </t>
  </si>
  <si>
    <t>Отчетная документация организаций - СР (ежеквартально), БД МИС</t>
  </si>
  <si>
    <t>Процент СР, протестированных на ВИЧ и знающих свой результат</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</si>
  <si>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</si>
  <si>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</si>
  <si>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охваченных, программами по профилактике ВИЧ</t>
  </si>
  <si>
    <t>Процент МСМ, которые получили хотя бы один раз минимальный пакет услуг в течение отчетного периода.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</si>
  <si>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МСМ за 2013 г. </t>
  </si>
  <si>
    <t>Процент МСМ, протестированных на ВИЧ и знающих свой результат</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</si>
  <si>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</si>
  <si>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МСМ за 2013 г. </t>
  </si>
  <si>
    <t>Процент ЛЖВ (взрослых и детей), у которых ТБ статус был оценен и зарегистрирован во время их последнего визита, среди всех взрослых и детей, вовлеченных в уход по ВИЧ</t>
  </si>
  <si>
    <t>Процент ЛЖВ, которым была проведена оценка ТБ статуса в соответствии с национальным клиническим протоколом за отчетный период.</t>
  </si>
  <si>
    <t>Не кумулятивный. Числитель: количество ЛЖВ, которым была проведена оценка ТБ статуса, знаменатель: количество ЛЖВ, вовлеченных в уход по ВИЧ (доступных)</t>
  </si>
  <si>
    <t>Данные РЦ СПИД, ЭС.</t>
  </si>
  <si>
    <t>Процент ЛЖВ, которые получали комбинированное лечение (АРТ и ТБ), из числа ЛЖВ с выявленным ТБ статусом</t>
  </si>
  <si>
    <t>Процент ЛЖВ с ТБ, получавших в  отчетном периоде антиретровирусную терапию и противотуберкулезное лечение.</t>
  </si>
  <si>
    <t>Числитель: Количество взрослых и детей с ВИЧ-инфекцией и ТБ, получавших в  отчетном периоде антиретровирусную терапию и противотуберкулезное лечение
Знаменатель: Количество ЛЖВ с ТБ</t>
  </si>
  <si>
    <t>Данные РЦ СПИД, программа ЭС.</t>
  </si>
  <si>
    <t>Процент ЛЖВ среди вновь взятых на Д-учет, получивших профилактику  изониазидом</t>
  </si>
  <si>
    <t>Процент ЛЖВ, получивших профилактику изониазидом среди вновь взятых на Д-учет.</t>
  </si>
  <si>
    <t>Числитель: Число ЛЖВ вновь взятых на Д-учет, которые получили  профилактику изониазидом (хотя бы одну дозу) за отчетный период
Знаменатель: Число ЛЖВ, вновь взятых  на диспансерный учет в организациях здравоохранения (Число взрослых и детей с ВИЧ-инфекцией которые были на приеме в медицинском учреждении, предоставляющем услуги при ВИЧ-инфекции,  хотя бы один раз в течение отчетного года) за отчетный период</t>
  </si>
  <si>
    <t>Процент ВИЧ-положительных беременных женщин, которые получали антиретровирусные препараты (АРВ) для снижения риска передачи от матери ребенку</t>
  </si>
  <si>
    <t xml:space="preserve">Индикатор рассчитывается в целом и в разбивке данных с учетом схемы назначения антиретровирусных препаратов и включает число ВИЧ-инфицированных беременных женщин, получивших полный курс антиретровирусной профилактики за отчетный период из оценочного числа ВИЧ-инфицированных беременных женщин, родивших за последние 12 месяцев. 
</t>
  </si>
  <si>
    <t>Кумулятивно за год. 
Числитель: Число ВИЧ-инфицированных беременных женщин, получивших полный курс антиретровирусной профилактики за отчетный период
Знаменатель: Оценочное число ВИЧ-инфицированных беременных женщин, родивших за последние 12 месяцев</t>
  </si>
  <si>
    <t>Данные РЦ СПИД, программа ЭС, Спектрум.</t>
  </si>
  <si>
    <t xml:space="preserve">Процент рожденных от ВИЧ-инфицированных женщин младенцев, прошедших вирусологический тест на ВИЧ в течение двух месяцев со дня рождения </t>
  </si>
  <si>
    <t xml:space="preserve">Индикатор включает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из оценочного числа ВИЧ-инфицированных беременных женщин, родивших за последние 12 месяцев. 
</t>
  </si>
  <si>
    <t xml:space="preserve">
Кумулятивно за год. 
Числитель: Число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Знаменатель: Оценочное число ВИЧ-инфицированных женщин, родивших  за последние 12 мес.</t>
  </si>
  <si>
    <t>Количество задокументированных нарушений прав человека (в разбивке по ключевым группам)</t>
  </si>
  <si>
    <t>Количество выявленных и задокументированных нарушений прав человека (правового, гражданского, административного характера и т.д.) со стороны уличных юристов.</t>
  </si>
  <si>
    <t>Подсчитывается количество выявленных и задокументированных нарушений прав человека (правового, гражданского, административного характера и т.д.) со стороны уличных юристов, задействованных в программе.</t>
  </si>
  <si>
    <t xml:space="preserve">Программные отчеты суб-получателей, задокументированные случаи. </t>
  </si>
  <si>
    <t>Количество организаций, участвующих в программе "Уличные юристы"</t>
  </si>
  <si>
    <t>Количество организаций и их сотрудников, задействованных в программе "Уличные Юристы".</t>
  </si>
  <si>
    <t>Подсчитывается количество НПО и их сотрдников, задействованных в программе "Уличные Юристы" за отчетный период.</t>
  </si>
  <si>
    <t>Программные отчеты суб-получателей, списки уличных юристов.</t>
  </si>
  <si>
    <t>Показатель по ТБ</t>
  </si>
  <si>
    <t>Показатель по ВИЧ /СПИД</t>
  </si>
  <si>
    <t>ВИЧ/СПИД</t>
  </si>
  <si>
    <t>Процент ЛУИН, охваченных программами по  профилактике ВИЧ</t>
  </si>
  <si>
    <t>Топ 10</t>
  </si>
  <si>
    <t>с текущим грантом</t>
  </si>
  <si>
    <t>Достигнуто на 110%</t>
  </si>
  <si>
    <t xml:space="preserve">Процент взрослых и детей с известным ВИЧ статусом, получающих антиретровирусную терапию на данный момент </t>
  </si>
  <si>
    <t>Достигнуто на 120%</t>
  </si>
  <si>
    <t>Ч:247
З:380
%:65</t>
  </si>
  <si>
    <t>Ч:272
З:400
%:68</t>
  </si>
  <si>
    <t>Ч:123
З:241
%:51</t>
  </si>
  <si>
    <t>Ч:120
З:254
%:47.2</t>
  </si>
  <si>
    <t>Ч: 2420
З: 8000
%: 30.3</t>
  </si>
  <si>
    <t>Ч: 2640
З: 8000
%: 33</t>
  </si>
  <si>
    <t>Ч: 2713
З: 8300
%: 33</t>
  </si>
  <si>
    <t>Ч: 3629
З: 8443
%: 42.9</t>
  </si>
  <si>
    <t>Ч:4260
З: 7103
%: 60</t>
  </si>
  <si>
    <t>Ч:4430
З: 7103
%: 62.4</t>
  </si>
  <si>
    <t>Ч:4050
З: 7103
%: 57</t>
  </si>
  <si>
    <t>Ч:3790
З: 7103
%: 53.3</t>
  </si>
  <si>
    <t xml:space="preserve"> Топ 10</t>
  </si>
  <si>
    <t>Ч: 3270
З: 11692
%: 28</t>
  </si>
  <si>
    <t>Ч: 3815
З: 11692
%: 32.6</t>
  </si>
  <si>
    <t xml:space="preserve">Ч: 3765
З: 11692
%:32.2 </t>
  </si>
  <si>
    <t xml:space="preserve">Ч: 5344
З: 11692
%:45.7 </t>
  </si>
  <si>
    <t>Ч: 5912
З: 25000
%: 23.6</t>
  </si>
  <si>
    <t>Ч: 6600
З: 25000
%: 26.4</t>
  </si>
  <si>
    <t>Ч: 6950
З: 25000
%: 28</t>
  </si>
  <si>
    <t>Ч: 7503
З: 25000
%: 30</t>
  </si>
  <si>
    <t>Ч:1630
З: 7103
%: 22.9</t>
  </si>
  <si>
    <t>Ч:2030
З: 7103
%: 28.6</t>
  </si>
  <si>
    <t>Ч:1097
З: 7103
%: 15.4</t>
  </si>
  <si>
    <t>Ч:1350
З: 7103
%: 19</t>
  </si>
  <si>
    <t>Ч: 1727
З: 11692
%: 14.8</t>
  </si>
  <si>
    <t>Ч: 2158
З: 11692
%: 18.5</t>
  </si>
  <si>
    <t>Достигнуто на 103%</t>
  </si>
  <si>
    <t>Ч: 1841
З: 11692
%: 15.7</t>
  </si>
  <si>
    <t>Ч: 2237
З: 11692
%: 19.1</t>
  </si>
  <si>
    <t>Процент взрослых и детей , у которых ТБ статус был оценен и зарегистрирован во время их последнего визита, среди всех взрослых и детей, вовлеченных в уход по ВИЧ</t>
  </si>
  <si>
    <t xml:space="preserve"> с текущим грантом</t>
  </si>
  <si>
    <t>95.6%</t>
  </si>
  <si>
    <t>94.6%</t>
  </si>
  <si>
    <t>61.6%</t>
  </si>
  <si>
    <t>Количество задокументированных нарушений прав человека (в разбивке по уязвимым группам)</t>
  </si>
  <si>
    <t>Информация о программе: ТБ</t>
  </si>
  <si>
    <t>Информация о программе: ВИЧ/СПИД</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</si>
  <si>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</si>
  <si>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</si>
  <si>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</si>
  <si>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</si>
  <si>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СР ВИЧ/СПИД</t>
  </si>
  <si>
    <t>СР ТБ</t>
  </si>
  <si>
    <t>Отчеты ССР для СР ТБ</t>
  </si>
  <si>
    <t>Отчеты ССР для СР ВИЧ/СПИД</t>
  </si>
  <si>
    <t>Отчеты СР для ОР ВИЧ СПИД</t>
  </si>
  <si>
    <t>Отчеты СР для ОР ТБ</t>
  </si>
  <si>
    <t>Комментарии по ВИЧ:</t>
  </si>
  <si>
    <t>Комментарии по ТБ:</t>
  </si>
  <si>
    <t>Комментрии:</t>
  </si>
  <si>
    <t>Замечания</t>
  </si>
  <si>
    <t>н/п</t>
  </si>
  <si>
    <t>Ч:294
З:420
%:70</t>
  </si>
  <si>
    <t>Ч:123
З:262
%:46.9</t>
  </si>
  <si>
    <t>Ч: 3359
З: 8522
%: 39.4</t>
  </si>
  <si>
    <t>Ч:4615
З: 7103
%: 65</t>
  </si>
  <si>
    <t>Ч:3932
З: 7103
%: 55.3</t>
  </si>
  <si>
    <t>Ч: 4360
З: 11692
%: 37.3</t>
  </si>
  <si>
    <t xml:space="preserve">Ч: 5754
З: 11692
%:49.2 </t>
  </si>
  <si>
    <t>Ч: 7628
З: 25000
%: 30.5</t>
  </si>
  <si>
    <t>Ч:1679
З: 7103
%: 23.6</t>
  </si>
  <si>
    <t>Ч: 2659
З: 11692
%: 22.7</t>
  </si>
  <si>
    <t>Программные показатели по ТБ</t>
  </si>
  <si>
    <t>Программные показатели по ВИЧ/СПИД</t>
  </si>
  <si>
    <t>Число  больных  с чувствительной формой ТБ, клторые находятся на амбулаторном этапе лечение, получающие мотивационную поддержку в виде денежных перечислений для лучшей приверженности.</t>
  </si>
  <si>
    <t>Отчетная документация организаций - СР: ежемесячные списки больныхТБ и ежеквартальные отчеты.</t>
  </si>
  <si>
    <t>Иструмент учета данных  ежеквартельной форме ТБ 06, табл. 3 (числитель) и ТБ 06, табл. 3 (знаменатель);</t>
  </si>
  <si>
    <t xml:space="preserve">Количество ранее излеченных ТБ случаев с результатом устойчивости на изониазид (Н) и рифампицин (R) за оценочный период к общему количеству бактериологически положительных ранее излеченных пациентов ТБ за оценочный период. </t>
  </si>
  <si>
    <t>Измеряется в абсолютных числах  на основании ежеквартальных статистических данных РЦИиЭ НЦФ.</t>
  </si>
  <si>
    <t xml:space="preserve">Отчетный инструмент  относится к форме ТБ 06, табл. 1. </t>
  </si>
  <si>
    <t xml:space="preserve">    Абсолютному количеству бактериологически подтвержденных случаев ЛУ РУ ТБ и/или МЛУ/ШЛУ выявленных за отчетный период.                                      
</t>
  </si>
  <si>
    <t xml:space="preserve"> Источником данных для этого индикатора будет являтся электронная база данных по ТБ.        
 Числитель: количество пациентов с симптомами или признаками ТБ, подлежащих обследованию методом  Xpert MTB/RIF с подтвержденной активной формой ТБ.    
Знаменатель: количество пациентов с симптомами или признаками ТБ, подлежащих обследованию методом  Xpert MTB/RIF.      </t>
  </si>
  <si>
    <t xml:space="preserve">  Процент и абсолютное количество пациентов с симптомами туберкулеза, у которых выявлен активный ТБ методом Xpert MTB/RIF.
</t>
  </si>
  <si>
    <t>РЦИиЭ НЦФ разработана учетно-отчетная форма для расчета данного показателя.</t>
  </si>
  <si>
    <t>Capreomycin  1000mg  Порошок для инъекций</t>
  </si>
  <si>
    <t>Kanamycin  1000mg  Порошок для инъекций</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</si>
  <si>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</si>
  <si>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</si>
  <si>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</si>
  <si>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</si>
  <si>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</si>
  <si>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</si>
  <si>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</si>
  <si>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</si>
  <si>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Rifampicin  150mg  Таблетки в оболочке</t>
  </si>
  <si>
    <t>Pyrazinamide  400mg  Таблетки без оболочки</t>
  </si>
  <si>
    <t>Клофаземин 100 мг</t>
  </si>
  <si>
    <t>Имипенем500/Циластатин 500</t>
  </si>
  <si>
    <t>Линезолид 600 мг</t>
  </si>
  <si>
    <t>Бедаквилин 100 мг</t>
  </si>
  <si>
    <t>Метадон</t>
  </si>
  <si>
    <t>Индикатор  отражает процент ЛУИН, которые получили минимальный пакет услуг (шприцы, иглы, салфетки), презервативы и информационный материал (в виде информационных брошюр или информационных сессий) хотя бы один раз в течение отчетного периода из оценочного числа ЛУИН.</t>
  </si>
  <si>
    <t>Достигнуто на 102%</t>
  </si>
  <si>
    <t>Достигнуто на 85%</t>
  </si>
  <si>
    <t>Достигнуто на 104%</t>
  </si>
  <si>
    <t>Достигнуто на 92%</t>
  </si>
  <si>
    <t>Ч:1450
З:8000
%: 18</t>
  </si>
  <si>
    <t>Ч:1500
З:8000
%: 18.8</t>
  </si>
  <si>
    <t>Ч:1550
З:8000
%: 19.4</t>
  </si>
  <si>
    <t>Ч:1354
З:8300
%: 16</t>
  </si>
  <si>
    <t>Ч:1501
З:8443
%: 17.7</t>
  </si>
  <si>
    <t>Ч:1453
З:8522
%: 17</t>
  </si>
  <si>
    <t>95.2%</t>
  </si>
  <si>
    <t>Процент ЛУИН заключенных, охваченных программами по профилактике ВИЧ</t>
  </si>
  <si>
    <t>Процент взрослых и детей, получавших антиретровирусную терапию в отчетный период, у которых отмечено подавление вирусной нагрузки (т.е. ≤1000 копий)</t>
  </si>
  <si>
    <t>Ч:1644
З:2668
%: 62</t>
  </si>
  <si>
    <t>89.68%</t>
  </si>
  <si>
    <t>Количество игл и шприцев, розданных на 1-го ЛУИН за год</t>
  </si>
  <si>
    <t>Определение (на основании Плана мониторинга и оценки)</t>
  </si>
  <si>
    <t>«Эффективный контроль за туберкулезом и ВИЧ-инфекцией в Кыргызской Республике»</t>
  </si>
  <si>
    <t xml:space="preserve">MDR TB-1: Процент ранее леченных ТБ пациентов, прошедших ТЛЧ (только бактериологически положительные случаи) </t>
  </si>
  <si>
    <t>MDR TB-2: Количество бактериологически подтвержденных зарегистрированных  РУ-ТБ и/или МЛУ-ТБ случаев ТБ</t>
  </si>
  <si>
    <t>MDR TB-3: Число больных  с устойчивыми формами РУ-ТБ и/или МЛУ-ТБ ТБ, включенных в лечение препаратами второго ряда ( включая пенитенциарную службу)</t>
  </si>
  <si>
    <t>0</t>
  </si>
  <si>
    <t>В текущем отчетном периоде данная активность не выполнялась</t>
  </si>
  <si>
    <t>95%</t>
  </si>
  <si>
    <t>598</t>
  </si>
  <si>
    <t>10%</t>
  </si>
  <si>
    <t>16%</t>
  </si>
  <si>
    <t xml:space="preserve"> (1) В течение отчетного перода Q4-2017-Q1-2018, было зарегистрировано  1174 ранее леченных случаев ТБ, включая 539 положительных по культуре (2)  Из 539 положительных по культуре случаев ТБ, 511 имели ТЛЧ результаты к H и R (3) Выполнение индикатора процент ранее леченнных случаев ТБ, охваченных ТЛЧ, составил 100% </t>
  </si>
  <si>
    <t xml:space="preserve">Согласно отчету НЦФ, среди 7295пациентов с симптомами ТБ, обследованных методом     Xpert, 1205 были положительными  на ДНК  (16,5%). </t>
  </si>
  <si>
    <t>Достигнуто на 101%</t>
  </si>
  <si>
    <t>Достигнуто на 98%</t>
  </si>
  <si>
    <t>Ч:315
З:450
%:70</t>
  </si>
  <si>
    <t>Ч:126
З:253
%:49.8</t>
  </si>
  <si>
    <t>Достигнуто на 71%</t>
  </si>
  <si>
    <t>Ч: 2800
З: 8000
%: 35</t>
  </si>
  <si>
    <t>Ч: 3501
З: 8772
%: 39.9</t>
  </si>
  <si>
    <t>Достигнуто на 114%</t>
  </si>
  <si>
    <t>Ч:4793
З: 7103
%: 67.5</t>
  </si>
  <si>
    <t>Ч:3792
З: 7103
%: 53.38</t>
  </si>
  <si>
    <t>Достигнуто на 79%</t>
  </si>
  <si>
    <t>Ч: 5387
З: 11692
%: 46.1</t>
  </si>
  <si>
    <t xml:space="preserve">Ч: 7205
З: 11692
%:61.6 </t>
  </si>
  <si>
    <t>Ч: 7312
З: 25000
%: 29.2</t>
  </si>
  <si>
    <t>Ч: 8332
З: 25000
%: 33.3</t>
  </si>
  <si>
    <t>Ч:2236
З: 7103
%: 31.5</t>
  </si>
  <si>
    <t>Ч:2134
З: 7103
%: 30</t>
  </si>
  <si>
    <t>Достигнуто на 95%</t>
  </si>
  <si>
    <t>Ч: 3207
З: 11692
%: 27.4</t>
  </si>
  <si>
    <t>Ч: 3358
З: 11692
%: 28.7</t>
  </si>
  <si>
    <t>Достигнуто на 105%</t>
  </si>
  <si>
    <t>Достигнуто на 96%</t>
  </si>
  <si>
    <t>По компоненту ВИЧ - Предварительных условий (ПУ) нет, согласно письму от ГФ по результатам работы за 1-е полугодие 2017 года было включено 1 Действие с установленным сроком исполнения (ДУС) - срок исполнения 30 июня 2018 года (по программе ПТМ). Предваритиельное условие выполнено в срок, все подтверждающие документы направлены в ГФ.</t>
  </si>
  <si>
    <t>По компоненту ВИЧ - С начала августа 2018 года все 6 штатных позиций в программном отделе (координатор, программные специалисты и МиО специалист) были заняты.  
По компоненту ТБ - Координатор гранта ТБ, Финансовый специалист, специалист по амбулаторному лечению и специалист МиО гранта ТБ</t>
  </si>
  <si>
    <t>По компоненту ВИЧ - продолжили реализацию программы всего 26 Суб-получателей в рамках 28 СП-Соглашений, из которых все СП по всем Соглашениям получали финансирование. 
ПО компоненту ТБ: Соглашения подписаны в Марте,  отчеты за третий и четвертый кварталы сданы и отражены в отчете PU\DR.
Сотрудничество с МЗ КР в отчетном периоде продолжилось без СП Соглашения.</t>
  </si>
  <si>
    <t>По компоненту ВИЧ -  26 из 28 ожидаемых программных отчетов СП были получены своевременно, отчеты от 2 организаций - СП были получены позже установленного срока (15 число следующего за отчетным периодом месяца). Все 28 отчетов были проверены, доработаны СП и приняты в установленные сроки, в течение 30 календарных дней. 
Комментарии по ТБ: Суб-суб-получателей были приняты в рамках отчета МЗ КР.
 Все СР предоставили полные отчеты в установленные сроки</t>
  </si>
  <si>
    <t>Ч:1889
З:3454
%: 54.69</t>
  </si>
  <si>
    <t>Ч:1575
З:8000
%: 19.7</t>
  </si>
  <si>
    <t>Ч:1468
З:8772
%: 16.7</t>
  </si>
  <si>
    <t xml:space="preserve">Достигнуто </t>
  </si>
  <si>
    <t xml:space="preserve">В отчетный период услуги получили 4159 ЛУИН  в государственных ПОШ, 10562 ЛУИН в НПО и 1578 в ГСИН. После исключения дублирующих кодов, общее количество клиентов  охваченных программами по профилактике ВИЧ в отчетном периоде  составило 15828, в том числе 1887 женщин. </t>
  </si>
  <si>
    <t xml:space="preserve">В соответствии с официальными данными, представленными Центром СПИД Республики на 30 июня 2018 г., 3454 ЛЖВ получают АРВ лечение. В это число входят 3010 взрослых (из них: мужчин - 1619, женщин - 1391) и 444 детей (из них: дев. -179, мал. -265). </t>
  </si>
  <si>
    <t>За отчетный период 3029 ЛЖВ получили различные услуги через сообщества и/или программы поддержки, из них 2843 (включая 1401 женщин) получили услуги через Центры СПИД, ЦСМ, НПО и 186 (включая 14 женщин) в ГСИН.</t>
  </si>
  <si>
    <t>Ч: 15625
З: 25 000
%: 62.5</t>
  </si>
  <si>
    <t>Ч: 15828
З: 25 000
%: 63.3</t>
  </si>
  <si>
    <t>Ч: 3926
З: 8500
%: 46.2</t>
  </si>
  <si>
    <t>Ч: 3454
З: 7600
%: 45.4</t>
  </si>
  <si>
    <t xml:space="preserve">Ч: 2032
З: 3128
%: 65% </t>
  </si>
  <si>
    <t>Ч: 3029
З: 3578
%: 84.6</t>
  </si>
  <si>
    <t>Ч: 315
З:450
%:70</t>
  </si>
  <si>
    <t>Ч: 7205
З: 11692
%:61.6</t>
  </si>
  <si>
    <t>Ч: 1468
З: 8772
%: 16.7</t>
  </si>
  <si>
    <t xml:space="preserve">За предыдущий отчетный период (Июль - Декабрь 2017) 253 ЛУИН вошли в программу и из них 126 находились на лечении не менее 6 месяцев после начала лечения, что составило 49.8%. 
Из тех, кто не смог удержаться в течение 6 месяцев: умер -4; самовольный выход - 4; перешел на другой сайт и не дошел- 11; заключен в тюрьму - 2; плановое завершение - 2; добровольное досрочное - 101; исключение из программы - 2; запрет на участие в программе со стороны "криминальных лидеров" - 1. 
Согласно данным, полученным из ЭРЗПТ, в отчетном периоде получали ОЗТ- 1 350 ЛУИН, а по состоянию на 30 июня 2018 г. - 1 156 ЛУИН фактически получали ОЗТ (сайты РЦН, ГСИН и CDC). Из них 81.9% (947/1156) получали ОЗТ в течение 6 и более месяцев.
</t>
  </si>
  <si>
    <t xml:space="preserve">За отчетный период 3501 заключенных (из них женщин- 200), прошли тестирование на ВИЧ и знают свои результаты из общего количества 8772 заключенных, что составило 39.9%. </t>
  </si>
  <si>
    <t xml:space="preserve">Шесть НПО  в г. Бишкек, Чуйсокй области, г. г. Ош Джалалабад,   Кызыл-Кия, Чолпон-Ата, Каракол и в Джалал-Абадской, Ошской, Нарынской и Таласской областях реализуют программы профилактики ВИЧ среди данной уязвимой группы. В этот период 3792 СР получили минимальный пакет услуг: предоставление презервативов, тематических информационных материалов виде брошюр или бесед/консультирования, и направление на тестирование ВИЧ и/или ИППП и/или прошли экспресс-тестирование на ВИЧ.  Из них 44 СР идентифицировали себя ка ТГ.  В отчетный период 1065 СР прошли диагностику на ИППП.  
Милицейские рейды по-прежнему являются основным препятствием для деятельности профилактических программ не только в городе Бишкек и Чуйской области, где НПО «Таис Плюс» работает с высокими целевыми показателями, но также уже и в других регионах. Несмотря н апроводимые обучающие и адвокационные мероприятия, ситуация не улучшается. Сотрудники милиции являются основными виновниками насилия и нарушений прав человека, продолжается дискриминационное применение административных статей (например, о «мелком хулиганстве») к секс-работникам, что представляет собой фактическую криминализацию секс-работы. Было зарегистрипровано много случаев наоушения прав. В результате, доступ к СР ограничен в большинстве городов и регионов.
</t>
  </si>
  <si>
    <t xml:space="preserve">Три НПО осуществляли программы профилактики ВИЧ среди МСМ в г.г. Бишкек, Ош, Джалал-Абад, Таласской,Чуйской и Иссык-Кульской областях. 7205 МСМ были охвачены минимальным пакетом услуг. Диагностику на ИППП прошли- 921 МСМ. </t>
  </si>
  <si>
    <t xml:space="preserve">За отчетный период 2134 СР прошли тестирование на ВИЧ и знают свои результаты. Из них 99.7% (2128/2134) прошли экспресс тестирование. 
В целом, из-за милицейских рейдов выход на клиентов программ для сотрудниов НПО ограничен, как для предоставления минимального пакета услуг, так и для тестирования на ВИЧ.   
</t>
  </si>
  <si>
    <t xml:space="preserve">За отчетный период 3358 МСМ прошли тестирование на ВИЧ и знают свои результаты. Все клиенты  (100 %) прошли экспресс тестирование на базе НПО. Доступность ЭТ для клиентов НПО отражается в увеличении числа протестированных. </t>
  </si>
  <si>
    <t>Из 3578 ЛЖВ (3137 взрослых и 441 детей), вовлеченных в уход по ВИЧ , ТБ статус был оценен у 3464 ЛЖВ (3024 взрослых и 440 детей)  во время отчетного периода, согласно национальному протоколу по ВИЧ. Данные предоставлены РЦ СПИД.</t>
  </si>
  <si>
    <t xml:space="preserve">Из 75 ВИЧ-инфицированных больных ТБ, 70 пациентов получали комбинированную антиретровирусную терапию в соответствии с национально утвержденными протоколами лечения (или стандартами ВОЗ/ЮНЭЙДС), и которые начали получать лечение ТБ (в соответствии с руководящими принципами национальной программы по ТБ) в течение отчетного периода. </t>
  </si>
  <si>
    <t xml:space="preserve">
Из 280 ЛЖВ, вновь взятых  на диспансерный учет в организациях здравоохранения получили профилактику изониазидом (хотя бы одну дозу) за отчетный период 241 ЛЖВ, что составило 86%. </t>
  </si>
  <si>
    <t xml:space="preserve">За отчетный период были задокументированы 497 случаев нарушений прав человека  со стороны уличных юристов (из них: ЛУИН-259 (включая ОЗТ-66), СР-145, МСМ-20 и ЛЖВ-73). </t>
  </si>
  <si>
    <t>За отчетный период всего 22  суб-получателей ПРООН были задействованы в программе "Уличные юристы".</t>
  </si>
  <si>
    <t xml:space="preserve">За отчетный период 1468 ЛУИН заключенных, включая 15 женщин были охвачены программами по профилактике ВИЧ в ГСИН. Фактическое количество заключенных на 31.12.2017 г. составялет 8772 заключенных. </t>
  </si>
  <si>
    <t xml:space="preserve">За отчетный период 8332 ЛУИН, включая ЛУИН заключенных и ОЗТ клиентов прошли тестирование на ВИЧ и знают свои результаты. Из них 95.5% (7956/8332) прошли экспресс тестирование. Доступность ЭТ для клиентов НПО отражается в увеличении числа протестированных. 
</t>
  </si>
  <si>
    <t>646</t>
  </si>
  <si>
    <t xml:space="preserve">За отчетные период  4Q 2017-1Q2018, национальная ТБ программа зарегистрировала 648  RR/MDR TB случаев ТБ против запланированных  712.  Выполнение индикатора составило 91%.                         </t>
  </si>
  <si>
    <t xml:space="preserve">За отчетный период 4Q 2017-1Q2018, национальная ТБ программа включила в лечение  598 RR/MDR TB  случаев ТБ против 712 запланированных.  Выполнение индикатора составило 84%   По отношению к зарегистрированным случаям  РУ- МЛУ ТБ  выполнение индикатора составило  92%  ( 598 из 646). </t>
  </si>
  <si>
    <t>Деламанид 100 мг</t>
  </si>
  <si>
    <t>Деламанид 50 мг</t>
  </si>
  <si>
    <t>Запас ПТП 2-го ряда составляет  в среднем от 6-20 месяцев, за исключением Амоксиклава(со сроком годности 30.04.2020г), ситуация большого запаса  сложилась в результате изменений схем лечения согласно рекомендациям ВОЗ, препарат выбыл из схем  так как доказано, что не эффективен как отдельный препарат, а только в сочетании с Имипенемом/Циластатином.   В связи с этим, препарат будет распределен в другие лечебные учреждения, так как Амоксиклав входит в ПЖВЛС   как не противотуберкулезный препарат. А также согласно остаткам в  запасе больше 20 месяцев имеются Бедаквилин, Линезолид и Моксифлоксацин, однако препараты израсходуются до истечения срока годности, так как в настоящее время идет внедрение новых препаратов соответственно количество набранных больных будет увеличиваться и кроме этого согласно последним рекомендациям ВОЗ (август 2018) данные препараты классифицированы в группу А (препараты, используемые в первоочередном порядке).</t>
  </si>
  <si>
    <t>Genexpert картриджи</t>
  </si>
  <si>
    <t>GeneType MTBDR pIus №96</t>
  </si>
  <si>
    <t>Gene Type MTBDR SL №96</t>
  </si>
  <si>
    <t>3TC 150 mg</t>
  </si>
  <si>
    <t>ABC 300 mg</t>
  </si>
  <si>
    <t>AZT 300 mg</t>
  </si>
  <si>
    <t>FDC (AZT+3TC) 300/150 mg</t>
  </si>
  <si>
    <t>EFV 200</t>
  </si>
  <si>
    <t>EFV 600</t>
  </si>
  <si>
    <t>LPV/r 200/50 mg</t>
  </si>
  <si>
    <t>NVP 200</t>
  </si>
  <si>
    <t>TDF 300 mg</t>
  </si>
  <si>
    <t>FDC (TDF/FTC) 300/200 mg</t>
  </si>
  <si>
    <t>FDC  (TDF/FTC/EFV) 300/200/600 mg</t>
  </si>
  <si>
    <t>FDC (ABC/3TC) 600/300 mg</t>
  </si>
  <si>
    <t>FDC (ABC/3TC) 60/30 mg</t>
  </si>
  <si>
    <t>NVP 50</t>
  </si>
  <si>
    <t>LPV/r_сироп_80</t>
  </si>
  <si>
    <t>FDC (AZT+3TC) 60/30</t>
  </si>
  <si>
    <t>Представленная информация по АРВ препаратам отражает ситуацию на 30/06/18 (Данные Электронной базы слежения за случаями ВИЧ и данным РЦ СПИД) данные по пациентам согласно Клиническому протоколу. Запасы отслеживаются, критических ситуаций с запасами не наблюдается.</t>
  </si>
  <si>
    <t>Картриджи (Вирусная нагрузка)</t>
  </si>
  <si>
    <t>Картриджи (CD 4)</t>
  </si>
  <si>
    <t>Экспресс тестирование (по околодесновой жидкости)</t>
  </si>
  <si>
    <t>Медикаменты и ИМН закуплены согласно потребности на 2018 год. В расчетах потребности учтены текущий запас, ожидаемые поставки и наличие бюджета</t>
  </si>
  <si>
    <t>Комментарии</t>
  </si>
  <si>
    <t xml:space="preserve">В отчетном периоде ОП подготовил и направил ИОР/ЗПС в ГФ и офис МАФ в установленные сроки. Платеж от ГФ на отчетный период был получен  в феврале 2018. Последующих выплат по данному гранту не предусмотрено, т.к. грант завершился 30 июня 2018.
</t>
  </si>
  <si>
    <t>ГФ в феврале 2018 г. произвел выплату в полном размере, равного бюджету отчетного периода в сумме 3 509 263 $. Итого, сумма выплат ГФ за весь период гранта с июля 2016 по июнь 2018 составила 24 099 630$, включая неиспользованный остаток на 30 июня 2016 с прошлых грантов в размере 2 214 860$. Общая сумма выплат за весь период гранта меньше бюджета на  241 948$, которая была вычтена из текущего гранта в счет взыскания задолженности страны в двойном размере на основании решения СКК от 10.01.17 и письма от МЗКР в ГФ от 18.01.17. В январе 2018г. ПРООН произвел возврат 70 000$ в ГФ из полученных средств на основании письма от ГФ в декабре 2017, что ГФ не произвел выплаты в КЗС за период с июля 2016 по декабрь 2017 г. и ошибочно перечислил данную сумму в ПРООН, которая была включена в общие суммы выплат по гранту.</t>
  </si>
  <si>
    <t>Данная задача включает бюджет в основном на административные расходы СП и ОП в рамках реализации проекта, закуп ИТ оборудования и мебели для СП, мероприятия в рамках Плана по повышению потенциала МЗКР для передачи ОР, меры для усиления управления системой снабжения, тренинги для СП: до и после тестовое консультирование; социальная поддержка и повышение потенциала СП. За весь период было израсходовано 91% выделенного бюджета. При этом на конец отчетного периода имеются финансовые обязательства на 206 427$, с учетом которых освоение будет 95% в рамках данной задачи. Обязательства включают невыплаченную премиальную часть з/п координаторов СП за 2-й кв 2018; неоплаченные офисные расходы за июнь 2018; неоплаченный GMS по обязательствам.</t>
  </si>
  <si>
    <t xml:space="preserve">Данная задача включает бюджет на:
- закупки метадона, налоксона, шприцов, мужских презервативов, тестов, антисептических салфеток, пластиковых стаканов, автомашины для доставки метадона, ИТ и другое немедицинское оборудование для сайтов ОЗТ, а также соответствующие затраты на управление поставками
-ремонт ОЗТ и ПОШ пунктов
- целевые расходы СП (РЦН и НПО, работающие в данном направлении), включая з/п социальных и аутрич работников, Продуктовые и гигиенические пакеты, мини-сессии для клиентов.
-мотивационную поддержку для ЭТ
За весь период было израсходовано 89% выделенного бюджета согласно фактическим потребностям.
</t>
  </si>
  <si>
    <t xml:space="preserve">Данная задача включает бюджет на:
- закупки  мужских презервативов, любрикантов, тестов, антисептических салфеток, а также соответствующие затраты на управление поставками
- целевые расходы СП (РЦН и НПО, работающие в данном направлении), включая з/п социальных и аутрич работников, Продуктовые и гигиенические пакеты.
-мотивационную поддержку для ЭТ
За весь период было израсходовано 98% выделенного бюджета согласно фактическим потребностям.
</t>
  </si>
  <si>
    <t xml:space="preserve">Данная задача включает бюджет на:
- закупки  женских и мужских презервативов, любрикантов, тестов, антисептических салфеток, а также соответствующие затраты на управление поставками
- целевые расходы СП (РЦН и НПО, работающие в данном направлении), включая з/п социальных и аутрич работников, Продуктовые и гигиенические пакеты.
-мотивационную поддержку для ЭТ
За весь период было израсходовано 98% выделенного бюджета согласно фактическим потребностям.
</t>
  </si>
  <si>
    <t xml:space="preserve">Данная задача включает бюджет на:
- закупки  тестов, антисептических салфеток, а также соответствующие затраты на управление поставками
- целевые расходы РЦН, включая з/п социальных и аутрич работников ПОШ в тюрьмах, расходы с МиО визитами. 
За весь период было израсходовано 88% выделенного бюджета согласно фактическим потребностям.
</t>
  </si>
  <si>
    <t xml:space="preserve">Данная задача включает бюджет на:
- закупки Антиретровирусных препаратов, Тестирование на ВИЧ CD4 расходные материалы / тест-наборы: расходные материалы- вирусологическое тестирование на ВИЧ / тест-наборы,  а также соответствующие затраты на управление поставками
- целевые расходы СП (РЦ «СПИД» и региональные центры по борьбе со СПИДом, и 2 центра и 4 пункта по услугам на базе НПО для ЛЖВ ), включая з/п социальных и аутрич работников и мед.технического персонала, Продуктовые и гигиенические пакеты, мини-сессии для клиентов,  Поддержка  оплаты стимулов ЛЖВ за приверженность к АРТ
-Разработка и печать новых ИОМ для ЛЖВ программ; Социальная поддержка ВИЧ положительных детей;
За весь период было израсходовано 84% выделенного бюджета согласно фактическим потребностям. Была отменена закупка двух холодильных машин с бюджетом на 80 000$.  При этом на конец отчетного периода имеются финансовые обязательства на 60 604$, с учетом которых освоение будет 86% в рамках данной задачи. Обязательства включают неоплаченные частично расходы по закупке АРВ, которые будут выплачены после доставки в следующем периоде; невыплаченную премиальную часть з/п координаторов СП за 2-й кв 2018; остаток невыплаченных мотивационных выплат пациентам за приверженность к АРТ за 2-й кв 2018; услуги аутсорсинга для регулярного лабораторного обследования ЛЖВ за июнь;
</t>
  </si>
  <si>
    <t xml:space="preserve">Данная задача включает бюджет на:
- целевые расходы СП- 3-х национальных сетей, работающих с  ЛЖВ,ПИН и СР/МСМ по всей стране - транспортные расходы, связанные с МиО визитами;  ежеквартальные встречи с партнерами; зарплата сотрудникам программы;
За весь период было израсходовано 87% выделенного бюджета согласно фактическим потребностям.
</t>
  </si>
  <si>
    <t xml:space="preserve">Данная задача включает бюджет на:
- целевые расходы по Проекту «Уличные юристы»,  на базе НПО - оплата аутрич-работников, обучения аутрич-работников и регулярных рабочих встреч с консультантами:
- форумы  для общин (ЛЖВ, ПИН,СР, МСМ);
За весь период было израсходовано 95% выделенного бюджета согласно фактическим потребностям.
</t>
  </si>
  <si>
    <t xml:space="preserve">Данная задача включает бюджет на:
- закупки автомашин для  РЦН и центров по борьбе со СПИДом для проведения МиО визитов
- целевые расходы СП ( РЦН, центров по борьбе со СПИДом, ТБ центры), включая оплату специалистов по контролю качества лабораторных услуг, технических специалистов НТП по реализации гранта ГФ; специалистов по по мониторингу и оценке для обеспечения верификации данных;
-техническую поддержку Национальной программы борьбы с туберкулезом посредством поддержки участия национальных сотрудников в международных конференциях, встречах и круглых столах; МиО визитов по ТБ СР для укрепления мониторинга программы и отчетности, учета для улучшения выявления случаев и лечения;
-регулярные встреч с СП, тренинги по PDI, МиО и финансовым вопросам для СП
За весь период было израсходовано 86% выделенного бюджета согласно фактическим потребностям.
</t>
  </si>
  <si>
    <t xml:space="preserve">Данная задача включает бюджет на:
- закупки на  Izoniazid, Pyrodoxine, тестов, а также соответствующие затраты на управление поставками
- Поддержка национального руководящего комитета по  ТБ/ВИЧ - расходы на регулярные встречи рабочей группы по вопросам ТБ/ВИЧ; оплата консультантов;
За весь период было израсходовано 35% выделенного бюджета согласно фактическим потребностям.
</t>
  </si>
  <si>
    <t xml:space="preserve">Данная задача включает бюджет на:
- закупки на  ПТП, лабораторные реагенты, шприцы, респираторы, микроскопы, картриджы для Xpert, GeneXpert, ИТ оборудование для базы данных по ТБ, автомашину для Кеминского ТБ на паллиативную помощь,  а также соответствующие затраты на управление поставками
-Услуги томографии и диагностика больных туберкулезом; 
-Ежегодный операционный взнос в комитет Green Light; 
- расходы проекта HOPE по реализации внедрения базы данных ТБ
- целевые расходы СП (НЦФ и региональные ТБ центры), включая з/п технического персонала, МиО визиты, транспортировку мокроты, моивационные выплаты пациентам, соблюдающим лечение
- закуп и доставка кефира и продуктовых пакетов пациентам, соблюдающим лечение.
За весь период было израсходовано 88% выделенного бюджета согласно фактическим потребностям.
</t>
  </si>
  <si>
    <t xml:space="preserve">Данная задача включает бюджет на:
- закупки Антиретровирусных препаратов,  расходные материалы- вирусологическое тестирование на ВИЧ / тест-наборы,  а также соответствующие затраты на управление поставками
За весь период было израсходовано почти 100% выделенного бюджета согласно фактическим потребностям.
</t>
  </si>
  <si>
    <t xml:space="preserve">Данная задача включает бюджет на:
- закупки автомашин для региональных ТБ центров на МиО визиты и транспортировку мокроты,  а также соответствующие затраты на управление поставками
За весь период было израсходовано 82% выделенного бюджета согласно фактических цен.
</t>
  </si>
  <si>
    <t>В отчетном периоде ГФ произвел выплату в полном объеме бюджета периода в феврале 2018.  Расходы ОП составили 2 141 677$, включая оплату финансовых обязательств за 2017 в  458 965$. Итого за весь период гранта было освоено 89% выделлных средств на ОП. При этом имеются обязательства у ОП на 30.06.18 в 260 158$, с учетом которых освоение достигнет   91 %. В текущем периоде ПРООН произвел выплаты 28 СП  в срок в полном объеме по запросу от СП. Неиспользованный остатьк бюджета также включает в себя невыплаченную сумму взноса в КЗС в размере 70 000$, которая должна будет выплачена ГФ.</t>
  </si>
  <si>
    <t xml:space="preserve">Данный показатель является годовым. Отчетные данные за 2018 год будут представлены в конце 2018 года. На 30 июня 2018 года процент взрослых и детей, получавших антиретровирусную терапию в отчетный период, у которых отмечено подавление вирусной нагрузки (т.е. ≤1000 копий) составляет 54.6 % (1889/3454).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</si>
</sst>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0.00\ _₽_-;\-* #,##0.00\ _₽_-;_-* &quot;-&quot;??\ _₽_-;_-@_-"/>
    <numFmt numFmtId="164" formatCode="_(* #,##0.00_);_(* \(#,##0.00\);_(* &quot;-&quot;??_);_(@_)"/>
    <numFmt numFmtId="165" formatCode="_-* #,##0.00_р_._-;\-* #,##0.00_р_._-;_-* &quot;-&quot;??_р_._-;_-@_-"/>
    <numFmt numFmtId="166" formatCode="&quot;Q&quot;#,##0_);[Red]\(&quot;Q&quot;#,##0\)"/>
    <numFmt numFmtId="167" formatCode="_(* #,##0_);_(* \(#,##0\);_(* &quot;-&quot;??_);_(@_)"/>
    <numFmt numFmtId="168" formatCode=";;;"/>
    <numFmt numFmtId="169" formatCode="0.0"/>
    <numFmt numFmtId="170" formatCode=";;;&quot;Financial Variance in %&quot;"/>
    <numFmt numFmtId="171" formatCode="_([$€]* #,##0.00_);_([$€]* \(#,##0.00\);_([$€]* &quot;-&quot;??_);_(@_)"/>
    <numFmt numFmtId="172" formatCode="[$$-409]#,##0"/>
    <numFmt numFmtId="173" formatCode="[$-409]d/mmm/yyyy;@"/>
    <numFmt numFmtId="174" formatCode="[$$-409]#,##0_);\([$$-409]#,##0\)"/>
    <numFmt numFmtId="175" formatCode="0.0%"/>
    <numFmt numFmtId="176" formatCode="_-* #,##0.00_-;\-* #,##0.00_-;_-* &quot;-&quot;??_-;_-@_-"/>
    <numFmt numFmtId="177" formatCode="#,##0.0"/>
    <numFmt numFmtId="178" formatCode="_-&quot;$&quot;* #,##0_-;\-&quot;$&quot;* #,##0_-;_-&quot;$&quot;* &quot;-&quot;_-;_-@_-"/>
    <numFmt numFmtId="179" formatCode="_ [$€-413]\ * #,##0.00_ ;_ [$€-413]\ * \-#,##0.00_ ;_ [$€-413]\ * &quot;-&quot;_ ;_ @_ "/>
    <numFmt numFmtId="180" formatCode="_-* #,##0.00\ &quot;€&quot;_-;\-* #,##0.00\ &quot;€&quot;_-;_-* &quot;-&quot;??\ &quot;€&quot;_-;_-@_-"/>
    <numFmt numFmtId="181" formatCode="_-[$€-2]\ * #,##0.00_-;\-[$€-2]\ * #,##0.00_-;_-[$€-2]\ * &quot;-&quot;??_-;_-@_-"/>
  </numFmts>
  <fonts count="196">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i/>
      <sz val="11"/>
      <color indexed="8"/>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8"/>
      <color indexed="81"/>
      <name val="Tahoma"/>
      <family val="2"/>
    </font>
    <font>
      <b/>
      <sz val="20"/>
      <color indexed="8"/>
      <name val="Calibri"/>
      <family val="2"/>
    </font>
    <font>
      <sz val="20"/>
      <color indexed="8"/>
      <name val="Calibri"/>
      <family val="2"/>
    </font>
    <font>
      <b/>
      <sz val="11"/>
      <color indexed="53"/>
      <name val="Arial"/>
      <family val="2"/>
    </font>
    <font>
      <b/>
      <i/>
      <sz val="14"/>
      <color indexed="12"/>
      <name val="Calibri"/>
      <family val="2"/>
    </font>
    <font>
      <sz val="11"/>
      <color indexed="8"/>
      <name val="Calibri"/>
      <family val="2"/>
    </font>
    <font>
      <b/>
      <sz val="11"/>
      <color indexed="8"/>
      <name val="Calibri"/>
      <family val="2"/>
    </font>
    <font>
      <sz val="9"/>
      <color indexed="8"/>
      <name val="Calibri"/>
      <family val="2"/>
    </font>
    <font>
      <sz val="11"/>
      <color indexed="8"/>
      <name val="Symbol"/>
      <family val="1"/>
      <charset val="2"/>
    </font>
    <font>
      <b/>
      <sz val="11"/>
      <color indexed="8"/>
      <name val="Arial"/>
      <family val="2"/>
      <charset val="204"/>
    </font>
    <font>
      <sz val="11"/>
      <name val="Calibri"/>
      <family val="2"/>
    </font>
    <font>
      <b/>
      <sz val="11"/>
      <name val="Calibri"/>
      <family val="2"/>
    </font>
    <font>
      <b/>
      <sz val="22"/>
      <color indexed="9"/>
      <name val="Calibri"/>
      <family val="2"/>
    </font>
    <font>
      <sz val="11"/>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b/>
      <sz val="9"/>
      <color indexed="81"/>
      <name val="Tahoma"/>
      <family val="2"/>
      <charset val="204"/>
    </font>
    <font>
      <sz val="9"/>
      <color indexed="81"/>
      <name val="Tahoma"/>
      <family val="2"/>
      <charset val="204"/>
    </font>
    <font>
      <sz val="11"/>
      <color theme="1"/>
      <name val="Calibri"/>
      <family val="2"/>
    </font>
    <font>
      <sz val="10"/>
      <color indexed="16"/>
      <name val="Calibri"/>
      <family val="2"/>
    </font>
    <font>
      <b/>
      <sz val="8"/>
      <color indexed="8"/>
      <name val="Calibri"/>
      <family val="2"/>
      <charset val="204"/>
    </font>
    <font>
      <sz val="11"/>
      <color indexed="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4"/>
      <color rgb="FFFF0000"/>
      <name val="Calibri"/>
      <family val="2"/>
    </font>
    <font>
      <b/>
      <sz val="11"/>
      <color indexed="8"/>
      <name val="Calibri"/>
      <family val="2"/>
      <charset val="204"/>
    </font>
    <font>
      <sz val="10"/>
      <name val="Arial Cyr"/>
      <charset val="204"/>
    </font>
    <font>
      <sz val="10"/>
      <name val="Arial"/>
      <family val="2"/>
      <charset val="238"/>
    </font>
    <font>
      <sz val="8"/>
      <name val="Arial"/>
      <family val="2"/>
      <charset val="238"/>
    </font>
    <font>
      <sz val="8"/>
      <color indexed="12"/>
      <name val="Arial"/>
      <family val="2"/>
      <charset val="238"/>
    </font>
    <font>
      <b/>
      <i/>
      <sz val="8"/>
      <name val="Arial"/>
      <family val="2"/>
      <charset val="238"/>
    </font>
    <font>
      <u/>
      <sz val="10"/>
      <color indexed="12"/>
      <name val="Arial"/>
      <family val="2"/>
    </font>
    <font>
      <sz val="8"/>
      <name val="Verdana"/>
      <family val="2"/>
      <charset val="238"/>
    </font>
    <font>
      <sz val="11"/>
      <color theme="1"/>
      <name val="Calibri"/>
      <family val="2"/>
      <charset val="238"/>
      <scheme val="minor"/>
    </font>
    <font>
      <b/>
      <sz val="10"/>
      <name val="Arial"/>
      <family val="2"/>
      <charset val="204"/>
    </font>
    <font>
      <u/>
      <sz val="10"/>
      <color indexed="12"/>
      <name val="Arial Cyr"/>
      <charset val="204"/>
    </font>
    <font>
      <sz val="12"/>
      <name val="Times New Roman"/>
      <family val="1"/>
    </font>
    <font>
      <b/>
      <sz val="12"/>
      <name val="Arial"/>
      <family val="2"/>
      <charset val="204"/>
    </font>
    <font>
      <sz val="8"/>
      <color indexed="8"/>
      <name val="Arial"/>
      <family val="2"/>
    </font>
    <font>
      <u/>
      <sz val="7.5"/>
      <color indexed="12"/>
      <name val="Arial Cyr"/>
    </font>
    <font>
      <u/>
      <sz val="7.5"/>
      <color indexed="36"/>
      <name val="Arial Cyr"/>
    </font>
    <font>
      <sz val="11"/>
      <color indexed="9"/>
      <name val="Calibri"/>
      <family val="2"/>
      <charset val="204"/>
    </font>
    <font>
      <i/>
      <sz val="8"/>
      <color indexed="55"/>
      <name val="Arial"/>
      <family val="2"/>
    </font>
    <font>
      <u/>
      <sz val="10"/>
      <color indexed="36"/>
      <name val="Arial Cyr"/>
    </font>
    <font>
      <sz val="11"/>
      <color theme="1"/>
      <name val="Arial"/>
      <family val="2"/>
    </font>
    <font>
      <sz val="11"/>
      <color indexed="62"/>
      <name val="Calibri"/>
      <family val="2"/>
      <charset val="204"/>
    </font>
    <font>
      <b/>
      <sz val="11"/>
      <color indexed="63"/>
      <name val="Calibri"/>
      <family val="2"/>
      <charset val="204"/>
    </font>
    <font>
      <b/>
      <sz val="11"/>
      <color indexed="52"/>
      <name val="Calibri"/>
      <family val="2"/>
      <charset val="204"/>
    </font>
    <font>
      <u/>
      <sz val="11"/>
      <color indexed="1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3"/>
      <color theme="1" tint="0.24994659260841701"/>
      <name val="Cambria"/>
      <family val="2"/>
      <scheme val="major"/>
    </font>
    <font>
      <sz val="12"/>
      <name val="Georgia"/>
      <family val="1"/>
    </font>
    <font>
      <sz val="10"/>
      <color indexed="8"/>
      <name val="Calibri"/>
      <family val="2"/>
      <charset val="204"/>
    </font>
  </fonts>
  <fills count="5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rgb="FF00B050"/>
        <bgColor indexed="64"/>
      </patternFill>
    </fill>
    <fill>
      <patternFill patternType="solid">
        <fgColor rgb="FFFFFF00"/>
        <bgColor indexed="64"/>
      </patternFill>
    </fill>
    <fill>
      <patternFill patternType="solid">
        <fgColor indexed="43"/>
        <bgColor indexed="51"/>
      </patternFill>
    </fill>
    <fill>
      <patternFill patternType="solid">
        <fgColor theme="9" tint="-0.249977111117893"/>
        <bgColor indexed="64"/>
      </patternFill>
    </fill>
    <fill>
      <patternFill patternType="solid">
        <fgColor indexed="31"/>
        <bgColor indexed="64"/>
      </patternFill>
    </fill>
    <fill>
      <patternFill patternType="solid">
        <fgColor indexed="31"/>
      </patternFill>
    </fill>
    <fill>
      <patternFill patternType="solid">
        <fgColor indexed="46"/>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24"/>
      </patternFill>
    </fill>
    <fill>
      <patternFill patternType="solid">
        <fgColor indexed="62"/>
      </patternFill>
    </fill>
    <fill>
      <patternFill patternType="solid">
        <fgColor theme="4" tint="0.79998168889431442"/>
        <bgColor indexed="64"/>
      </patternFill>
    </fill>
    <fill>
      <patternFill patternType="solid">
        <fgColor theme="6" tint="0.79998168889431442"/>
        <bgColor indexed="64"/>
      </patternFill>
    </fill>
  </fills>
  <borders count="2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right style="medium">
        <color indexed="64"/>
      </right>
      <top/>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bottom style="thin">
        <color indexed="64"/>
      </bottom>
      <diagonal/>
    </border>
    <border>
      <left/>
      <right style="medium">
        <color indexed="51"/>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style="medium">
        <color indexed="51"/>
      </bottom>
      <diagonal/>
    </border>
    <border>
      <left/>
      <right style="medium">
        <color indexed="51"/>
      </right>
      <top/>
      <bottom style="medium">
        <color indexed="51"/>
      </bottom>
      <diagonal/>
    </border>
    <border>
      <left style="thin">
        <color indexed="16"/>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auto="1"/>
      </top>
      <bottom/>
      <diagonal/>
    </border>
    <border>
      <left/>
      <right/>
      <top/>
      <bottom style="thick">
        <color indexed="62"/>
      </bottom>
      <diagonal/>
    </border>
    <border>
      <left/>
      <right/>
      <top style="thin">
        <color indexed="62"/>
      </top>
      <bottom style="double">
        <color indexed="62"/>
      </bottom>
      <diagonal/>
    </border>
    <border>
      <left style="hair">
        <color theme="8"/>
      </left>
      <right style="hair">
        <color theme="8"/>
      </right>
      <top style="hair">
        <color theme="8"/>
      </top>
      <bottom style="hair">
        <color theme="8"/>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17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1"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3" fillId="0" borderId="4" applyNumberFormat="0" applyFill="0" applyAlignment="0" applyProtection="0"/>
    <xf numFmtId="0" fontId="74"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37"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7" fillId="0" borderId="0"/>
    <xf numFmtId="164" fontId="137" fillId="0" borderId="0"/>
    <xf numFmtId="164" fontId="137" fillId="0" borderId="0"/>
    <xf numFmtId="164" fontId="137" fillId="0" borderId="0"/>
    <xf numFmtId="0" fontId="6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164" fontId="137"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7" fillId="0" borderId="9" applyNumberFormat="0" applyFill="0" applyAlignment="0" applyProtection="0"/>
    <xf numFmtId="0" fontId="75"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137" fillId="0" borderId="0"/>
    <xf numFmtId="0" fontId="159" fillId="0" borderId="0"/>
    <xf numFmtId="0" fontId="160" fillId="0" borderId="0"/>
    <xf numFmtId="9" fontId="2" fillId="0" borderId="0" applyFont="0" applyFill="0" applyBorder="0" applyAlignment="0" applyProtection="0"/>
    <xf numFmtId="9" fontId="160" fillId="0" borderId="0" applyFont="0" applyFill="0" applyBorder="0" applyAlignment="0" applyProtection="0"/>
    <xf numFmtId="176" fontId="160" fillId="0" borderId="0" applyFont="0" applyFill="0" applyBorder="0" applyAlignment="0" applyProtection="0"/>
    <xf numFmtId="3" fontId="161" fillId="45" borderId="0">
      <alignment horizontal="center"/>
    </xf>
    <xf numFmtId="9" fontId="161" fillId="45" borderId="0">
      <alignment horizontal="center"/>
    </xf>
    <xf numFmtId="3" fontId="162" fillId="0" borderId="0">
      <alignment horizontal="center" vertical="center"/>
      <protection locked="0"/>
    </xf>
    <xf numFmtId="175" fontId="162" fillId="0" borderId="0">
      <alignment horizontal="center" vertical="center"/>
      <protection locked="0"/>
    </xf>
    <xf numFmtId="49" fontId="163" fillId="0" borderId="0">
      <alignment horizontal="left"/>
    </xf>
    <xf numFmtId="0" fontId="164" fillId="0" borderId="0" applyNumberFormat="0" applyFill="0" applyBorder="0" applyAlignment="0" applyProtection="0"/>
    <xf numFmtId="0" fontId="2" fillId="0" borderId="0"/>
    <xf numFmtId="0" fontId="165" fillId="0" borderId="0"/>
    <xf numFmtId="0" fontId="160" fillId="0" borderId="0"/>
    <xf numFmtId="0" fontId="160" fillId="0" borderId="0"/>
    <xf numFmtId="0" fontId="160" fillId="0" borderId="0"/>
    <xf numFmtId="0" fontId="154" fillId="0" borderId="0"/>
    <xf numFmtId="0" fontId="154" fillId="0" borderId="0"/>
    <xf numFmtId="165" fontId="166" fillId="0" borderId="0" applyFont="0" applyFill="0" applyBorder="0" applyAlignment="0" applyProtection="0"/>
    <xf numFmtId="9" fontId="166" fillId="0" borderId="0" applyFont="0" applyFill="0" applyBorder="0" applyAlignment="0" applyProtection="0"/>
    <xf numFmtId="0" fontId="169" fillId="0" borderId="0"/>
    <xf numFmtId="43" fontId="169" fillId="0" borderId="0" applyFont="0" applyFill="0" applyBorder="0" applyAlignment="0" applyProtection="0"/>
    <xf numFmtId="176" fontId="166" fillId="0" borderId="0" applyFont="0" applyFill="0" applyBorder="0" applyAlignment="0" applyProtection="0"/>
    <xf numFmtId="43" fontId="160" fillId="0" borderId="0" applyFont="0" applyFill="0" applyBorder="0" applyAlignment="0" applyProtection="0"/>
    <xf numFmtId="9" fontId="166" fillId="0" borderId="0" applyFont="0" applyFill="0" applyBorder="0" applyAlignment="0" applyProtection="0"/>
    <xf numFmtId="178" fontId="161" fillId="0" borderId="260">
      <alignment horizontal="center" vertical="center"/>
    </xf>
    <xf numFmtId="179" fontId="171" fillId="0" borderId="0">
      <protection locked="0"/>
    </xf>
    <xf numFmtId="179" fontId="121" fillId="0" borderId="0">
      <alignment horizontal="center" vertical="center"/>
    </xf>
    <xf numFmtId="0" fontId="172"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179" fontId="149" fillId="46" borderId="0" applyNumberFormat="0" applyBorder="0" applyAlignment="0" applyProtection="0"/>
    <xf numFmtId="179" fontId="149" fillId="6" borderId="0" applyNumberFormat="0" applyBorder="0" applyAlignment="0" applyProtection="0"/>
    <xf numFmtId="179" fontId="149" fillId="7" borderId="0" applyNumberFormat="0" applyBorder="0" applyAlignment="0" applyProtection="0"/>
    <xf numFmtId="179" fontId="149" fillId="47" borderId="0" applyNumberFormat="0" applyBorder="0" applyAlignment="0" applyProtection="0"/>
    <xf numFmtId="179" fontId="149" fillId="5" borderId="0" applyNumberFormat="0" applyBorder="0" applyAlignment="0" applyProtection="0"/>
    <xf numFmtId="179" fontId="149" fillId="3" borderId="0" applyNumberFormat="0" applyBorder="0" applyAlignment="0" applyProtection="0"/>
    <xf numFmtId="179" fontId="149" fillId="11" borderId="0" applyNumberFormat="0" applyBorder="0" applyAlignment="0" applyProtection="0"/>
    <xf numFmtId="179" fontId="149" fillId="9" borderId="0" applyNumberFormat="0" applyBorder="0" applyAlignment="0" applyProtection="0"/>
    <xf numFmtId="179" fontId="149" fillId="48" borderId="0" applyNumberFormat="0" applyBorder="0" applyAlignment="0" applyProtection="0"/>
    <xf numFmtId="179" fontId="149" fillId="47" borderId="0" applyNumberFormat="0" applyBorder="0" applyAlignment="0" applyProtection="0"/>
    <xf numFmtId="179" fontId="149" fillId="11" borderId="0" applyNumberFormat="0" applyBorder="0" applyAlignment="0" applyProtection="0"/>
    <xf numFmtId="179" fontId="149" fillId="49" borderId="0" applyNumberFormat="0" applyBorder="0" applyAlignment="0" applyProtection="0"/>
    <xf numFmtId="179" fontId="174" fillId="50" borderId="0" applyNumberFormat="0" applyBorder="0" applyAlignment="0" applyProtection="0"/>
    <xf numFmtId="179" fontId="174" fillId="9" borderId="0" applyNumberFormat="0" applyBorder="0" applyAlignment="0" applyProtection="0"/>
    <xf numFmtId="179" fontId="174" fillId="48" borderId="0" applyNumberFormat="0" applyBorder="0" applyAlignment="0" applyProtection="0"/>
    <xf numFmtId="179" fontId="174" fillId="51" borderId="0" applyNumberFormat="0" applyBorder="0" applyAlignment="0" applyProtection="0"/>
    <xf numFmtId="179" fontId="174" fillId="12" borderId="0" applyNumberFormat="0" applyBorder="0" applyAlignment="0" applyProtection="0"/>
    <xf numFmtId="179" fontId="174" fillId="52" borderId="0" applyNumberFormat="0" applyBorder="0" applyAlignment="0" applyProtection="0"/>
    <xf numFmtId="0" fontId="168" fillId="0" borderId="0" applyNumberFormat="0" applyFill="0" applyBorder="0" applyAlignment="0" applyProtection="0">
      <alignment vertical="top"/>
      <protection locked="0"/>
    </xf>
    <xf numFmtId="176" fontId="160" fillId="0" borderId="0" applyFont="0" applyFill="0" applyBorder="0" applyAlignment="0" applyProtection="0"/>
    <xf numFmtId="43" fontId="149" fillId="0" borderId="0" applyFont="0" applyFill="0" applyBorder="0" applyAlignment="0" applyProtection="0"/>
    <xf numFmtId="180" fontId="160" fillId="0" borderId="0" applyFont="0" applyFill="0" applyBorder="0" applyAlignment="0" applyProtection="0"/>
    <xf numFmtId="179" fontId="164" fillId="0" borderId="0" applyNumberFormat="0" applyFill="0" applyBorder="0" applyAlignment="0" applyProtection="0">
      <alignment vertical="top"/>
      <protection locked="0"/>
    </xf>
    <xf numFmtId="0" fontId="175" fillId="0" borderId="0"/>
    <xf numFmtId="0" fontId="176" fillId="0" borderId="0" applyNumberFormat="0" applyFill="0" applyBorder="0" applyAlignment="0" applyProtection="0">
      <alignment vertical="top"/>
      <protection locked="0"/>
    </xf>
    <xf numFmtId="0" fontId="160" fillId="7" borderId="10" applyBorder="0">
      <alignment vertical="top"/>
    </xf>
    <xf numFmtId="179" fontId="161" fillId="0" borderId="0"/>
    <xf numFmtId="0" fontId="166" fillId="0" borderId="0"/>
    <xf numFmtId="0" fontId="160" fillId="0" borderId="0"/>
    <xf numFmtId="0" fontId="166" fillId="0" borderId="0"/>
    <xf numFmtId="179" fontId="160" fillId="0" borderId="0"/>
    <xf numFmtId="0" fontId="166" fillId="0" borderId="0"/>
    <xf numFmtId="9" fontId="166" fillId="0" borderId="0" applyFont="0" applyFill="0" applyBorder="0" applyAlignment="0" applyProtection="0"/>
    <xf numFmtId="9" fontId="166" fillId="0" borderId="0" applyFont="0" applyFill="0" applyBorder="0" applyAlignment="0" applyProtection="0"/>
    <xf numFmtId="9" fontId="166" fillId="0" borderId="0" applyFont="0" applyFill="0" applyBorder="0" applyAlignment="0" applyProtection="0"/>
    <xf numFmtId="9" fontId="177" fillId="0" borderId="0" applyFont="0" applyFill="0" applyBorder="0" applyAlignment="0" applyProtection="0"/>
    <xf numFmtId="0" fontId="170" fillId="8" borderId="41">
      <alignment horizontal="centerContinuous"/>
    </xf>
    <xf numFmtId="49" fontId="167" fillId="53" borderId="10">
      <alignment horizontal="center" vertical="center" wrapText="1"/>
    </xf>
    <xf numFmtId="179" fontId="174" fillId="54" borderId="0" applyNumberFormat="0" applyBorder="0" applyAlignment="0" applyProtection="0"/>
    <xf numFmtId="179" fontId="174" fillId="13" borderId="0" applyNumberFormat="0" applyBorder="0" applyAlignment="0" applyProtection="0"/>
    <xf numFmtId="179" fontId="174" fillId="15" borderId="0" applyNumberFormat="0" applyBorder="0" applyAlignment="0" applyProtection="0"/>
    <xf numFmtId="179" fontId="174" fillId="51" borderId="0" applyNumberFormat="0" applyBorder="0" applyAlignment="0" applyProtection="0"/>
    <xf numFmtId="179" fontId="174" fillId="12" borderId="0" applyNumberFormat="0" applyBorder="0" applyAlignment="0" applyProtection="0"/>
    <xf numFmtId="179" fontId="174" fillId="14" borderId="0" applyNumberFormat="0" applyBorder="0" applyAlignment="0" applyProtection="0"/>
    <xf numFmtId="179" fontId="178" fillId="3" borderId="1" applyNumberFormat="0" applyAlignment="0" applyProtection="0"/>
    <xf numFmtId="179" fontId="179" fillId="8" borderId="8" applyNumberFormat="0" applyAlignment="0" applyProtection="0"/>
    <xf numFmtId="179" fontId="180" fillId="8" borderId="1" applyNumberFormat="0" applyAlignment="0" applyProtection="0"/>
    <xf numFmtId="0" fontId="164" fillId="0" borderId="0" applyNumberFormat="0" applyFill="0" applyBorder="0" applyAlignment="0" applyProtection="0">
      <alignment vertical="top"/>
      <protection locked="0"/>
    </xf>
    <xf numFmtId="0" fontId="181" fillId="0" borderId="0" applyNumberFormat="0" applyFill="0" applyBorder="0" applyAlignment="0" applyProtection="0">
      <alignment vertical="top"/>
      <protection locked="0"/>
    </xf>
    <xf numFmtId="179" fontId="182" fillId="0" borderId="261" applyNumberFormat="0" applyFill="0" applyAlignment="0" applyProtection="0"/>
    <xf numFmtId="179" fontId="183" fillId="0" borderId="5" applyNumberFormat="0" applyFill="0" applyAlignment="0" applyProtection="0"/>
    <xf numFmtId="179" fontId="184" fillId="0" borderId="9" applyNumberFormat="0" applyFill="0" applyAlignment="0" applyProtection="0"/>
    <xf numFmtId="179" fontId="184" fillId="0" borderId="0" applyNumberFormat="0" applyFill="0" applyBorder="0" applyAlignment="0" applyProtection="0"/>
    <xf numFmtId="179" fontId="158" fillId="0" borderId="262" applyNumberFormat="0" applyFill="0" applyAlignment="0" applyProtection="0"/>
    <xf numFmtId="179" fontId="185" fillId="18" borderId="2" applyNumberFormat="0" applyAlignment="0" applyProtection="0"/>
    <xf numFmtId="179" fontId="186" fillId="0" borderId="0" applyNumberFormat="0" applyFill="0" applyBorder="0" applyAlignment="0" applyProtection="0"/>
    <xf numFmtId="179" fontId="187" fillId="10" borderId="0" applyNumberFormat="0" applyBorder="0" applyAlignment="0" applyProtection="0"/>
    <xf numFmtId="0" fontId="159" fillId="0" borderId="0"/>
    <xf numFmtId="0" fontId="166" fillId="0" borderId="0"/>
    <xf numFmtId="0" fontId="160" fillId="0" borderId="0"/>
    <xf numFmtId="0" fontId="149" fillId="0" borderId="0"/>
    <xf numFmtId="0" fontId="149" fillId="0" borderId="0"/>
    <xf numFmtId="0" fontId="160" fillId="0" borderId="0"/>
    <xf numFmtId="0" fontId="159" fillId="0" borderId="0"/>
    <xf numFmtId="179" fontId="188" fillId="6" borderId="0" applyNumberFormat="0" applyBorder="0" applyAlignment="0" applyProtection="0"/>
    <xf numFmtId="179" fontId="189" fillId="0" borderId="0" applyNumberFormat="0" applyFill="0" applyBorder="0" applyAlignment="0" applyProtection="0"/>
    <xf numFmtId="179" fontId="160" fillId="4" borderId="7" applyNumberFormat="0" applyFont="0" applyAlignment="0" applyProtection="0"/>
    <xf numFmtId="9" fontId="159" fillId="0" borderId="0" applyFont="0" applyFill="0" applyBorder="0" applyAlignment="0" applyProtection="0"/>
    <xf numFmtId="179" fontId="190" fillId="0" borderId="3" applyNumberFormat="0" applyFill="0" applyAlignment="0" applyProtection="0"/>
    <xf numFmtId="179" fontId="191" fillId="0" borderId="0" applyNumberFormat="0" applyFill="0" applyBorder="0" applyAlignment="0" applyProtection="0"/>
    <xf numFmtId="43" fontId="160" fillId="0" borderId="0" applyFont="0" applyFill="0" applyBorder="0" applyAlignment="0" applyProtection="0"/>
    <xf numFmtId="43" fontId="166" fillId="0" borderId="0" applyFont="0" applyFill="0" applyBorder="0" applyAlignment="0" applyProtection="0"/>
    <xf numFmtId="177" fontId="160" fillId="0" borderId="0" applyFont="0" applyFill="0" applyBorder="0" applyAlignment="0" applyProtection="0"/>
    <xf numFmtId="169" fontId="160" fillId="0" borderId="0" applyFont="0" applyFill="0" applyBorder="0" applyAlignment="0" applyProtection="0"/>
    <xf numFmtId="165" fontId="159" fillId="0" borderId="0" applyFont="0" applyFill="0" applyBorder="0" applyAlignment="0" applyProtection="0"/>
    <xf numFmtId="165" fontId="160" fillId="0" borderId="0" applyFont="0" applyFill="0" applyBorder="0" applyAlignment="0" applyProtection="0"/>
    <xf numFmtId="179" fontId="192" fillId="7" borderId="0" applyNumberFormat="0" applyBorder="0" applyAlignment="0" applyProtection="0"/>
    <xf numFmtId="181" fontId="192" fillId="7" borderId="0" applyNumberFormat="0" applyBorder="0" applyAlignment="0" applyProtection="0"/>
    <xf numFmtId="0" fontId="20" fillId="0" borderId="0"/>
    <xf numFmtId="0" fontId="193" fillId="0" borderId="0" applyFill="0" applyBorder="0" applyProtection="0">
      <alignment horizontal="left"/>
    </xf>
  </cellStyleXfs>
  <cellXfs count="1239">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37" fillId="0" borderId="0" xfId="48" applyProtection="1"/>
    <xf numFmtId="164" fontId="15" fillId="0" borderId="0" xfId="48" applyFont="1" applyProtection="1"/>
    <xf numFmtId="0" fontId="18" fillId="0" borderId="0" xfId="48" applyNumberFormat="1" applyFont="1" applyBorder="1" applyProtection="1"/>
    <xf numFmtId="164" fontId="137" fillId="0" borderId="0" xfId="50" applyProtection="1"/>
    <xf numFmtId="164" fontId="137" fillId="0" borderId="0" xfId="50" applyFill="1" applyBorder="1" applyAlignment="1" applyProtection="1">
      <alignment horizontal="left"/>
    </xf>
    <xf numFmtId="0" fontId="0" fillId="0" borderId="0" xfId="0" applyFill="1" applyBorder="1" applyProtection="1"/>
    <xf numFmtId="164" fontId="137"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7"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2" fillId="0" borderId="0" xfId="0" applyFont="1"/>
    <xf numFmtId="0" fontId="42" fillId="0" borderId="0" xfId="0" applyFont="1" applyAlignment="1">
      <alignment horizontal="right"/>
    </xf>
    <xf numFmtId="0" fontId="42" fillId="0" borderId="0" xfId="0" applyFont="1" applyBorder="1"/>
    <xf numFmtId="0" fontId="45" fillId="0" borderId="0" xfId="0" applyFont="1"/>
    <xf numFmtId="0" fontId="42"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37" fillId="0" borderId="0" xfId="59" applyFill="1" applyBorder="1" applyAlignment="1" applyProtection="1">
      <alignment vertical="center"/>
      <protection locked="0"/>
    </xf>
    <xf numFmtId="166"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8"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7"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8" fillId="0" borderId="0" xfId="48" applyFont="1" applyProtection="1"/>
    <xf numFmtId="164" fontId="68" fillId="0" borderId="0" xfId="50" applyFont="1" applyProtection="1"/>
    <xf numFmtId="0" fontId="68" fillId="0" borderId="10" xfId="0" applyFont="1" applyFill="1" applyBorder="1" applyAlignment="1" applyProtection="1">
      <alignment horizontal="center"/>
    </xf>
    <xf numFmtId="0" fontId="68" fillId="0" borderId="10" xfId="0" applyFont="1" applyFill="1" applyBorder="1" applyProtection="1"/>
    <xf numFmtId="164" fontId="68" fillId="0" borderId="10" xfId="50" applyFont="1" applyBorder="1" applyProtection="1"/>
    <xf numFmtId="0" fontId="69" fillId="0" borderId="10" xfId="0" applyFont="1" applyBorder="1" applyAlignment="1" applyProtection="1">
      <alignment horizontal="left" indent="1"/>
    </xf>
    <xf numFmtId="0" fontId="70" fillId="0" borderId="10" xfId="0" applyFont="1" applyBorder="1"/>
    <xf numFmtId="0" fontId="71" fillId="19" borderId="10" xfId="0" applyFont="1" applyFill="1" applyBorder="1" applyAlignment="1" applyProtection="1">
      <alignment horizontal="center"/>
    </xf>
    <xf numFmtId="0" fontId="71"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33" fillId="0" borderId="0" xfId="0" applyFont="1" applyAlignment="1">
      <alignment horizontal="center"/>
    </xf>
    <xf numFmtId="0" fontId="14" fillId="0" borderId="0" xfId="0" applyFont="1"/>
    <xf numFmtId="0" fontId="45" fillId="0" borderId="0" xfId="0" applyFont="1" applyFill="1"/>
    <xf numFmtId="0" fontId="78" fillId="19" borderId="12" xfId="0" applyFont="1" applyFill="1" applyBorder="1" applyAlignment="1">
      <alignment vertical="center"/>
    </xf>
    <xf numFmtId="0" fontId="76" fillId="0" borderId="0" xfId="52" applyNumberFormat="1" applyFont="1" applyFill="1" applyBorder="1" applyAlignment="1">
      <alignment horizontal="center" vertical="center" wrapText="1"/>
    </xf>
    <xf numFmtId="0" fontId="76" fillId="21" borderId="13"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1" fillId="20" borderId="0" xfId="0" applyNumberFormat="1" applyFont="1" applyFill="1" applyBorder="1" applyAlignment="1">
      <alignment horizontal="center"/>
    </xf>
    <xf numFmtId="0" fontId="81" fillId="0" borderId="0" xfId="0" applyFont="1" applyFill="1" applyBorder="1" applyAlignment="1" applyProtection="1">
      <alignment horizontal="left"/>
    </xf>
    <xf numFmtId="0" fontId="82" fillId="0" borderId="0" xfId="0" applyFont="1"/>
    <xf numFmtId="164" fontId="38" fillId="0" borderId="0" xfId="59" applyFont="1" applyFill="1" applyBorder="1" applyAlignment="1" applyProtection="1">
      <alignment horizontal="center" vertical="center"/>
      <protection locked="0"/>
    </xf>
    <xf numFmtId="15" fontId="0" fillId="0" borderId="0" xfId="0" applyNumberFormat="1"/>
    <xf numFmtId="164" fontId="31" fillId="0" borderId="14" xfId="59" applyFont="1" applyBorder="1" applyAlignment="1" applyProtection="1"/>
    <xf numFmtId="164" fontId="137" fillId="0" borderId="14" xfId="59" applyFill="1" applyBorder="1" applyAlignment="1" applyProtection="1">
      <alignment vertical="center"/>
    </xf>
    <xf numFmtId="164" fontId="3" fillId="0" borderId="14" xfId="59" applyFont="1" applyFill="1" applyBorder="1" applyAlignment="1" applyProtection="1">
      <alignment vertical="center"/>
    </xf>
    <xf numFmtId="164" fontId="31" fillId="0" borderId="0" xfId="59" applyFont="1" applyBorder="1" applyAlignment="1" applyProtection="1"/>
    <xf numFmtId="164" fontId="137" fillId="0" borderId="0" xfId="59" applyFill="1" applyBorder="1" applyAlignment="1" applyProtection="1">
      <alignment vertical="center"/>
    </xf>
    <xf numFmtId="164" fontId="3" fillId="0" borderId="0" xfId="59"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7"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64" fontId="37" fillId="0" borderId="18" xfId="59" applyFont="1" applyBorder="1" applyAlignment="1" applyProtection="1"/>
    <xf numFmtId="164" fontId="38" fillId="0" borderId="18" xfId="59" applyFont="1" applyFill="1" applyBorder="1" applyAlignment="1" applyProtection="1">
      <alignment vertical="center"/>
    </xf>
    <xf numFmtId="164" fontId="38" fillId="0" borderId="0" xfId="59" applyFont="1" applyFill="1" applyBorder="1" applyAlignment="1" applyProtection="1">
      <alignment vertical="center"/>
    </xf>
    <xf numFmtId="164" fontId="37" fillId="0" borderId="0" xfId="59" applyFont="1" applyBorder="1" applyAlignment="1" applyProtection="1"/>
    <xf numFmtId="164" fontId="39"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19" xfId="0" applyFont="1" applyBorder="1" applyAlignment="1" applyProtection="1">
      <alignment horizontal="center"/>
    </xf>
    <xf numFmtId="0" fontId="14" fillId="0" borderId="19" xfId="0" applyFont="1" applyBorder="1" applyAlignment="1" applyProtection="1">
      <alignment horizontal="center" wrapText="1"/>
    </xf>
    <xf numFmtId="1" fontId="21" fillId="20" borderId="20" xfId="0" applyNumberFormat="1" applyFont="1" applyFill="1" applyBorder="1" applyAlignment="1" applyProtection="1">
      <alignment horizontal="center"/>
    </xf>
    <xf numFmtId="1" fontId="21" fillId="20" borderId="22" xfId="0" applyNumberFormat="1" applyFont="1" applyFill="1" applyBorder="1" applyAlignment="1" applyProtection="1">
      <alignment horizontal="center"/>
    </xf>
    <xf numFmtId="0" fontId="0" fillId="0" borderId="24" xfId="0" applyBorder="1" applyAlignment="1" applyProtection="1">
      <alignment horizontal="center"/>
    </xf>
    <xf numFmtId="0" fontId="0" fillId="0" borderId="0" xfId="0" applyFill="1" applyBorder="1" applyAlignment="1" applyProtection="1">
      <alignment horizontal="center" wrapText="1"/>
    </xf>
    <xf numFmtId="164" fontId="100" fillId="0" borderId="0" xfId="62" applyFont="1" applyFill="1" applyBorder="1" applyProtection="1"/>
    <xf numFmtId="164" fontId="0" fillId="0" borderId="0" xfId="0" applyNumberFormat="1" applyFill="1" applyBorder="1" applyProtection="1"/>
    <xf numFmtId="164" fontId="67" fillId="0" borderId="25" xfId="59" applyFont="1" applyFill="1" applyBorder="1" applyAlignment="1" applyProtection="1"/>
    <xf numFmtId="164" fontId="38" fillId="0" borderId="25" xfId="59" applyFont="1" applyFill="1" applyBorder="1" applyAlignment="1" applyProtection="1">
      <alignment vertical="center"/>
    </xf>
    <xf numFmtId="3" fontId="66" fillId="22" borderId="10"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7" fontId="28" fillId="0" borderId="0" xfId="62"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7"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42" fillId="0" borderId="0" xfId="0" applyFont="1" applyProtection="1"/>
    <xf numFmtId="0" fontId="42" fillId="0" borderId="0" xfId="0" applyFont="1" applyAlignment="1" applyProtection="1">
      <alignment horizontal="right"/>
    </xf>
    <xf numFmtId="0" fontId="42"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8"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70"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2"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9"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52" fillId="0" borderId="29" xfId="0" applyNumberFormat="1" applyFont="1" applyFill="1" applyBorder="1" applyAlignment="1" applyProtection="1">
      <alignment horizontal="right"/>
    </xf>
    <xf numFmtId="0" fontId="61"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2" fillId="0" borderId="0" xfId="0" applyFont="1" applyFill="1" applyBorder="1" applyAlignment="1" applyProtection="1">
      <alignment horizontal="center" vertical="center"/>
    </xf>
    <xf numFmtId="9" fontId="65" fillId="0" borderId="0" xfId="0" applyNumberFormat="1" applyFont="1" applyFill="1" applyBorder="1" applyAlignment="1" applyProtection="1"/>
    <xf numFmtId="9" fontId="65" fillId="0" borderId="0" xfId="0" applyNumberFormat="1" applyFont="1" applyFill="1" applyBorder="1" applyAlignment="1" applyProtection="1">
      <alignment horizontal="center"/>
    </xf>
    <xf numFmtId="0" fontId="52" fillId="0" borderId="30" xfId="0" applyNumberFormat="1" applyFont="1" applyFill="1" applyBorder="1" applyAlignment="1" applyProtection="1">
      <alignment horizontal="right"/>
    </xf>
    <xf numFmtId="9" fontId="54" fillId="0" borderId="0" xfId="0" applyNumberFormat="1" applyFont="1" applyFill="1" applyBorder="1" applyProtection="1"/>
    <xf numFmtId="0" fontId="52" fillId="0" borderId="31" xfId="0" applyNumberFormat="1" applyFont="1" applyFill="1" applyBorder="1" applyAlignment="1" applyProtection="1">
      <alignment horizontal="right"/>
    </xf>
    <xf numFmtId="0" fontId="52" fillId="0" borderId="32" xfId="0" applyNumberFormat="1" applyFont="1" applyFill="1" applyBorder="1" applyAlignment="1" applyProtection="1">
      <alignment horizontal="right"/>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34" fillId="0" borderId="35" xfId="0" applyNumberFormat="1" applyFont="1" applyFill="1" applyBorder="1" applyAlignment="1" applyProtection="1">
      <alignment vertical="center"/>
    </xf>
    <xf numFmtId="0" fontId="43" fillId="0" borderId="0" xfId="0" applyFont="1" applyProtection="1"/>
    <xf numFmtId="0" fontId="64" fillId="0" borderId="0" xfId="0" applyFont="1" applyProtection="1"/>
    <xf numFmtId="0" fontId="58" fillId="0" borderId="0" xfId="0" applyFont="1" applyProtection="1"/>
    <xf numFmtId="0" fontId="72" fillId="0" borderId="0" xfId="0" applyFont="1" applyBorder="1" applyAlignment="1" applyProtection="1">
      <alignment wrapText="1"/>
    </xf>
    <xf numFmtId="0" fontId="68"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6" fillId="0" borderId="0" xfId="0" applyNumberFormat="1" applyFont="1" applyBorder="1" applyProtection="1"/>
    <xf numFmtId="164" fontId="36" fillId="0" borderId="0" xfId="0" applyNumberFormat="1" applyFont="1" applyProtection="1"/>
    <xf numFmtId="167" fontId="6" fillId="0" borderId="0" xfId="62" applyNumberFormat="1" applyFont="1" applyFill="1" applyBorder="1" applyAlignment="1" applyProtection="1">
      <protection locked="0"/>
    </xf>
    <xf numFmtId="167" fontId="6" fillId="0" borderId="0" xfId="62" applyNumberFormat="1" applyFont="1" applyFill="1" applyBorder="1" applyProtection="1">
      <protection locked="0"/>
    </xf>
    <xf numFmtId="0" fontId="15" fillId="20" borderId="0" xfId="0" applyFont="1" applyFill="1"/>
    <xf numFmtId="166" fontId="15" fillId="20" borderId="0" xfId="0" applyNumberFormat="1" applyFont="1" applyFill="1"/>
    <xf numFmtId="167" fontId="15" fillId="20" borderId="0" xfId="0" applyNumberFormat="1" applyFont="1" applyFill="1"/>
    <xf numFmtId="3" fontId="15" fillId="20" borderId="0" xfId="0" applyNumberFormat="1" applyFont="1" applyFill="1" applyProtection="1"/>
    <xf numFmtId="166"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3" fillId="0" borderId="0" xfId="0" applyFont="1"/>
    <xf numFmtId="164" fontId="14" fillId="0" borderId="0" xfId="0" applyNumberFormat="1" applyFont="1" applyAlignment="1" applyProtection="1">
      <alignment horizontal="center"/>
    </xf>
    <xf numFmtId="164" fontId="20" fillId="0" borderId="38" xfId="56" applyFont="1" applyBorder="1" applyAlignment="1" applyProtection="1">
      <alignment horizontal="right"/>
    </xf>
    <xf numFmtId="0" fontId="12" fillId="0" borderId="0" xfId="0" applyFont="1"/>
    <xf numFmtId="0" fontId="0" fillId="20" borderId="0" xfId="0" applyFill="1" applyProtection="1"/>
    <xf numFmtId="0" fontId="0" fillId="20" borderId="39" xfId="0" applyFill="1" applyBorder="1" applyProtection="1"/>
    <xf numFmtId="164" fontId="89" fillId="0" borderId="0" xfId="0" applyNumberFormat="1" applyFont="1"/>
    <xf numFmtId="0" fontId="89" fillId="0" borderId="0" xfId="0" applyFont="1"/>
    <xf numFmtId="164" fontId="0" fillId="0" borderId="0" xfId="0" quotePrefix="1" applyNumberFormat="1"/>
    <xf numFmtId="164" fontId="0" fillId="0" borderId="0" xfId="0" applyNumberFormat="1"/>
    <xf numFmtId="0" fontId="34" fillId="0" borderId="40" xfId="0" applyNumberFormat="1" applyFont="1" applyFill="1" applyBorder="1" applyAlignment="1" applyProtection="1">
      <alignment vertical="center"/>
    </xf>
    <xf numFmtId="164" fontId="137" fillId="0" borderId="0" xfId="51" applyFill="1" applyBorder="1" applyAlignment="1" applyProtection="1">
      <alignment horizontal="center"/>
    </xf>
    <xf numFmtId="0" fontId="34" fillId="0" borderId="0" xfId="0" quotePrefix="1" applyFont="1" applyProtection="1"/>
    <xf numFmtId="0" fontId="62" fillId="0" borderId="41" xfId="0" applyFont="1" applyBorder="1" applyAlignment="1">
      <alignment horizontal="justify" vertical="center" wrapText="1"/>
    </xf>
    <xf numFmtId="0" fontId="62" fillId="0" borderId="42" xfId="0" applyFont="1" applyBorder="1" applyAlignment="1">
      <alignment horizontal="justify" vertical="center" wrapText="1"/>
    </xf>
    <xf numFmtId="0" fontId="62" fillId="0" borderId="43" xfId="0" applyFont="1" applyBorder="1" applyAlignment="1">
      <alignment horizontal="justify" vertical="center" wrapText="1"/>
    </xf>
    <xf numFmtId="0" fontId="88" fillId="0" borderId="42" xfId="0" applyFont="1" applyBorder="1" applyAlignment="1">
      <alignment horizontal="justify" vertical="center" wrapText="1"/>
    </xf>
    <xf numFmtId="164" fontId="91" fillId="0" borderId="25" xfId="59" applyFont="1" applyFill="1" applyBorder="1" applyAlignment="1" applyProtection="1"/>
    <xf numFmtId="164" fontId="9" fillId="0" borderId="25" xfId="59" applyFont="1" applyFill="1" applyBorder="1" applyAlignment="1" applyProtection="1">
      <alignment vertical="center"/>
    </xf>
    <xf numFmtId="3" fontId="66" fillId="23" borderId="10" xfId="0" applyNumberFormat="1" applyFont="1" applyFill="1" applyBorder="1" applyAlignment="1" applyProtection="1">
      <alignment vertical="center"/>
      <protection locked="0"/>
    </xf>
    <xf numFmtId="0" fontId="87" fillId="0" borderId="41" xfId="0" applyFont="1" applyBorder="1" applyAlignment="1">
      <alignment vertical="center" wrapText="1"/>
    </xf>
    <xf numFmtId="0" fontId="87" fillId="0" borderId="42" xfId="0" applyFont="1" applyBorder="1" applyAlignment="1">
      <alignment vertical="center" wrapText="1"/>
    </xf>
    <xf numFmtId="0" fontId="2" fillId="0" borderId="44" xfId="0" applyFont="1" applyFill="1" applyBorder="1" applyAlignment="1" applyProtection="1">
      <alignment horizontal="center"/>
    </xf>
    <xf numFmtId="0" fontId="66" fillId="0" borderId="10" xfId="0" applyFont="1" applyFill="1" applyBorder="1" applyAlignment="1" applyProtection="1">
      <alignment horizontal="center"/>
    </xf>
    <xf numFmtId="0" fontId="66" fillId="24" borderId="10" xfId="0" applyFont="1" applyFill="1" applyBorder="1" applyAlignment="1" applyProtection="1">
      <alignment horizontal="center"/>
    </xf>
    <xf numFmtId="0" fontId="1" fillId="0" borderId="0" xfId="0" applyFont="1"/>
    <xf numFmtId="0" fontId="94" fillId="0" borderId="0" xfId="0" applyFont="1"/>
    <xf numFmtId="164" fontId="96" fillId="0" borderId="25" xfId="59"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 fontId="21" fillId="25" borderId="10" xfId="0" applyNumberFormat="1" applyFont="1" applyFill="1" applyBorder="1" applyAlignment="1" applyProtection="1">
      <alignment horizontal="center"/>
      <protection locked="0"/>
    </xf>
    <xf numFmtId="1" fontId="21" fillId="25" borderId="45"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7" fontId="0" fillId="0" borderId="0" xfId="0" applyNumberFormat="1" applyProtection="1"/>
    <xf numFmtId="164" fontId="20" fillId="0" borderId="0" xfId="49" applyFont="1" applyFill="1" applyAlignment="1" applyProtection="1">
      <alignment horizontal="right" vertical="center"/>
    </xf>
    <xf numFmtId="0" fontId="102" fillId="0" borderId="0" xfId="0" applyFont="1" applyFill="1" applyBorder="1" applyAlignment="1" applyProtection="1">
      <alignment horizontal="right"/>
    </xf>
    <xf numFmtId="164" fontId="103" fillId="0" borderId="14" xfId="59"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6"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3" fillId="0" borderId="0" xfId="0" applyFont="1" applyBorder="1" applyAlignment="1" applyProtection="1">
      <alignment horizontal="right"/>
    </xf>
    <xf numFmtId="0" fontId="113" fillId="0" borderId="0" xfId="0" applyFont="1" applyAlignment="1" applyProtection="1">
      <alignment horizontal="right"/>
    </xf>
    <xf numFmtId="0" fontId="113" fillId="0" borderId="47" xfId="0" applyFont="1" applyBorder="1" applyAlignment="1" applyProtection="1">
      <alignment horizontal="right"/>
    </xf>
    <xf numFmtId="164" fontId="112" fillId="0" borderId="0" xfId="38" applyFont="1" applyFill="1" applyAlignment="1" applyProtection="1">
      <alignment vertical="center"/>
    </xf>
    <xf numFmtId="0" fontId="113" fillId="0" borderId="0" xfId="0" applyFont="1" applyProtection="1"/>
    <xf numFmtId="0" fontId="113"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48" xfId="0" applyFont="1" applyFill="1" applyBorder="1" applyAlignment="1" applyProtection="1"/>
    <xf numFmtId="0" fontId="32" fillId="26" borderId="49" xfId="0" applyFont="1" applyFill="1" applyBorder="1" applyAlignment="1" applyProtection="1">
      <alignment horizontal="centerContinuous"/>
    </xf>
    <xf numFmtId="15" fontId="110" fillId="0" borderId="37" xfId="0" applyNumberFormat="1" applyFont="1" applyFill="1" applyBorder="1" applyAlignment="1" applyProtection="1">
      <alignment horizontal="center" wrapText="1"/>
    </xf>
    <xf numFmtId="15" fontId="110" fillId="0" borderId="50" xfId="0" applyNumberFormat="1" applyFont="1" applyFill="1" applyBorder="1" applyAlignment="1" applyProtection="1">
      <alignment horizontal="center" wrapText="1"/>
    </xf>
    <xf numFmtId="0" fontId="36" fillId="0" borderId="48" xfId="0" applyFont="1" applyFill="1" applyBorder="1" applyAlignment="1" applyProtection="1">
      <alignment horizontal="center"/>
    </xf>
    <xf numFmtId="0" fontId="36" fillId="0" borderId="51" xfId="0" applyFont="1" applyFill="1" applyBorder="1" applyAlignment="1" applyProtection="1">
      <alignment horizontal="center"/>
    </xf>
    <xf numFmtId="0" fontId="32" fillId="26" borderId="52"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66" fillId="0" borderId="54" xfId="0" applyFont="1" applyFill="1" applyBorder="1" applyAlignment="1" applyProtection="1">
      <alignment horizontal="center"/>
    </xf>
    <xf numFmtId="3" fontId="66"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6" fillId="0" borderId="55" xfId="0" applyFont="1" applyFill="1" applyBorder="1" applyAlignment="1" applyProtection="1">
      <alignment horizontal="center" vertical="center"/>
    </xf>
    <xf numFmtId="0" fontId="24" fillId="0" borderId="0" xfId="0" applyFont="1" applyProtection="1"/>
    <xf numFmtId="164"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164" fontId="20" fillId="0" borderId="38" xfId="56" applyFont="1" applyFill="1" applyBorder="1" applyAlignment="1" applyProtection="1">
      <alignment horizontal="right"/>
    </xf>
    <xf numFmtId="0" fontId="28" fillId="0" borderId="0" xfId="0" applyFont="1" applyFill="1" applyBorder="1" applyAlignment="1" applyProtection="1">
      <alignment wrapText="1"/>
    </xf>
    <xf numFmtId="164" fontId="28" fillId="0" borderId="0" xfId="0" applyNumberFormat="1" applyFont="1" applyAlignment="1" applyProtection="1"/>
    <xf numFmtId="15" fontId="28" fillId="0" borderId="0" xfId="0" applyNumberFormat="1" applyFont="1"/>
    <xf numFmtId="0" fontId="0" fillId="0" borderId="25" xfId="0" applyFill="1" applyBorder="1" applyProtection="1"/>
    <xf numFmtId="9" fontId="15" fillId="0" borderId="0" xfId="61" applyFont="1" applyProtection="1"/>
    <xf numFmtId="164" fontId="24" fillId="25" borderId="38" xfId="56" applyFont="1" applyFill="1" applyBorder="1" applyAlignment="1" applyProtection="1">
      <alignment horizontal="center" vertical="center"/>
    </xf>
    <xf numFmtId="15" fontId="24" fillId="25" borderId="38" xfId="56" applyNumberFormat="1" applyFont="1" applyFill="1" applyBorder="1" applyAlignment="1" applyProtection="1">
      <alignment horizontal="center" vertical="center"/>
    </xf>
    <xf numFmtId="164" fontId="24" fillId="25" borderId="38" xfId="56" applyFont="1" applyFill="1" applyBorder="1" applyAlignment="1" applyProtection="1">
      <alignment horizontal="center"/>
    </xf>
    <xf numFmtId="15" fontId="24" fillId="25" borderId="38" xfId="56" applyNumberFormat="1" applyFont="1" applyFill="1" applyBorder="1" applyAlignment="1" applyProtection="1">
      <alignment horizontal="center"/>
    </xf>
    <xf numFmtId="164" fontId="89" fillId="0" borderId="0" xfId="0" applyNumberFormat="1" applyFont="1" applyAlignment="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49" fontId="0" fillId="0" borderId="0" xfId="0" applyNumberFormat="1" applyProtection="1"/>
    <xf numFmtId="0" fontId="0" fillId="25" borderId="45" xfId="0" applyNumberFormat="1" applyFill="1" applyBorder="1" applyAlignment="1" applyProtection="1">
      <alignment horizontal="center"/>
      <protection locked="0"/>
    </xf>
    <xf numFmtId="0" fontId="0" fillId="0" borderId="22" xfId="0" applyNumberFormat="1" applyFill="1" applyBorder="1" applyAlignment="1" applyProtection="1">
      <alignment horizontal="center"/>
    </xf>
    <xf numFmtId="3" fontId="0" fillId="25"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2" fontId="21"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66" fontId="32" fillId="19" borderId="59" xfId="0" applyNumberFormat="1" applyFont="1" applyFill="1" applyBorder="1" applyAlignment="1" applyProtection="1">
      <alignment horizontal="center"/>
      <protection locked="0"/>
    </xf>
    <xf numFmtId="166" fontId="32" fillId="19" borderId="60" xfId="0" applyNumberFormat="1" applyFont="1" applyFill="1" applyBorder="1" applyAlignment="1" applyProtection="1">
      <alignment horizontal="center"/>
      <protection locked="0"/>
    </xf>
    <xf numFmtId="166" fontId="32" fillId="19" borderId="61" xfId="0" applyNumberFormat="1" applyFont="1" applyFill="1" applyBorder="1" applyAlignment="1" applyProtection="1">
      <alignment horizontal="center"/>
      <protection locked="0"/>
    </xf>
    <xf numFmtId="166" fontId="32" fillId="19" borderId="62" xfId="0" applyNumberFormat="1" applyFont="1" applyFill="1" applyBorder="1" applyAlignment="1" applyProtection="1">
      <alignment horizontal="center"/>
      <protection locked="0"/>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38" xfId="56" applyFont="1" applyBorder="1" applyAlignment="1" applyProtection="1">
      <alignment horizontal="right"/>
    </xf>
    <xf numFmtId="164" fontId="120" fillId="0" borderId="0" xfId="50" applyFont="1" applyFill="1" applyBorder="1" applyProtection="1"/>
    <xf numFmtId="3" fontId="28" fillId="26" borderId="59" xfId="0" applyNumberFormat="1" applyFont="1" applyFill="1" applyBorder="1" applyAlignment="1" applyProtection="1">
      <protection locked="0"/>
    </xf>
    <xf numFmtId="3" fontId="28" fillId="26" borderId="64"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58" xfId="0" applyNumberFormat="1" applyFont="1" applyFill="1" applyBorder="1" applyAlignment="1" applyProtection="1"/>
    <xf numFmtId="166" fontId="14" fillId="19" borderId="65" xfId="0" applyNumberFormat="1" applyFont="1" applyFill="1" applyBorder="1" applyAlignment="1" applyProtection="1">
      <alignment horizontal="center"/>
      <protection locked="0"/>
    </xf>
    <xf numFmtId="0" fontId="0" fillId="26" borderId="10" xfId="0" applyFill="1" applyBorder="1" applyProtection="1"/>
    <xf numFmtId="0" fontId="0" fillId="25" borderId="10" xfId="0" applyFill="1" applyBorder="1" applyProtection="1"/>
    <xf numFmtId="3" fontId="1" fillId="26" borderId="66" xfId="62" applyNumberFormat="1" applyFont="1" applyFill="1" applyBorder="1" applyAlignment="1" applyProtection="1">
      <protection locked="0"/>
    </xf>
    <xf numFmtId="3" fontId="1" fillId="26" borderId="66" xfId="62" applyNumberFormat="1" applyFont="1" applyFill="1" applyBorder="1" applyProtection="1">
      <protection locked="0"/>
    </xf>
    <xf numFmtId="49" fontId="26" fillId="0" borderId="67" xfId="0" applyNumberFormat="1" applyFont="1" applyFill="1" applyBorder="1" applyAlignment="1" applyProtection="1">
      <alignment wrapText="1"/>
      <protection locked="0"/>
    </xf>
    <xf numFmtId="3" fontId="1" fillId="26" borderId="68" xfId="62" applyNumberFormat="1" applyFont="1" applyFill="1" applyBorder="1" applyProtection="1">
      <protection locked="0"/>
    </xf>
    <xf numFmtId="49" fontId="26" fillId="0" borderId="67" xfId="0" applyNumberFormat="1" applyFont="1" applyFill="1" applyBorder="1" applyAlignment="1" applyProtection="1">
      <protection locked="0"/>
    </xf>
    <xf numFmtId="0" fontId="0" fillId="0" borderId="69" xfId="0" applyBorder="1" applyAlignment="1" applyProtection="1"/>
    <xf numFmtId="3" fontId="0" fillId="0" borderId="70" xfId="0" applyNumberFormat="1" applyBorder="1" applyProtection="1"/>
    <xf numFmtId="3" fontId="0" fillId="0" borderId="71" xfId="0" applyNumberFormat="1" applyBorder="1" applyProtection="1"/>
    <xf numFmtId="49" fontId="0" fillId="0" borderId="10" xfId="0" applyNumberFormat="1" applyBorder="1" applyAlignment="1" applyProtection="1">
      <alignment horizontal="center"/>
      <protection locked="0"/>
    </xf>
    <xf numFmtId="0" fontId="0" fillId="0" borderId="72" xfId="0" applyNumberFormat="1" applyFill="1" applyBorder="1"/>
    <xf numFmtId="3" fontId="66" fillId="0" borderId="10" xfId="0" applyNumberFormat="1" applyFont="1" applyFill="1" applyBorder="1" applyAlignment="1" applyProtection="1">
      <alignment vertical="center"/>
    </xf>
    <xf numFmtId="3" fontId="66" fillId="0" borderId="54" xfId="0" applyNumberFormat="1" applyFont="1" applyFill="1" applyBorder="1" applyAlignment="1" applyProtection="1">
      <alignment vertical="center"/>
    </xf>
    <xf numFmtId="49" fontId="83" fillId="0" borderId="10" xfId="0" applyNumberFormat="1" applyFont="1" applyBorder="1" applyAlignment="1" applyProtection="1">
      <alignment horizontal="center"/>
      <protection locked="0"/>
    </xf>
    <xf numFmtId="0" fontId="68" fillId="0" borderId="10" xfId="0" applyFont="1" applyBorder="1" applyAlignment="1" applyProtection="1">
      <alignment horizontal="center"/>
    </xf>
    <xf numFmtId="0" fontId="76" fillId="0" borderId="74" xfId="0" applyFont="1" applyFill="1" applyBorder="1" applyAlignment="1" applyProtection="1">
      <alignment horizontal="center" vertical="center" wrapText="1"/>
    </xf>
    <xf numFmtId="0" fontId="76" fillId="0" borderId="75" xfId="0" applyFont="1" applyFill="1" applyBorder="1" applyAlignment="1" applyProtection="1">
      <alignment horizontal="center"/>
    </xf>
    <xf numFmtId="0" fontId="76" fillId="0" borderId="76" xfId="0" applyFont="1" applyFill="1" applyBorder="1" applyAlignment="1" applyProtection="1">
      <alignment horizontal="center"/>
    </xf>
    <xf numFmtId="0" fontId="76" fillId="0" borderId="77" xfId="0" applyNumberFormat="1" applyFont="1" applyFill="1" applyBorder="1" applyAlignment="1" applyProtection="1">
      <alignment horizontal="center"/>
    </xf>
    <xf numFmtId="0" fontId="76" fillId="0" borderId="78" xfId="0" applyNumberFormat="1" applyFont="1" applyFill="1" applyBorder="1" applyAlignment="1" applyProtection="1">
      <alignment horizontal="center"/>
    </xf>
    <xf numFmtId="0" fontId="76" fillId="0" borderId="78" xfId="0" applyNumberFormat="1" applyFont="1" applyFill="1" applyBorder="1" applyAlignment="1" applyProtection="1">
      <alignment horizontal="center" vertical="center"/>
    </xf>
    <xf numFmtId="0" fontId="76" fillId="0" borderId="79" xfId="0" applyNumberFormat="1" applyFont="1" applyFill="1" applyBorder="1" applyAlignment="1" applyProtection="1">
      <alignment horizontal="center" vertical="center"/>
    </xf>
    <xf numFmtId="0" fontId="80" fillId="0" borderId="80" xfId="0" applyNumberFormat="1" applyFont="1" applyFill="1" applyBorder="1" applyAlignment="1" applyProtection="1">
      <alignment horizontal="center" vertical="center"/>
    </xf>
    <xf numFmtId="0" fontId="80" fillId="0" borderId="81" xfId="0" applyNumberFormat="1" applyFont="1" applyFill="1" applyBorder="1" applyAlignment="1" applyProtection="1">
      <alignment horizontal="center" vertical="center"/>
    </xf>
    <xf numFmtId="0" fontId="80" fillId="0" borderId="82" xfId="0" applyNumberFormat="1" applyFont="1" applyFill="1" applyBorder="1" applyAlignment="1" applyProtection="1">
      <alignment horizontal="center" vertical="center"/>
    </xf>
    <xf numFmtId="0" fontId="0" fillId="0" borderId="19" xfId="0" applyBorder="1" applyAlignment="1" applyProtection="1">
      <alignment horizontal="center"/>
    </xf>
    <xf numFmtId="0" fontId="0" fillId="0" borderId="10" xfId="0" applyNumberFormat="1" applyBorder="1"/>
    <xf numFmtId="0" fontId="0" fillId="0" borderId="10" xfId="0" applyNumberFormat="1" applyBorder="1" applyAlignment="1">
      <alignment horizontal="center"/>
    </xf>
    <xf numFmtId="0" fontId="0" fillId="0" borderId="0" xfId="0" applyBorder="1" applyAlignment="1">
      <alignment horizontal="center"/>
    </xf>
    <xf numFmtId="0" fontId="14" fillId="0" borderId="19"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76" fillId="0" borderId="83" xfId="0" applyFont="1" applyFill="1" applyBorder="1" applyAlignment="1" applyProtection="1">
      <alignment horizontal="center" vertical="center" wrapText="1"/>
    </xf>
    <xf numFmtId="3" fontId="24" fillId="25" borderId="38" xfId="56" applyNumberFormat="1" applyFont="1" applyFill="1" applyBorder="1" applyAlignment="1" applyProtection="1">
      <alignment horizontal="center" wrapText="1"/>
    </xf>
    <xf numFmtId="14" fontId="24" fillId="25" borderId="38" xfId="56" applyNumberFormat="1" applyFont="1" applyFill="1" applyBorder="1" applyAlignment="1" applyProtection="1">
      <alignment horizontal="center" vertical="center" wrapText="1"/>
    </xf>
    <xf numFmtId="173" fontId="24" fillId="25" borderId="38" xfId="56" applyNumberFormat="1" applyFont="1" applyFill="1" applyBorder="1" applyAlignment="1" applyProtection="1">
      <alignment horizontal="center" wrapText="1"/>
    </xf>
    <xf numFmtId="164" fontId="1" fillId="0" borderId="38" xfId="56" applyFont="1" applyBorder="1" applyAlignment="1" applyProtection="1">
      <alignment horizontal="right" vertical="center"/>
    </xf>
    <xf numFmtId="164" fontId="1" fillId="0" borderId="38" xfId="56" applyFont="1" applyBorder="1" applyAlignment="1" applyProtection="1">
      <alignment horizontal="right" vertical="center" wrapText="1"/>
    </xf>
    <xf numFmtId="164" fontId="28" fillId="0" borderId="0" xfId="0" applyNumberFormat="1" applyFont="1" applyAlignment="1" applyProtection="1">
      <alignment horizontal="right" wrapText="1"/>
    </xf>
    <xf numFmtId="49" fontId="25" fillId="0" borderId="84" xfId="0" applyNumberFormat="1" applyFont="1" applyFill="1" applyBorder="1" applyAlignment="1" applyProtection="1">
      <alignment vertical="center" wrapText="1"/>
    </xf>
    <xf numFmtId="0" fontId="90" fillId="0" borderId="85" xfId="0" applyNumberFormat="1" applyFont="1" applyFill="1" applyBorder="1" applyAlignment="1" applyProtection="1">
      <alignment horizontal="center" vertical="center" wrapText="1"/>
    </xf>
    <xf numFmtId="0" fontId="90" fillId="0" borderId="86" xfId="0" applyNumberFormat="1" applyFont="1" applyFill="1" applyBorder="1" applyAlignment="1" applyProtection="1">
      <alignment horizontal="center" vertical="center" wrapText="1"/>
    </xf>
    <xf numFmtId="0" fontId="0" fillId="0" borderId="0" xfId="0" applyAlignment="1"/>
    <xf numFmtId="0" fontId="0" fillId="0" borderId="0" xfId="0" applyAlignment="1">
      <alignment vertical="center" wrapText="1"/>
    </xf>
    <xf numFmtId="164" fontId="28" fillId="0" borderId="0" xfId="0" applyNumberFormat="1" applyFont="1" applyAlignment="1">
      <alignment horizontal="right" vertical="center" wrapText="1"/>
    </xf>
    <xf numFmtId="9" fontId="128" fillId="0" borderId="0" xfId="61" applyFont="1" applyBorder="1" applyProtection="1"/>
    <xf numFmtId="164" fontId="35" fillId="0" borderId="0" xfId="0" applyNumberFormat="1" applyFont="1" applyAlignment="1">
      <alignment horizontal="left" vertical="center" wrapText="1"/>
    </xf>
    <xf numFmtId="0" fontId="127" fillId="0" borderId="0" xfId="0" applyFont="1" applyAlignment="1"/>
    <xf numFmtId="0" fontId="33" fillId="0" borderId="0" xfId="0" applyFont="1" applyAlignment="1"/>
    <xf numFmtId="0" fontId="30" fillId="0" borderId="0" xfId="0" applyFont="1" applyFill="1" applyBorder="1" applyAlignment="1" applyProtection="1">
      <alignment horizontal="left" wrapText="1"/>
      <protection locked="0"/>
    </xf>
    <xf numFmtId="0" fontId="129" fillId="0" borderId="0" xfId="0" applyFont="1"/>
    <xf numFmtId="164" fontId="1" fillId="0" borderId="38" xfId="56" applyFont="1" applyBorder="1" applyAlignment="1" applyProtection="1">
      <alignment horizontal="right" wrapText="1"/>
    </xf>
    <xf numFmtId="164" fontId="28" fillId="0" borderId="38" xfId="56" applyFont="1" applyBorder="1" applyAlignment="1" applyProtection="1">
      <alignment horizontal="center"/>
    </xf>
    <xf numFmtId="164" fontId="34" fillId="0" borderId="0" xfId="0" applyNumberFormat="1" applyFont="1" applyAlignment="1" applyProtection="1">
      <alignment horizontal="center" wrapText="1"/>
    </xf>
    <xf numFmtId="164" fontId="130" fillId="0" borderId="0" xfId="0" applyNumberFormat="1" applyFont="1" applyAlignment="1" applyProtection="1">
      <alignment horizontal="right"/>
    </xf>
    <xf numFmtId="164" fontId="130" fillId="0" borderId="0" xfId="0" applyNumberFormat="1" applyFont="1" applyAlignment="1">
      <alignment horizontal="right"/>
    </xf>
    <xf numFmtId="164" fontId="34" fillId="0" borderId="0" xfId="0" applyNumberFormat="1" applyFont="1" applyAlignment="1">
      <alignment horizontal="left" vertical="center" wrapText="1"/>
    </xf>
    <xf numFmtId="164" fontId="34" fillId="0" borderId="0" xfId="0" applyNumberFormat="1" applyFont="1" applyAlignment="1" applyProtection="1">
      <alignment horizontal="left" wrapText="1"/>
    </xf>
    <xf numFmtId="0" fontId="0" fillId="0" borderId="87" xfId="0" applyBorder="1"/>
    <xf numFmtId="164" fontId="133" fillId="0" borderId="18" xfId="59" applyFont="1" applyFill="1" applyBorder="1" applyAlignment="1" applyProtection="1">
      <alignment vertical="center"/>
    </xf>
    <xf numFmtId="164" fontId="133" fillId="0" borderId="18" xfId="59" applyFont="1" applyFill="1" applyBorder="1" applyAlignment="1" applyProtection="1">
      <alignment horizontal="center" vertical="center"/>
    </xf>
    <xf numFmtId="164" fontId="133" fillId="0" borderId="25" xfId="59" applyFont="1" applyFill="1" applyBorder="1" applyAlignment="1" applyProtection="1">
      <alignment vertical="center"/>
    </xf>
    <xf numFmtId="0" fontId="133" fillId="0" borderId="25" xfId="0" applyFont="1" applyBorder="1" applyProtection="1"/>
    <xf numFmtId="0" fontId="133" fillId="0" borderId="25" xfId="0" applyFont="1" applyBorder="1"/>
    <xf numFmtId="164" fontId="134" fillId="0" borderId="14" xfId="59" applyFont="1" applyFill="1" applyBorder="1" applyAlignment="1" applyProtection="1">
      <alignment horizontal="left" vertical="center"/>
    </xf>
    <xf numFmtId="164" fontId="133" fillId="0" borderId="14" xfId="59" applyFont="1" applyFill="1" applyBorder="1" applyAlignment="1" applyProtection="1">
      <alignment vertical="center"/>
    </xf>
    <xf numFmtId="164" fontId="133" fillId="26" borderId="89" xfId="59" applyFont="1" applyFill="1" applyBorder="1" applyAlignment="1" applyProtection="1">
      <alignment vertical="center"/>
    </xf>
    <xf numFmtId="164" fontId="134" fillId="0" borderId="18" xfId="59" applyFont="1" applyFill="1" applyBorder="1" applyAlignment="1" applyProtection="1">
      <alignment vertical="center"/>
    </xf>
    <xf numFmtId="164" fontId="134" fillId="0" borderId="25" xfId="59" applyFont="1" applyFill="1" applyBorder="1" applyAlignment="1" applyProtection="1">
      <alignment vertical="center"/>
    </xf>
    <xf numFmtId="0" fontId="0" fillId="0" borderId="0" xfId="0" applyAlignment="1">
      <alignment horizontal="center"/>
    </xf>
    <xf numFmtId="0" fontId="0" fillId="0" borderId="21" xfId="0" applyFill="1" applyBorder="1" applyAlignment="1" applyProtection="1">
      <alignment horizontal="center"/>
    </xf>
    <xf numFmtId="0" fontId="0" fillId="20" borderId="0" xfId="0" applyFill="1"/>
    <xf numFmtId="0" fontId="136" fillId="20" borderId="0" xfId="0" applyFont="1" applyFill="1"/>
    <xf numFmtId="3" fontId="66" fillId="28" borderId="10" xfId="0" applyNumberFormat="1" applyFont="1" applyFill="1" applyBorder="1" applyAlignment="1" applyProtection="1">
      <alignment vertical="center"/>
      <protection locked="0"/>
    </xf>
    <xf numFmtId="3" fontId="66" fillId="28" borderId="10" xfId="0" applyNumberFormat="1" applyFont="1" applyFill="1" applyBorder="1" applyAlignment="1" applyProtection="1">
      <alignment horizontal="right" vertical="center"/>
      <protection locked="0"/>
    </xf>
    <xf numFmtId="3" fontId="2" fillId="28" borderId="10" xfId="0" applyNumberFormat="1" applyFont="1" applyFill="1" applyBorder="1" applyAlignment="1" applyProtection="1">
      <alignment vertical="center"/>
      <protection locked="0"/>
    </xf>
    <xf numFmtId="3" fontId="66"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horizontal="right" vertical="center"/>
      <protection locked="0"/>
    </xf>
    <xf numFmtId="3" fontId="66" fillId="24" borderId="10" xfId="0" applyNumberFormat="1" applyFont="1" applyFill="1" applyBorder="1" applyAlignment="1" applyProtection="1">
      <alignment vertical="center"/>
    </xf>
    <xf numFmtId="0" fontId="66" fillId="0" borderId="90" xfId="0" applyFont="1" applyFill="1" applyBorder="1" applyAlignment="1" applyProtection="1">
      <alignment horizontal="center"/>
    </xf>
    <xf numFmtId="0" fontId="66" fillId="0" borderId="87" xfId="0" applyFont="1" applyFill="1" applyBorder="1" applyAlignment="1" applyProtection="1">
      <alignment horizontal="center"/>
    </xf>
    <xf numFmtId="164" fontId="133" fillId="25" borderId="91" xfId="59" applyFont="1" applyFill="1" applyBorder="1" applyAlignment="1" applyProtection="1">
      <alignment horizontal="center" vertical="center"/>
    </xf>
    <xf numFmtId="0" fontId="133" fillId="22" borderId="92" xfId="0" applyFont="1" applyFill="1" applyBorder="1"/>
    <xf numFmtId="0" fontId="80" fillId="0" borderId="93" xfId="0" applyNumberFormat="1" applyFont="1" applyFill="1" applyBorder="1" applyAlignment="1" applyProtection="1">
      <alignment horizontal="center" vertical="center"/>
    </xf>
    <xf numFmtId="15" fontId="0" fillId="0" borderId="10" xfId="56" applyNumberFormat="1" applyFont="1" applyFill="1" applyBorder="1" applyAlignment="1" applyProtection="1">
      <alignment horizontal="center"/>
      <protection locked="0"/>
    </xf>
    <xf numFmtId="0" fontId="35" fillId="0" borderId="10" xfId="0" applyFont="1" applyBorder="1" applyAlignment="1" applyProtection="1">
      <alignment horizontal="center" vertical="center" wrapText="1"/>
    </xf>
    <xf numFmtId="3" fontId="138" fillId="0" borderId="41" xfId="0" applyNumberFormat="1" applyFont="1" applyFill="1" applyBorder="1" applyAlignment="1" applyProtection="1">
      <alignment horizontal="center" vertical="center" wrapText="1"/>
      <protection locked="0"/>
    </xf>
    <xf numFmtId="49" fontId="138" fillId="0" borderId="10" xfId="0" applyNumberFormat="1" applyFont="1" applyFill="1" applyBorder="1" applyAlignment="1" applyProtection="1">
      <alignment horizontal="center" vertical="center"/>
      <protection locked="0"/>
    </xf>
    <xf numFmtId="3" fontId="138" fillId="35" borderId="41" xfId="0" applyNumberFormat="1" applyFont="1" applyFill="1" applyBorder="1" applyAlignment="1" applyProtection="1">
      <alignment horizontal="center" vertical="center" wrapText="1"/>
      <protection locked="0"/>
    </xf>
    <xf numFmtId="49" fontId="138" fillId="35" borderId="41" xfId="0" applyNumberFormat="1" applyFont="1" applyFill="1" applyBorder="1" applyAlignment="1" applyProtection="1">
      <alignment horizontal="center" vertical="center" wrapText="1"/>
      <protection locked="0"/>
    </xf>
    <xf numFmtId="49" fontId="138" fillId="35" borderId="10" xfId="0" applyNumberFormat="1" applyFont="1" applyFill="1" applyBorder="1" applyAlignment="1" applyProtection="1">
      <alignment horizontal="center" vertical="center" wrapText="1"/>
      <protection locked="0"/>
    </xf>
    <xf numFmtId="49" fontId="138" fillId="35" borderId="10" xfId="0" applyNumberFormat="1" applyFont="1" applyFill="1" applyBorder="1" applyAlignment="1" applyProtection="1">
      <alignment horizontal="center" vertical="center"/>
      <protection locked="0"/>
    </xf>
    <xf numFmtId="9" fontId="141"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5" fontId="26" fillId="0" borderId="88" xfId="0" applyNumberFormat="1" applyFont="1" applyFill="1" applyBorder="1" applyAlignment="1" applyProtection="1">
      <alignment horizontal="center"/>
    </xf>
    <xf numFmtId="0" fontId="0" fillId="0" borderId="0" xfId="0" applyFill="1" applyProtection="1"/>
    <xf numFmtId="49" fontId="115" fillId="0" borderId="67" xfId="0" applyNumberFormat="1" applyFont="1" applyFill="1" applyBorder="1" applyAlignment="1" applyProtection="1">
      <alignment wrapText="1"/>
      <protection locked="0"/>
    </xf>
    <xf numFmtId="49" fontId="115" fillId="0" borderId="67" xfId="0" applyNumberFormat="1" applyFont="1" applyFill="1" applyBorder="1" applyAlignment="1" applyProtection="1">
      <protection locked="0"/>
    </xf>
    <xf numFmtId="0" fontId="34" fillId="0" borderId="69" xfId="0" applyFont="1" applyBorder="1" applyAlignment="1" applyProtection="1"/>
    <xf numFmtId="0" fontId="34" fillId="0" borderId="0" xfId="0" applyFont="1"/>
    <xf numFmtId="0" fontId="0" fillId="0" borderId="0" xfId="0" applyAlignment="1">
      <alignment wrapText="1"/>
    </xf>
    <xf numFmtId="0" fontId="34" fillId="0" borderId="10" xfId="0" applyFont="1" applyBorder="1" applyAlignment="1">
      <alignment wrapText="1"/>
    </xf>
    <xf numFmtId="0" fontId="34" fillId="0" borderId="10" xfId="0" applyFont="1" applyBorder="1"/>
    <xf numFmtId="0" fontId="34" fillId="0" borderId="90" xfId="0" applyFont="1" applyBorder="1" applyAlignment="1">
      <alignment wrapText="1"/>
    </xf>
    <xf numFmtId="0" fontId="34" fillId="0" borderId="90" xfId="0" applyFont="1" applyBorder="1"/>
    <xf numFmtId="0" fontId="34" fillId="0" borderId="37" xfId="0" applyFont="1" applyBorder="1" applyAlignment="1">
      <alignment wrapText="1"/>
    </xf>
    <xf numFmtId="0" fontId="0" fillId="0" borderId="50" xfId="0" applyBorder="1"/>
    <xf numFmtId="0" fontId="34" fillId="0" borderId="48" xfId="0" applyFont="1" applyBorder="1" applyAlignment="1">
      <alignment wrapText="1"/>
    </xf>
    <xf numFmtId="0" fontId="34" fillId="0" borderId="49" xfId="0" applyFont="1" applyBorder="1"/>
    <xf numFmtId="0" fontId="148" fillId="0" borderId="51" xfId="0" applyFont="1" applyBorder="1"/>
    <xf numFmtId="0" fontId="148" fillId="0" borderId="57" xfId="0" applyFont="1" applyBorder="1"/>
    <xf numFmtId="0" fontId="148" fillId="0" borderId="52" xfId="0" applyFont="1" applyBorder="1"/>
    <xf numFmtId="0" fontId="0" fillId="0" borderId="231" xfId="0" applyBorder="1"/>
    <xf numFmtId="3" fontId="0" fillId="0" borderId="0" xfId="0" applyNumberFormat="1"/>
    <xf numFmtId="3" fontId="28" fillId="26" borderId="10" xfId="62" applyNumberFormat="1" applyFont="1" applyFill="1" applyBorder="1" applyAlignment="1" applyProtection="1">
      <protection locked="0"/>
    </xf>
    <xf numFmtId="3" fontId="28" fillId="26" borderId="10" xfId="62" applyNumberFormat="1" applyFont="1" applyFill="1" applyBorder="1" applyProtection="1">
      <protection locked="0"/>
    </xf>
    <xf numFmtId="0" fontId="28" fillId="0" borderId="10" xfId="0" applyFont="1" applyBorder="1"/>
    <xf numFmtId="3" fontId="28" fillId="0" borderId="10" xfId="0" applyNumberFormat="1" applyFont="1" applyBorder="1"/>
    <xf numFmtId="49" fontId="147" fillId="0" borderId="10" xfId="0" applyNumberFormat="1" applyFont="1" applyFill="1" applyBorder="1" applyAlignment="1" applyProtection="1">
      <alignment wrapText="1"/>
      <protection locked="0"/>
    </xf>
    <xf numFmtId="49" fontId="147" fillId="0" borderId="10" xfId="0" applyNumberFormat="1" applyFont="1" applyFill="1" applyBorder="1" applyAlignment="1" applyProtection="1">
      <protection locked="0"/>
    </xf>
    <xf numFmtId="0" fontId="142" fillId="0" borderId="10" xfId="0" applyFont="1" applyBorder="1" applyAlignment="1" applyProtection="1"/>
    <xf numFmtId="3" fontId="142" fillId="0" borderId="10" xfId="0" applyNumberFormat="1" applyFont="1" applyBorder="1" applyProtection="1"/>
    <xf numFmtId="0" fontId="142" fillId="0" borderId="10" xfId="0" applyFont="1" applyBorder="1"/>
    <xf numFmtId="2" fontId="0" fillId="0" borderId="0" xfId="0" applyNumberFormat="1"/>
    <xf numFmtId="3" fontId="0" fillId="0" borderId="0" xfId="0" quotePrefix="1" applyNumberFormat="1" applyProtection="1"/>
    <xf numFmtId="0" fontId="25" fillId="0" borderId="126" xfId="0" applyFont="1" applyBorder="1" applyAlignment="1" applyProtection="1">
      <alignment vertical="distributed"/>
    </xf>
    <xf numFmtId="15" fontId="27" fillId="0" borderId="232" xfId="0" applyNumberFormat="1" applyFont="1" applyFill="1" applyBorder="1" applyAlignment="1" applyProtection="1">
      <alignment horizontal="center" vertical="center" wrapText="1"/>
    </xf>
    <xf numFmtId="15" fontId="27" fillId="0" borderId="233" xfId="0" applyNumberFormat="1" applyFont="1" applyFill="1" applyBorder="1" applyAlignment="1" applyProtection="1">
      <alignment horizontal="center" vertical="center" wrapText="1"/>
    </xf>
    <xf numFmtId="0" fontId="6" fillId="0" borderId="48" xfId="0" applyFont="1" applyBorder="1" applyAlignment="1" applyProtection="1"/>
    <xf numFmtId="0" fontId="6" fillId="0" borderId="51" xfId="0" applyFont="1" applyBorder="1" applyAlignment="1" applyProtection="1"/>
    <xf numFmtId="3" fontId="6" fillId="0" borderId="49" xfId="62" applyNumberFormat="1" applyFont="1" applyFill="1" applyBorder="1" applyAlignment="1" applyProtection="1"/>
    <xf numFmtId="3" fontId="6" fillId="0" borderId="52" xfId="62" applyNumberFormat="1" applyFont="1" applyFill="1" applyBorder="1" applyAlignment="1" applyProtection="1"/>
    <xf numFmtId="0" fontId="0" fillId="0" borderId="37" xfId="0" applyFill="1" applyBorder="1" applyProtection="1"/>
    <xf numFmtId="0" fontId="0" fillId="0" borderId="63" xfId="0" applyFill="1" applyBorder="1" applyAlignment="1" applyProtection="1">
      <alignment horizontal="center"/>
    </xf>
    <xf numFmtId="0" fontId="0" fillId="0" borderId="53" xfId="0" applyFill="1" applyBorder="1" applyAlignment="1" applyProtection="1">
      <alignment horizontal="center"/>
    </xf>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3" fontId="2" fillId="28" borderId="10" xfId="0" applyNumberFormat="1" applyFont="1" applyFill="1" applyBorder="1" applyAlignment="1" applyProtection="1">
      <alignment horizontal="right" vertical="center" wrapText="1"/>
      <protection locked="0"/>
    </xf>
    <xf numFmtId="3" fontId="2" fillId="23" borderId="10" xfId="0" applyNumberFormat="1" applyFont="1" applyFill="1" applyBorder="1" applyAlignment="1" applyProtection="1">
      <alignment vertical="center" wrapText="1"/>
      <protection locked="0"/>
    </xf>
    <xf numFmtId="3" fontId="2" fillId="22" borderId="10" xfId="0" applyNumberFormat="1" applyFont="1" applyFill="1" applyBorder="1" applyAlignment="1" applyProtection="1">
      <alignment vertical="center" wrapText="1"/>
      <protection locked="0"/>
    </xf>
    <xf numFmtId="49" fontId="0" fillId="35" borderId="10" xfId="0" applyNumberFormat="1" applyFill="1" applyBorder="1" applyAlignment="1" applyProtection="1">
      <alignment horizontal="left"/>
      <protection locked="0"/>
    </xf>
    <xf numFmtId="49" fontId="0" fillId="0" borderId="10" xfId="0" applyNumberFormat="1" applyFill="1" applyBorder="1" applyProtection="1">
      <protection locked="0"/>
    </xf>
    <xf numFmtId="49" fontId="146" fillId="0" borderId="10" xfId="0" applyNumberFormat="1" applyFont="1" applyFill="1" applyBorder="1" applyProtection="1">
      <protection locked="0"/>
    </xf>
    <xf numFmtId="4" fontId="28" fillId="26" borderId="59" xfId="0" applyNumberFormat="1" applyFont="1" applyFill="1" applyBorder="1" applyAlignment="1" applyProtection="1">
      <protection locked="0"/>
    </xf>
    <xf numFmtId="4" fontId="1" fillId="37" borderId="66" xfId="62" applyNumberFormat="1" applyFont="1" applyFill="1" applyBorder="1" applyAlignment="1" applyProtection="1">
      <protection locked="0"/>
    </xf>
    <xf numFmtId="4" fontId="1" fillId="37" borderId="66" xfId="62" applyNumberFormat="1" applyFont="1" applyFill="1" applyBorder="1" applyProtection="1">
      <protection locked="0"/>
    </xf>
    <xf numFmtId="15" fontId="26" fillId="0" borderId="53" xfId="0" applyNumberFormat="1" applyFont="1" applyFill="1" applyBorder="1" applyAlignment="1" applyProtection="1"/>
    <xf numFmtId="15" fontId="26" fillId="0" borderId="212" xfId="0" applyNumberFormat="1" applyFont="1" applyFill="1" applyBorder="1" applyAlignment="1" applyProtection="1">
      <alignment horizontal="center"/>
    </xf>
    <xf numFmtId="0" fontId="26" fillId="0" borderId="48" xfId="0" applyFont="1" applyFill="1" applyBorder="1" applyProtection="1"/>
    <xf numFmtId="0" fontId="26" fillId="0" borderId="51" xfId="0" applyFont="1" applyFill="1" applyBorder="1" applyProtection="1"/>
    <xf numFmtId="0" fontId="0" fillId="0" borderId="57" xfId="0" applyBorder="1"/>
    <xf numFmtId="15" fontId="27" fillId="0" borderId="105" xfId="0" applyNumberFormat="1" applyFont="1" applyFill="1" applyBorder="1" applyAlignment="1" applyProtection="1">
      <alignment horizontal="center" vertical="center" wrapText="1"/>
    </xf>
    <xf numFmtId="3" fontId="0" fillId="26" borderId="68" xfId="62" applyNumberFormat="1" applyFont="1" applyFill="1" applyBorder="1" applyProtection="1">
      <protection locked="0"/>
    </xf>
    <xf numFmtId="49" fontId="150" fillId="38" borderId="41" xfId="0" applyNumberFormat="1" applyFont="1" applyFill="1" applyBorder="1" applyAlignment="1" applyProtection="1">
      <alignment horizontal="center" vertical="center" wrapText="1"/>
    </xf>
    <xf numFmtId="3" fontId="151" fillId="0" borderId="10" xfId="0" applyNumberFormat="1" applyFont="1" applyFill="1" applyBorder="1" applyAlignment="1" applyProtection="1"/>
    <xf numFmtId="3" fontId="151" fillId="0" borderId="58" xfId="0" applyNumberFormat="1" applyFont="1" applyFill="1" applyBorder="1" applyAlignment="1" applyProtection="1"/>
    <xf numFmtId="3" fontId="151" fillId="26" borderId="59" xfId="0" applyNumberFormat="1" applyFont="1" applyFill="1" applyBorder="1" applyAlignment="1" applyProtection="1">
      <protection locked="0"/>
    </xf>
    <xf numFmtId="4" fontId="151" fillId="26" borderId="59" xfId="0" applyNumberFormat="1" applyFont="1" applyFill="1" applyBorder="1" applyAlignment="1" applyProtection="1">
      <protection locked="0"/>
    </xf>
    <xf numFmtId="164" fontId="28" fillId="26" borderId="59" xfId="62" applyFont="1" applyFill="1" applyBorder="1" applyAlignment="1" applyProtection="1">
      <protection locked="0"/>
    </xf>
    <xf numFmtId="164" fontId="28" fillId="0" borderId="10" xfId="62" applyFont="1" applyFill="1" applyBorder="1" applyAlignment="1" applyProtection="1"/>
    <xf numFmtId="164" fontId="28" fillId="0" borderId="58" xfId="62" applyFont="1" applyFill="1" applyBorder="1" applyAlignment="1" applyProtection="1"/>
    <xf numFmtId="9" fontId="138" fillId="0" borderId="41" xfId="0" applyNumberFormat="1" applyFont="1" applyFill="1" applyBorder="1" applyAlignment="1" applyProtection="1">
      <alignment horizontal="center" vertical="center" wrapText="1"/>
      <protection locked="0"/>
    </xf>
    <xf numFmtId="9" fontId="2" fillId="22" borderId="10" xfId="0" applyNumberFormat="1" applyFont="1" applyFill="1" applyBorder="1" applyAlignment="1" applyProtection="1">
      <alignment vertical="center"/>
      <protection locked="0"/>
    </xf>
    <xf numFmtId="0" fontId="138" fillId="0" borderId="41" xfId="0" applyNumberFormat="1" applyFont="1" applyFill="1" applyBorder="1" applyAlignment="1" applyProtection="1">
      <alignment horizontal="center" vertical="center" wrapText="1"/>
      <protection locked="0"/>
    </xf>
    <xf numFmtId="9" fontId="66" fillId="22" borderId="10" xfId="0" applyNumberFormat="1" applyFont="1" applyFill="1" applyBorder="1" applyAlignment="1" applyProtection="1">
      <alignment vertical="center"/>
      <protection locked="0"/>
    </xf>
    <xf numFmtId="9" fontId="66" fillId="29" borderId="10" xfId="0" applyNumberFormat="1" applyFont="1" applyFill="1" applyBorder="1" applyAlignment="1" applyProtection="1">
      <alignment vertical="center"/>
      <protection locked="0"/>
    </xf>
    <xf numFmtId="9" fontId="66" fillId="28" borderId="10" xfId="0" applyNumberFormat="1" applyFont="1" applyFill="1" applyBorder="1" applyAlignment="1" applyProtection="1">
      <alignment horizontal="right" vertical="center"/>
      <protection locked="0"/>
    </xf>
    <xf numFmtId="164" fontId="28" fillId="0" borderId="0" xfId="0" applyNumberFormat="1" applyFont="1" applyAlignment="1" applyProtection="1">
      <alignment horizontal="right"/>
    </xf>
    <xf numFmtId="164" fontId="14" fillId="0" borderId="0" xfId="0" applyNumberFormat="1" applyFont="1" applyAlignment="1" applyProtection="1">
      <alignment horizontal="center"/>
    </xf>
    <xf numFmtId="49" fontId="26" fillId="0" borderId="67" xfId="0" applyNumberFormat="1" applyFont="1" applyFill="1" applyBorder="1" applyAlignment="1" applyProtection="1">
      <alignment horizontal="left" wrapText="1"/>
      <protection locked="0"/>
    </xf>
    <xf numFmtId="49" fontId="26" fillId="0" borderId="67" xfId="0" applyNumberFormat="1" applyFont="1" applyFill="1" applyBorder="1" applyAlignment="1" applyProtection="1">
      <alignment vertical="top" wrapText="1"/>
      <protection locked="0"/>
    </xf>
    <xf numFmtId="3" fontId="21" fillId="26" borderId="10" xfId="62" applyNumberFormat="1" applyFont="1" applyFill="1" applyBorder="1" applyAlignment="1" applyProtection="1">
      <protection locked="0"/>
    </xf>
    <xf numFmtId="3" fontId="21" fillId="26" borderId="241" xfId="62" applyNumberFormat="1" applyFont="1" applyFill="1" applyBorder="1" applyAlignment="1" applyProtection="1">
      <protection locked="0"/>
    </xf>
    <xf numFmtId="1" fontId="0" fillId="26" borderId="10" xfId="0" applyNumberFormat="1" applyFill="1" applyBorder="1" applyAlignment="1" applyProtection="1">
      <alignment horizontal="center"/>
      <protection locked="0"/>
    </xf>
    <xf numFmtId="167" fontId="1" fillId="26" borderId="242" xfId="62" applyNumberFormat="1" applyFont="1" applyFill="1" applyBorder="1" applyAlignment="1" applyProtection="1">
      <alignment horizontal="center"/>
      <protection locked="0"/>
    </xf>
    <xf numFmtId="1" fontId="0" fillId="26" borderId="58" xfId="0" applyNumberFormat="1" applyFill="1" applyBorder="1" applyAlignment="1" applyProtection="1">
      <alignment horizontal="center"/>
      <protection locked="0"/>
    </xf>
    <xf numFmtId="164" fontId="152" fillId="0" borderId="25" xfId="59" applyFont="1" applyFill="1" applyBorder="1" applyAlignment="1" applyProtection="1">
      <alignment vertical="center"/>
    </xf>
    <xf numFmtId="164" fontId="153" fillId="0" borderId="25" xfId="59" applyFont="1" applyFill="1" applyBorder="1" applyAlignment="1" applyProtection="1">
      <alignment vertical="center"/>
    </xf>
    <xf numFmtId="0" fontId="153" fillId="0" borderId="25" xfId="0" applyFont="1" applyBorder="1" applyProtection="1"/>
    <xf numFmtId="0" fontId="153" fillId="0" borderId="25" xfId="0" applyFont="1" applyBorder="1"/>
    <xf numFmtId="0" fontId="153" fillId="22" borderId="92" xfId="0" applyFont="1" applyFill="1" applyBorder="1"/>
    <xf numFmtId="0" fontId="154" fillId="0" borderId="10" xfId="0" applyFont="1" applyFill="1" applyBorder="1" applyAlignment="1" applyProtection="1">
      <alignment horizontal="center"/>
    </xf>
    <xf numFmtId="3" fontId="154" fillId="22" borderId="10" xfId="0" applyNumberFormat="1" applyFont="1" applyFill="1" applyBorder="1" applyAlignment="1" applyProtection="1">
      <alignment vertical="center"/>
      <protection locked="0"/>
    </xf>
    <xf numFmtId="3" fontId="154" fillId="22" borderId="10" xfId="0" applyNumberFormat="1" applyFont="1" applyFill="1" applyBorder="1" applyAlignment="1" applyProtection="1">
      <alignment horizontal="right" vertical="center"/>
      <protection locked="0"/>
    </xf>
    <xf numFmtId="3" fontId="154" fillId="22" borderId="10" xfId="0" applyNumberFormat="1" applyFont="1" applyFill="1" applyBorder="1" applyAlignment="1" applyProtection="1">
      <alignment horizontal="right" vertical="center" wrapText="1"/>
      <protection locked="0"/>
    </xf>
    <xf numFmtId="3" fontId="154" fillId="22" borderId="26" xfId="0" applyNumberFormat="1" applyFont="1" applyFill="1" applyBorder="1" applyAlignment="1" applyProtection="1">
      <alignment vertical="center"/>
      <protection locked="0"/>
    </xf>
    <xf numFmtId="0" fontId="154" fillId="24" borderId="10" xfId="0" applyFont="1" applyFill="1" applyBorder="1" applyAlignment="1" applyProtection="1">
      <alignment horizontal="center"/>
    </xf>
    <xf numFmtId="3" fontId="154" fillId="28" borderId="10" xfId="0" applyNumberFormat="1" applyFont="1" applyFill="1" applyBorder="1" applyAlignment="1" applyProtection="1">
      <alignment vertical="center"/>
      <protection locked="0"/>
    </xf>
    <xf numFmtId="3" fontId="154" fillId="23" borderId="10" xfId="0" applyNumberFormat="1" applyFont="1" applyFill="1" applyBorder="1" applyAlignment="1" applyProtection="1">
      <alignment vertical="center"/>
      <protection locked="0"/>
    </xf>
    <xf numFmtId="3" fontId="154" fillId="23" borderId="10" xfId="0" applyNumberFormat="1" applyFont="1" applyFill="1" applyBorder="1" applyAlignment="1" applyProtection="1">
      <alignment horizontal="right" vertical="center"/>
      <protection locked="0"/>
    </xf>
    <xf numFmtId="3" fontId="154" fillId="23" borderId="10" xfId="0" applyNumberFormat="1" applyFont="1" applyFill="1" applyBorder="1" applyAlignment="1" applyProtection="1">
      <alignment horizontal="right" vertical="center" wrapText="1"/>
      <protection locked="0"/>
    </xf>
    <xf numFmtId="3" fontId="154" fillId="23" borderId="26" xfId="0" applyNumberFormat="1" applyFont="1" applyFill="1" applyBorder="1" applyAlignment="1" applyProtection="1">
      <alignment vertical="center"/>
      <protection locked="0"/>
    </xf>
    <xf numFmtId="1" fontId="154" fillId="22" borderId="10" xfId="0" applyNumberFormat="1" applyFont="1" applyFill="1" applyBorder="1" applyAlignment="1" applyProtection="1">
      <alignment vertical="center"/>
      <protection locked="0"/>
    </xf>
    <xf numFmtId="3" fontId="154" fillId="28" borderId="10" xfId="0" applyNumberFormat="1" applyFont="1" applyFill="1" applyBorder="1" applyAlignment="1" applyProtection="1">
      <alignment horizontal="right" vertical="center"/>
      <protection locked="0"/>
    </xf>
    <xf numFmtId="9" fontId="154" fillId="28" borderId="10" xfId="0" applyNumberFormat="1" applyFont="1" applyFill="1" applyBorder="1" applyAlignment="1" applyProtection="1">
      <alignment horizontal="right" vertical="center"/>
      <protection locked="0"/>
    </xf>
    <xf numFmtId="3" fontId="154" fillId="28" borderId="10" xfId="0" applyNumberFormat="1" applyFont="1" applyFill="1" applyBorder="1" applyAlignment="1" applyProtection="1">
      <alignment horizontal="right" vertical="center" wrapText="1"/>
      <protection locked="0"/>
    </xf>
    <xf numFmtId="3" fontId="154" fillId="28" borderId="26" xfId="0" applyNumberFormat="1" applyFont="1" applyFill="1" applyBorder="1" applyAlignment="1" applyProtection="1">
      <alignment vertical="center"/>
      <protection locked="0"/>
    </xf>
    <xf numFmtId="3" fontId="154" fillId="29" borderId="10" xfId="0" applyNumberFormat="1" applyFont="1" applyFill="1" applyBorder="1" applyAlignment="1" applyProtection="1">
      <alignment vertical="center"/>
      <protection locked="0"/>
    </xf>
    <xf numFmtId="3" fontId="154" fillId="29" borderId="10" xfId="0" applyNumberFormat="1" applyFont="1" applyFill="1" applyBorder="1" applyAlignment="1" applyProtection="1">
      <alignment horizontal="right" vertical="center"/>
      <protection locked="0"/>
    </xf>
    <xf numFmtId="3" fontId="154" fillId="29" borderId="10" xfId="0" applyNumberFormat="1" applyFont="1" applyFill="1" applyBorder="1" applyAlignment="1" applyProtection="1">
      <alignment horizontal="right" vertical="center" wrapText="1"/>
      <protection locked="0"/>
    </xf>
    <xf numFmtId="3" fontId="154" fillId="29" borderId="26" xfId="0" applyNumberFormat="1" applyFont="1" applyFill="1" applyBorder="1" applyAlignment="1" applyProtection="1">
      <alignment vertical="center"/>
      <protection locked="0"/>
    </xf>
    <xf numFmtId="3" fontId="154" fillId="28" borderId="26" xfId="0" applyNumberFormat="1" applyFont="1" applyFill="1" applyBorder="1" applyAlignment="1" applyProtection="1">
      <alignment horizontal="right" vertical="center"/>
      <protection locked="0"/>
    </xf>
    <xf numFmtId="9" fontId="154" fillId="29" borderId="10" xfId="0" applyNumberFormat="1" applyFont="1" applyFill="1" applyBorder="1" applyAlignment="1" applyProtection="1">
      <alignment horizontal="right" vertical="center"/>
      <protection locked="0"/>
    </xf>
    <xf numFmtId="3" fontId="154" fillId="0" borderId="10" xfId="0" applyNumberFormat="1" applyFont="1" applyFill="1" applyBorder="1" applyAlignment="1" applyProtection="1">
      <alignment vertical="center"/>
    </xf>
    <xf numFmtId="3" fontId="154" fillId="0" borderId="10" xfId="0" applyNumberFormat="1" applyFont="1" applyFill="1" applyBorder="1" applyAlignment="1" applyProtection="1">
      <alignment horizontal="right" vertical="center"/>
    </xf>
    <xf numFmtId="3" fontId="154" fillId="24" borderId="10" xfId="0" applyNumberFormat="1" applyFont="1" applyFill="1" applyBorder="1" applyAlignment="1" applyProtection="1">
      <alignment vertical="center"/>
    </xf>
    <xf numFmtId="3" fontId="154" fillId="24" borderId="10" xfId="0" applyNumberFormat="1" applyFont="1" applyFill="1" applyBorder="1" applyAlignment="1" applyProtection="1">
      <alignment horizontal="right" vertical="center"/>
    </xf>
    <xf numFmtId="0" fontId="154" fillId="0" borderId="87" xfId="0" applyFont="1" applyFill="1" applyBorder="1" applyAlignment="1" applyProtection="1">
      <alignment horizontal="center"/>
    </xf>
    <xf numFmtId="0" fontId="0" fillId="0" borderId="23" xfId="0" applyBorder="1" applyAlignment="1" applyProtection="1">
      <alignment horizontal="center" vertical="center"/>
    </xf>
    <xf numFmtId="0" fontId="0" fillId="25" borderId="10" xfId="0" applyNumberFormat="1" applyFill="1" applyBorder="1" applyAlignment="1" applyProtection="1">
      <alignment horizontal="center"/>
      <protection locked="0"/>
    </xf>
    <xf numFmtId="0" fontId="0" fillId="25" borderId="57" xfId="0" applyNumberFormat="1" applyFill="1" applyBorder="1" applyAlignment="1" applyProtection="1">
      <alignment horizontal="center"/>
      <protection locked="0"/>
    </xf>
    <xf numFmtId="15" fontId="142" fillId="0" borderId="0" xfId="0" applyNumberFormat="1" applyFont="1" applyAlignment="1" applyProtection="1">
      <alignment horizontal="center"/>
    </xf>
    <xf numFmtId="0" fontId="34" fillId="0" borderId="10" xfId="0" applyFont="1" applyBorder="1" applyAlignment="1" applyProtection="1">
      <alignment horizontal="center" vertical="center" wrapText="1"/>
    </xf>
    <xf numFmtId="9" fontId="156" fillId="27" borderId="10" xfId="61" applyFont="1" applyFill="1" applyBorder="1" applyAlignment="1" applyProtection="1">
      <alignment horizontal="center" vertical="center" wrapText="1"/>
    </xf>
    <xf numFmtId="9" fontId="21" fillId="20" borderId="10" xfId="0" applyNumberFormat="1" applyFont="1" applyFill="1" applyBorder="1" applyAlignment="1" applyProtection="1">
      <alignment horizontal="left" vertical="center" wrapText="1"/>
    </xf>
    <xf numFmtId="3" fontId="21" fillId="20" borderId="10" xfId="0" applyNumberFormat="1" applyFont="1" applyFill="1" applyBorder="1" applyAlignment="1" applyProtection="1">
      <alignment vertical="center" wrapText="1"/>
    </xf>
    <xf numFmtId="9" fontId="15" fillId="20" borderId="0" xfId="61" applyFont="1" applyFill="1" applyBorder="1"/>
    <xf numFmtId="3" fontId="21" fillId="20" borderId="10" xfId="0" applyNumberFormat="1" applyFont="1" applyFill="1" applyBorder="1" applyAlignment="1" applyProtection="1">
      <alignment horizontal="left" vertical="center" wrapText="1"/>
    </xf>
    <xf numFmtId="164" fontId="28" fillId="0" borderId="0" xfId="0" applyNumberFormat="1" applyFont="1" applyAlignment="1" applyProtection="1">
      <alignment horizontal="right"/>
    </xf>
    <xf numFmtId="164" fontId="14" fillId="0" borderId="0" xfId="0" applyNumberFormat="1" applyFont="1" applyAlignment="1" applyProtection="1">
      <alignment horizontal="center"/>
    </xf>
    <xf numFmtId="4" fontId="0" fillId="0" borderId="70" xfId="0" applyNumberFormat="1" applyFill="1" applyBorder="1" applyProtection="1"/>
    <xf numFmtId="4" fontId="0" fillId="0" borderId="71" xfId="0" applyNumberFormat="1" applyBorder="1" applyProtection="1"/>
    <xf numFmtId="3" fontId="0" fillId="25" borderId="10" xfId="0" applyNumberFormat="1" applyFill="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xf>
    <xf numFmtId="9" fontId="2" fillId="28" borderId="10" xfId="0" applyNumberFormat="1" applyFont="1" applyFill="1" applyBorder="1" applyAlignment="1" applyProtection="1">
      <alignment horizontal="right" vertical="center"/>
      <protection locked="0"/>
    </xf>
    <xf numFmtId="9" fontId="2" fillId="28" borderId="10" xfId="0" applyNumberFormat="1" applyFont="1" applyFill="1" applyBorder="1" applyAlignment="1" applyProtection="1">
      <alignment vertical="center"/>
      <protection locked="0"/>
    </xf>
    <xf numFmtId="164" fontId="157" fillId="0" borderId="25" xfId="59" applyFont="1" applyFill="1" applyBorder="1" applyAlignment="1" applyProtection="1"/>
    <xf numFmtId="0" fontId="0" fillId="0" borderId="37" xfId="0" applyBorder="1" applyProtection="1"/>
    <xf numFmtId="0" fontId="32" fillId="0" borderId="36" xfId="0" applyFont="1" applyBorder="1" applyAlignment="1" applyProtection="1">
      <alignment horizontal="center" vertical="center"/>
    </xf>
    <xf numFmtId="0" fontId="32" fillId="0" borderId="50" xfId="0" applyFont="1" applyBorder="1" applyAlignment="1" applyProtection="1">
      <alignment horizontal="center" vertical="center" wrapText="1"/>
    </xf>
    <xf numFmtId="0" fontId="14" fillId="0" borderId="48" xfId="0" applyFont="1" applyBorder="1" applyAlignment="1" applyProtection="1">
      <alignment horizontal="center"/>
    </xf>
    <xf numFmtId="1" fontId="0" fillId="0" borderId="49" xfId="0" applyNumberFormat="1" applyFill="1" applyBorder="1" applyAlignment="1" applyProtection="1">
      <alignment horizontal="center"/>
    </xf>
    <xf numFmtId="1" fontId="0" fillId="42" borderId="49" xfId="0" applyNumberFormat="1" applyFill="1" applyBorder="1" applyAlignment="1" applyProtection="1">
      <alignment horizontal="center"/>
    </xf>
    <xf numFmtId="0" fontId="14" fillId="0" borderId="51" xfId="0" applyFont="1" applyBorder="1" applyAlignment="1" applyProtection="1">
      <alignment horizontal="center"/>
    </xf>
    <xf numFmtId="1" fontId="21" fillId="0" borderId="57" xfId="0" applyNumberFormat="1" applyFont="1" applyFill="1" applyBorder="1" applyAlignment="1" applyProtection="1">
      <alignment horizontal="center"/>
      <protection locked="0"/>
    </xf>
    <xf numFmtId="1" fontId="0" fillId="0" borderId="57" xfId="0" applyNumberFormat="1" applyFill="1" applyBorder="1" applyAlignment="1" applyProtection="1">
      <alignment horizontal="center"/>
      <protection locked="0"/>
    </xf>
    <xf numFmtId="1" fontId="0" fillId="0" borderId="52" xfId="0" applyNumberFormat="1" applyFill="1" applyBorder="1" applyAlignment="1" applyProtection="1">
      <alignment horizontal="center"/>
    </xf>
    <xf numFmtId="166" fontId="32" fillId="19" borderId="255" xfId="0" applyNumberFormat="1" applyFont="1" applyFill="1" applyBorder="1" applyAlignment="1" applyProtection="1">
      <alignment horizontal="center"/>
      <protection locked="0"/>
    </xf>
    <xf numFmtId="3" fontId="0" fillId="25"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0" fontId="0" fillId="0" borderId="51" xfId="0" applyFill="1" applyBorder="1" applyAlignment="1" applyProtection="1">
      <alignment horizontal="center" wrapText="1"/>
    </xf>
    <xf numFmtId="3" fontId="1" fillId="0" borderId="57" xfId="62" applyNumberFormat="1" applyFont="1" applyFill="1" applyBorder="1" applyAlignment="1" applyProtection="1">
      <alignment horizontal="center" vertical="center"/>
    </xf>
    <xf numFmtId="3" fontId="0" fillId="0" borderId="57" xfId="0" applyNumberFormat="1" applyBorder="1" applyAlignment="1" applyProtection="1">
      <alignment horizontal="right" wrapText="1"/>
    </xf>
    <xf numFmtId="3" fontId="0" fillId="0" borderId="52" xfId="0" applyNumberFormat="1" applyBorder="1" applyAlignment="1" applyProtection="1">
      <alignment horizontal="right" wrapText="1"/>
    </xf>
    <xf numFmtId="0" fontId="0" fillId="0" borderId="36" xfId="0" applyFill="1" applyBorder="1" applyAlignment="1" applyProtection="1">
      <alignment horizontal="center"/>
    </xf>
    <xf numFmtId="0" fontId="0" fillId="0" borderId="36" xfId="0" applyBorder="1" applyAlignment="1" applyProtection="1">
      <alignment horizontal="center"/>
    </xf>
    <xf numFmtId="0" fontId="0" fillId="0" borderId="36" xfId="0" applyBorder="1" applyAlignment="1" applyProtection="1">
      <alignment horizontal="center" wrapText="1"/>
    </xf>
    <xf numFmtId="0" fontId="0" fillId="0" borderId="50" xfId="0" applyBorder="1" applyAlignment="1" applyProtection="1">
      <alignment horizontal="center" wrapText="1"/>
    </xf>
    <xf numFmtId="0" fontId="0" fillId="0" borderId="48" xfId="0" applyBorder="1" applyAlignment="1" applyProtection="1">
      <alignment horizontal="center"/>
    </xf>
    <xf numFmtId="0" fontId="0" fillId="0" borderId="51" xfId="0" applyBorder="1" applyAlignment="1" applyProtection="1">
      <alignment horizontal="center"/>
    </xf>
    <xf numFmtId="0" fontId="0" fillId="25" borderId="52" xfId="0" applyNumberFormat="1" applyFill="1" applyBorder="1" applyAlignment="1" applyProtection="1">
      <alignment horizontal="center"/>
      <protection locked="0"/>
    </xf>
    <xf numFmtId="0" fontId="158" fillId="44" borderId="37" xfId="0" applyFont="1" applyFill="1" applyBorder="1" applyAlignment="1" applyProtection="1">
      <alignment horizontal="center"/>
    </xf>
    <xf numFmtId="0" fontId="158" fillId="0" borderId="36" xfId="0" applyFont="1" applyFill="1" applyBorder="1" applyAlignment="1" applyProtection="1">
      <alignment horizontal="center" wrapText="1"/>
    </xf>
    <xf numFmtId="0" fontId="142" fillId="0" borderId="36" xfId="0" applyFont="1" applyBorder="1" applyAlignment="1">
      <alignment horizontal="center" wrapText="1"/>
    </xf>
    <xf numFmtId="0" fontId="158" fillId="35" borderId="36" xfId="0" applyFont="1" applyFill="1" applyBorder="1" applyAlignment="1">
      <alignment horizontal="center" wrapText="1"/>
    </xf>
    <xf numFmtId="0" fontId="158" fillId="0" borderId="36" xfId="0" applyFont="1" applyBorder="1" applyAlignment="1">
      <alignment horizontal="center" wrapText="1"/>
    </xf>
    <xf numFmtId="0" fontId="142" fillId="0" borderId="36" xfId="0" applyFont="1" applyBorder="1" applyAlignment="1">
      <alignment horizontal="center" vertical="center" wrapText="1"/>
    </xf>
    <xf numFmtId="0" fontId="158" fillId="0" borderId="50" xfId="0" applyFont="1" applyFill="1" applyBorder="1" applyAlignment="1" applyProtection="1">
      <alignment horizontal="center" wrapText="1"/>
    </xf>
    <xf numFmtId="0" fontId="14" fillId="0" borderId="0" xfId="0" applyFont="1" applyBorder="1" applyAlignment="1">
      <alignment horizontal="center"/>
    </xf>
    <xf numFmtId="0" fontId="30" fillId="22" borderId="0" xfId="0" applyFont="1" applyFill="1" applyBorder="1" applyAlignment="1" applyProtection="1">
      <alignment horizontal="left" vertical="top" wrapText="1"/>
      <protection locked="0"/>
    </xf>
    <xf numFmtId="0" fontId="142" fillId="0" borderId="37" xfId="0" applyFont="1" applyFill="1" applyBorder="1" applyAlignment="1" applyProtection="1">
      <alignment horizontal="center" wrapText="1"/>
    </xf>
    <xf numFmtId="0" fontId="142" fillId="0" borderId="36" xfId="0" applyFont="1" applyFill="1" applyBorder="1" applyAlignment="1" applyProtection="1">
      <alignment wrapText="1"/>
    </xf>
    <xf numFmtId="0" fontId="142" fillId="0" borderId="36" xfId="0" applyFont="1" applyFill="1" applyBorder="1" applyAlignment="1" applyProtection="1">
      <alignment horizontal="center" wrapText="1"/>
    </xf>
    <xf numFmtId="0" fontId="142" fillId="0" borderId="50" xfId="0" applyFont="1" applyFill="1" applyBorder="1" applyAlignment="1" applyProtection="1">
      <alignment horizontal="center" wrapText="1"/>
    </xf>
    <xf numFmtId="0" fontId="30" fillId="22" borderId="103" xfId="0" applyFont="1" applyFill="1" applyBorder="1" applyAlignment="1" applyProtection="1">
      <alignment horizontal="left" vertical="top" wrapText="1"/>
      <protection locked="0"/>
    </xf>
    <xf numFmtId="0" fontId="30" fillId="22" borderId="103" xfId="0" applyFont="1" applyFill="1" applyBorder="1" applyAlignment="1" applyProtection="1">
      <alignment horizontal="left" vertical="top"/>
      <protection locked="0"/>
    </xf>
    <xf numFmtId="0" fontId="34" fillId="0" borderId="0" xfId="0" applyFont="1" applyFill="1" applyBorder="1" applyAlignment="1" applyProtection="1">
      <alignment horizontal="left" vertical="top" wrapText="1"/>
      <protection locked="0"/>
    </xf>
    <xf numFmtId="0" fontId="0" fillId="0" borderId="0" xfId="0" applyBorder="1" applyAlignment="1">
      <alignment horizontal="left" vertical="top"/>
    </xf>
    <xf numFmtId="0" fontId="109" fillId="22" borderId="258" xfId="0" applyFont="1" applyFill="1" applyBorder="1" applyAlignment="1" applyProtection="1">
      <alignment horizontal="right" vertical="top"/>
      <protection locked="0"/>
    </xf>
    <xf numFmtId="0" fontId="109" fillId="22" borderId="259" xfId="0" applyFont="1" applyFill="1" applyBorder="1" applyAlignment="1" applyProtection="1">
      <alignment horizontal="right" vertical="top"/>
      <protection locked="0"/>
    </xf>
    <xf numFmtId="0" fontId="30" fillId="22" borderId="104" xfId="0" applyFont="1" applyFill="1" applyBorder="1" applyAlignment="1" applyProtection="1">
      <alignment horizontal="left" vertical="top"/>
      <protection locked="0"/>
    </xf>
    <xf numFmtId="49" fontId="0" fillId="0" borderId="87" xfId="0" applyNumberFormat="1" applyFill="1" applyBorder="1" applyProtection="1">
      <protection locked="0"/>
    </xf>
    <xf numFmtId="49" fontId="0" fillId="35" borderId="90" xfId="0" applyNumberFormat="1" applyFill="1" applyBorder="1" applyAlignment="1" applyProtection="1">
      <alignment horizontal="left"/>
      <protection locked="0"/>
    </xf>
    <xf numFmtId="49" fontId="0" fillId="35" borderId="57" xfId="0" applyNumberFormat="1" applyFill="1" applyBorder="1" applyAlignment="1" applyProtection="1">
      <alignment horizontal="left"/>
      <protection locked="0"/>
    </xf>
    <xf numFmtId="0" fontId="0" fillId="56" borderId="10" xfId="0" applyFill="1" applyBorder="1"/>
    <xf numFmtId="1" fontId="0" fillId="56" borderId="10" xfId="0" applyNumberFormat="1" applyFill="1" applyBorder="1"/>
    <xf numFmtId="1" fontId="0" fillId="56" borderId="49" xfId="0" applyNumberFormat="1" applyFill="1" applyBorder="1"/>
    <xf numFmtId="0" fontId="0" fillId="55" borderId="10" xfId="0" applyFill="1" applyBorder="1"/>
    <xf numFmtId="1" fontId="0" fillId="55" borderId="10" xfId="0" applyNumberFormat="1" applyFill="1" applyBorder="1"/>
    <xf numFmtId="1" fontId="0" fillId="55" borderId="49" xfId="0" applyNumberFormat="1" applyFill="1" applyBorder="1"/>
    <xf numFmtId="0" fontId="0" fillId="56" borderId="57" xfId="0" applyFill="1" applyBorder="1"/>
    <xf numFmtId="1" fontId="0" fillId="56" borderId="57" xfId="0" applyNumberFormat="1" applyFill="1" applyBorder="1"/>
    <xf numFmtId="1" fontId="0" fillId="56" borderId="52" xfId="0" applyNumberFormat="1" applyFill="1" applyBorder="1"/>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49" fontId="0" fillId="0" borderId="42" xfId="0" applyNumberFormat="1" applyBorder="1" applyAlignment="1" applyProtection="1">
      <alignment horizontal="center"/>
      <protection locked="0"/>
    </xf>
    <xf numFmtId="164" fontId="111" fillId="0" borderId="0" xfId="0" applyNumberFormat="1" applyFont="1" applyAlignment="1" applyProtection="1">
      <alignment horizontal="center"/>
    </xf>
    <xf numFmtId="9" fontId="66" fillId="0" borderId="10" xfId="0" applyNumberFormat="1" applyFont="1" applyFill="1" applyBorder="1" applyAlignment="1" applyProtection="1">
      <alignment vertical="center"/>
    </xf>
    <xf numFmtId="9" fontId="66" fillId="0" borderId="54" xfId="0" applyNumberFormat="1" applyFont="1" applyFill="1" applyBorder="1" applyAlignment="1" applyProtection="1">
      <alignment vertical="center"/>
    </xf>
    <xf numFmtId="49" fontId="194" fillId="0" borderId="263" xfId="0" applyNumberFormat="1" applyFont="1" applyFill="1" applyBorder="1" applyAlignment="1" applyProtection="1">
      <alignment horizontal="left" vertical="center" wrapText="1"/>
      <protection locked="0"/>
    </xf>
    <xf numFmtId="3" fontId="0" fillId="0" borderId="10" xfId="0" applyNumberFormat="1" applyFont="1" applyBorder="1" applyAlignment="1" applyProtection="1">
      <alignment vertical="center" wrapText="1"/>
    </xf>
    <xf numFmtId="0" fontId="0" fillId="56" borderId="90" xfId="0" applyFill="1" applyBorder="1"/>
    <xf numFmtId="1" fontId="0" fillId="56" borderId="90" xfId="0" applyNumberFormat="1" applyFill="1" applyBorder="1"/>
    <xf numFmtId="1" fontId="0" fillId="56" borderId="210" xfId="0" applyNumberFormat="1" applyFill="1" applyBorder="1"/>
    <xf numFmtId="0" fontId="21" fillId="35" borderId="87" xfId="0" applyNumberFormat="1" applyFont="1" applyFill="1" applyBorder="1" applyAlignment="1" applyProtection="1">
      <alignment horizontal="center" vertical="center"/>
      <protection locked="0"/>
    </xf>
    <xf numFmtId="0" fontId="21" fillId="35" borderId="87" xfId="0" applyNumberFormat="1" applyFont="1" applyFill="1" applyBorder="1" applyAlignment="1" applyProtection="1">
      <alignment horizontal="center" vertical="center"/>
    </xf>
    <xf numFmtId="3" fontId="0" fillId="35" borderId="10" xfId="0" applyNumberFormat="1" applyFill="1" applyBorder="1" applyAlignment="1" applyProtection="1">
      <alignment horizontal="center" vertical="center"/>
      <protection locked="0"/>
    </xf>
    <xf numFmtId="3" fontId="0" fillId="35" borderId="10" xfId="0" applyNumberFormat="1" applyFill="1" applyBorder="1" applyAlignment="1" applyProtection="1">
      <alignment horizontal="center" vertical="center"/>
    </xf>
    <xf numFmtId="1" fontId="21" fillId="35" borderId="10" xfId="0" applyNumberFormat="1" applyFont="1" applyFill="1" applyBorder="1" applyAlignment="1" applyProtection="1">
      <alignment horizontal="center" vertical="center"/>
    </xf>
    <xf numFmtId="0" fontId="0" fillId="35" borderId="10" xfId="0" applyNumberFormat="1" applyFill="1" applyBorder="1" applyAlignment="1" applyProtection="1">
      <alignment horizontal="center" vertical="center"/>
      <protection locked="0"/>
    </xf>
    <xf numFmtId="1" fontId="0" fillId="35" borderId="49" xfId="0" applyNumberFormat="1" applyFill="1" applyBorder="1" applyAlignment="1" applyProtection="1">
      <alignment horizontal="center" vertical="center"/>
    </xf>
    <xf numFmtId="0" fontId="21" fillId="35" borderId="10" xfId="0" applyNumberFormat="1" applyFont="1" applyFill="1" applyBorder="1" applyAlignment="1" applyProtection="1">
      <alignment horizontal="center" vertical="center"/>
      <protection locked="0"/>
    </xf>
    <xf numFmtId="0" fontId="21" fillId="35" borderId="10" xfId="0" applyNumberFormat="1" applyFont="1" applyFill="1" applyBorder="1" applyAlignment="1" applyProtection="1">
      <alignment horizontal="center" vertical="center"/>
    </xf>
    <xf numFmtId="0" fontId="21" fillId="35" borderId="90" xfId="0" applyNumberFormat="1" applyFont="1" applyFill="1" applyBorder="1" applyAlignment="1" applyProtection="1">
      <alignment horizontal="center" vertical="center"/>
      <protection locked="0"/>
    </xf>
    <xf numFmtId="3" fontId="0" fillId="35" borderId="10" xfId="0" applyNumberFormat="1" applyFill="1" applyBorder="1" applyAlignment="1" applyProtection="1">
      <alignment horizontal="center" vertical="top"/>
      <protection locked="0"/>
    </xf>
    <xf numFmtId="3" fontId="0" fillId="35" borderId="10" xfId="0" applyNumberFormat="1" applyFill="1" applyBorder="1" applyAlignment="1" applyProtection="1">
      <alignment horizontal="center"/>
      <protection locked="0"/>
    </xf>
    <xf numFmtId="0" fontId="21" fillId="35" borderId="90" xfId="0" applyNumberFormat="1" applyFont="1" applyFill="1" applyBorder="1" applyAlignment="1" applyProtection="1">
      <alignment horizontal="center" vertical="center"/>
    </xf>
    <xf numFmtId="3" fontId="0" fillId="35" borderId="90" xfId="0" applyNumberFormat="1" applyFill="1" applyBorder="1" applyAlignment="1" applyProtection="1">
      <alignment horizontal="center" vertical="top"/>
      <protection locked="0"/>
    </xf>
    <xf numFmtId="1" fontId="0" fillId="35" borderId="90" xfId="0" applyNumberFormat="1" applyFill="1" applyBorder="1" applyAlignment="1" applyProtection="1">
      <alignment horizontal="center"/>
    </xf>
    <xf numFmtId="3" fontId="0" fillId="35" borderId="90" xfId="0" applyNumberFormat="1" applyFill="1" applyBorder="1" applyAlignment="1" applyProtection="1">
      <alignment horizontal="center"/>
      <protection locked="0"/>
    </xf>
    <xf numFmtId="1" fontId="21" fillId="35" borderId="90" xfId="0" applyNumberFormat="1" applyFont="1" applyFill="1" applyBorder="1" applyAlignment="1" applyProtection="1">
      <alignment horizontal="center" vertical="center"/>
    </xf>
    <xf numFmtId="0" fontId="0" fillId="35" borderId="90" xfId="0" applyNumberFormat="1" applyFill="1" applyBorder="1" applyAlignment="1" applyProtection="1">
      <alignment horizontal="center" vertical="center"/>
      <protection locked="0"/>
    </xf>
    <xf numFmtId="1" fontId="0" fillId="35" borderId="210" xfId="0" applyNumberFormat="1" applyFill="1" applyBorder="1" applyAlignment="1" applyProtection="1">
      <alignment horizontal="center" vertical="center"/>
    </xf>
    <xf numFmtId="0" fontId="21" fillId="35" borderId="57" xfId="0" applyNumberFormat="1" applyFont="1" applyFill="1" applyBorder="1" applyAlignment="1" applyProtection="1">
      <alignment horizontal="center" vertical="center"/>
      <protection locked="0"/>
    </xf>
    <xf numFmtId="0" fontId="21" fillId="35" borderId="57" xfId="0" applyNumberFormat="1" applyFont="1" applyFill="1" applyBorder="1" applyAlignment="1" applyProtection="1">
      <alignment horizontal="center" vertical="center"/>
    </xf>
    <xf numFmtId="3" fontId="0" fillId="35" borderId="57" xfId="0" applyNumberFormat="1" applyFill="1" applyBorder="1" applyAlignment="1" applyProtection="1">
      <alignment horizontal="center" vertical="top"/>
      <protection locked="0"/>
    </xf>
    <xf numFmtId="1" fontId="0" fillId="35" borderId="57" xfId="0" applyNumberFormat="1" applyFill="1" applyBorder="1" applyAlignment="1" applyProtection="1">
      <alignment horizontal="center"/>
    </xf>
    <xf numFmtId="3" fontId="0" fillId="35" borderId="57" xfId="0" applyNumberFormat="1" applyFill="1" applyBorder="1" applyAlignment="1" applyProtection="1">
      <alignment horizontal="center"/>
      <protection locked="0"/>
    </xf>
    <xf numFmtId="1" fontId="21" fillId="35" borderId="57" xfId="0" applyNumberFormat="1" applyFont="1" applyFill="1" applyBorder="1" applyAlignment="1" applyProtection="1">
      <alignment horizontal="center" vertical="center"/>
    </xf>
    <xf numFmtId="0" fontId="0" fillId="35" borderId="57" xfId="0" applyNumberFormat="1" applyFill="1" applyBorder="1" applyAlignment="1" applyProtection="1">
      <alignment horizontal="center" vertical="center"/>
      <protection locked="0"/>
    </xf>
    <xf numFmtId="1" fontId="0" fillId="35" borderId="52" xfId="0" applyNumberFormat="1" applyFill="1" applyBorder="1" applyAlignment="1" applyProtection="1">
      <alignment horizontal="center" vertical="center"/>
    </xf>
    <xf numFmtId="49" fontId="21" fillId="36" borderId="10" xfId="0" applyNumberFormat="1" applyFont="1" applyFill="1" applyBorder="1" applyProtection="1">
      <protection locked="0"/>
    </xf>
    <xf numFmtId="0" fontId="195" fillId="36" borderId="87" xfId="0" applyFont="1" applyFill="1" applyBorder="1" applyAlignment="1">
      <alignment horizontal="center" wrapText="1"/>
    </xf>
    <xf numFmtId="0" fontId="153" fillId="36" borderId="10" xfId="0" applyNumberFormat="1" applyFont="1" applyFill="1" applyBorder="1" applyAlignment="1" applyProtection="1">
      <alignment horizontal="center" vertical="center"/>
      <protection locked="0"/>
    </xf>
    <xf numFmtId="0" fontId="21" fillId="36" borderId="10" xfId="0" applyNumberFormat="1" applyFont="1" applyFill="1" applyBorder="1" applyAlignment="1" applyProtection="1">
      <alignment horizontal="center" vertical="center"/>
    </xf>
    <xf numFmtId="3" fontId="21" fillId="36" borderId="10" xfId="0" applyNumberFormat="1" applyFont="1" applyFill="1" applyBorder="1" applyAlignment="1" applyProtection="1">
      <alignment horizontal="center" vertical="center"/>
    </xf>
    <xf numFmtId="1" fontId="21" fillId="36" borderId="10" xfId="0" applyNumberFormat="1" applyFont="1" applyFill="1" applyBorder="1" applyAlignment="1" applyProtection="1">
      <alignment horizontal="center" vertical="center"/>
    </xf>
    <xf numFmtId="0" fontId="21" fillId="36" borderId="10" xfId="0" applyNumberFormat="1" applyFont="1" applyFill="1" applyBorder="1" applyAlignment="1" applyProtection="1">
      <alignment horizontal="center" vertical="center"/>
      <protection locked="0"/>
    </xf>
    <xf numFmtId="1" fontId="21" fillId="36" borderId="49" xfId="0" applyNumberFormat="1" applyFont="1" applyFill="1" applyBorder="1" applyAlignment="1" applyProtection="1">
      <alignment horizontal="center" vertical="center"/>
    </xf>
    <xf numFmtId="49" fontId="21" fillId="36" borderId="10" xfId="0" applyNumberFormat="1" applyFont="1" applyFill="1" applyBorder="1" applyAlignment="1" applyProtection="1">
      <alignment horizontal="left"/>
      <protection locked="0"/>
    </xf>
    <xf numFmtId="0" fontId="149" fillId="36" borderId="87" xfId="0" applyFont="1" applyFill="1" applyBorder="1" applyAlignment="1">
      <alignment horizontal="center" wrapText="1"/>
    </xf>
    <xf numFmtId="0" fontId="153" fillId="36" borderId="10" xfId="0" applyFont="1" applyFill="1" applyBorder="1" applyAlignment="1">
      <alignment horizontal="center" vertical="center"/>
    </xf>
    <xf numFmtId="3" fontId="153" fillId="36" borderId="10" xfId="0" applyNumberFormat="1" applyFont="1" applyFill="1" applyBorder="1" applyAlignment="1">
      <alignment horizontal="center" vertical="center"/>
    </xf>
    <xf numFmtId="164" fontId="33" fillId="0" borderId="0" xfId="0" applyNumberFormat="1" applyFont="1" applyAlignment="1">
      <alignment horizontal="center"/>
    </xf>
    <xf numFmtId="0" fontId="0" fillId="0" borderId="0" xfId="0" applyAlignment="1"/>
    <xf numFmtId="0" fontId="124" fillId="0" borderId="0" xfId="0" applyFont="1" applyAlignment="1">
      <alignment horizontal="center"/>
    </xf>
    <xf numFmtId="0" fontId="125" fillId="0" borderId="0" xfId="0" applyFont="1" applyAlignment="1">
      <alignment horizontal="center"/>
    </xf>
    <xf numFmtId="164" fontId="135" fillId="30" borderId="0" xfId="47" applyFont="1" applyFill="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92" fillId="22" borderId="41" xfId="0" applyFont="1" applyFill="1" applyBorder="1" applyAlignment="1">
      <alignment horizontal="center"/>
    </xf>
    <xf numFmtId="0" fontId="92" fillId="22" borderId="42" xfId="0" applyFont="1" applyFill="1" applyBorder="1" applyAlignment="1">
      <alignment horizontal="center"/>
    </xf>
    <xf numFmtId="0" fontId="92" fillId="22" borderId="43" xfId="0" applyFont="1" applyFill="1" applyBorder="1" applyAlignment="1">
      <alignment horizontal="center"/>
    </xf>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24" fillId="22" borderId="41" xfId="0" applyFont="1" applyFill="1" applyBorder="1" applyAlignment="1">
      <alignment horizontal="center" wrapText="1"/>
    </xf>
    <xf numFmtId="0" fontId="92" fillId="22" borderId="42" xfId="0" applyFont="1" applyFill="1" applyBorder="1" applyAlignment="1">
      <alignment horizontal="center" wrapText="1"/>
    </xf>
    <xf numFmtId="0" fontId="92" fillId="22" borderId="43" xfId="0" applyFont="1" applyFill="1" applyBorder="1" applyAlignment="1">
      <alignment horizontal="center" wrapText="1"/>
    </xf>
    <xf numFmtId="0" fontId="88" fillId="0" borderId="41" xfId="0" applyFont="1" applyBorder="1" applyAlignment="1" applyProtection="1">
      <alignment vertical="center" wrapText="1"/>
      <protection locked="0"/>
    </xf>
    <xf numFmtId="0" fontId="88" fillId="0" borderId="42" xfId="0" applyFont="1" applyBorder="1" applyAlignment="1" applyProtection="1">
      <alignment vertical="center" wrapText="1"/>
      <protection locked="0"/>
    </xf>
    <xf numFmtId="0" fontId="88" fillId="0" borderId="43" xfId="0" applyFont="1" applyBorder="1" applyAlignment="1" applyProtection="1">
      <alignment vertical="center" wrapText="1"/>
      <protection locked="0"/>
    </xf>
    <xf numFmtId="0" fontId="97" fillId="0" borderId="41" xfId="0" applyFont="1" applyFill="1" applyBorder="1" applyAlignment="1" applyProtection="1">
      <alignment vertical="center" wrapText="1"/>
      <protection locked="0"/>
    </xf>
    <xf numFmtId="0" fontId="0" fillId="0" borderId="42" xfId="0" applyBorder="1" applyAlignment="1">
      <alignment vertical="center" wrapText="1"/>
    </xf>
    <xf numFmtId="0" fontId="0" fillId="0" borderId="43" xfId="0" applyBorder="1" applyAlignment="1">
      <alignmen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2" fillId="0" borderId="41" xfId="0" applyFont="1" applyBorder="1" applyAlignment="1" applyProtection="1">
      <alignment horizontal="justify" vertical="center" wrapText="1"/>
      <protection locked="0"/>
    </xf>
    <xf numFmtId="0" fontId="0" fillId="0" borderId="42" xfId="0" applyBorder="1" applyAlignment="1">
      <alignment horizontal="justify" vertical="center" wrapText="1"/>
    </xf>
    <xf numFmtId="0" fontId="0" fillId="0" borderId="43" xfId="0" applyBorder="1" applyAlignment="1">
      <alignment horizontal="justify"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97" fillId="0" borderId="42" xfId="0" applyFont="1" applyFill="1" applyBorder="1" applyAlignment="1" applyProtection="1">
      <alignment vertical="center" wrapText="1"/>
      <protection locked="0"/>
    </xf>
    <xf numFmtId="0" fontId="97" fillId="0" borderId="43" xfId="0" applyFont="1" applyFill="1" applyBorder="1" applyAlignment="1" applyProtection="1">
      <alignment vertical="center" wrapText="1"/>
      <protection locked="0"/>
    </xf>
    <xf numFmtId="0" fontId="62" fillId="0" borderId="41" xfId="0" applyNumberFormat="1" applyFont="1" applyBorder="1" applyAlignment="1" applyProtection="1">
      <alignment horizontal="left" vertical="center" wrapText="1"/>
      <protection locked="0"/>
    </xf>
    <xf numFmtId="0" fontId="62" fillId="0" borderId="42" xfId="0" applyNumberFormat="1" applyFont="1" applyBorder="1" applyAlignment="1" applyProtection="1">
      <alignment horizontal="left" vertical="center" wrapText="1"/>
      <protection locked="0"/>
    </xf>
    <xf numFmtId="0" fontId="62" fillId="0" borderId="43" xfId="0" applyNumberFormat="1" applyFont="1" applyBorder="1" applyAlignment="1" applyProtection="1">
      <alignment horizontal="left" vertical="center" wrapText="1"/>
      <protection locked="0"/>
    </xf>
    <xf numFmtId="0" fontId="88" fillId="0" borderId="42" xfId="0" applyFont="1" applyBorder="1" applyAlignment="1" applyProtection="1">
      <alignment horizontal="justify" vertical="center" wrapText="1"/>
      <protection locked="0"/>
    </xf>
    <xf numFmtId="0" fontId="88" fillId="0" borderId="43" xfId="0" applyFont="1" applyBorder="1" applyAlignment="1" applyProtection="1">
      <alignment horizontal="justify" vertical="center" wrapText="1"/>
      <protection locked="0"/>
    </xf>
    <xf numFmtId="0" fontId="88" fillId="35" borderId="41" xfId="0" applyFont="1" applyFill="1" applyBorder="1" applyAlignment="1" applyProtection="1">
      <alignment vertical="center" wrapText="1"/>
      <protection locked="0"/>
    </xf>
    <xf numFmtId="0" fontId="88" fillId="35" borderId="42" xfId="0" applyFont="1" applyFill="1" applyBorder="1" applyAlignment="1" applyProtection="1">
      <alignment vertical="center" wrapText="1"/>
      <protection locked="0"/>
    </xf>
    <xf numFmtId="0" fontId="88" fillId="35" borderId="43" xfId="0" applyFont="1" applyFill="1" applyBorder="1" applyAlignment="1" applyProtection="1">
      <alignment vertical="center" wrapText="1"/>
      <protection locked="0"/>
    </xf>
    <xf numFmtId="0" fontId="88" fillId="0" borderId="41" xfId="0" applyFont="1" applyFill="1" applyBorder="1" applyAlignment="1" applyProtection="1">
      <alignment vertical="center" wrapText="1"/>
      <protection locked="0"/>
    </xf>
    <xf numFmtId="0" fontId="88" fillId="0" borderId="42" xfId="0" applyFont="1" applyFill="1" applyBorder="1" applyAlignment="1" applyProtection="1">
      <alignment vertical="center" wrapText="1"/>
      <protection locked="0"/>
    </xf>
    <xf numFmtId="0" fontId="88" fillId="0" borderId="43" xfId="0" applyFont="1" applyFill="1" applyBorder="1" applyAlignment="1" applyProtection="1">
      <alignment vertical="center" wrapText="1"/>
      <protection locked="0"/>
    </xf>
    <xf numFmtId="0" fontId="62" fillId="0" borderId="42" xfId="0" applyFont="1" applyBorder="1" applyAlignment="1" applyProtection="1">
      <alignment horizontal="justify" vertical="center" wrapText="1"/>
      <protection locked="0"/>
    </xf>
    <xf numFmtId="0" fontId="62" fillId="0" borderId="43" xfId="0" applyFont="1" applyBorder="1" applyAlignment="1" applyProtection="1">
      <alignment horizontal="justify" vertical="center" wrapText="1"/>
      <protection locked="0"/>
    </xf>
    <xf numFmtId="0" fontId="88" fillId="0" borderId="41" xfId="0" applyFont="1" applyBorder="1" applyAlignment="1">
      <alignment horizontal="left" vertical="center" wrapText="1"/>
    </xf>
    <xf numFmtId="0" fontId="0" fillId="0" borderId="42" xfId="0" applyBorder="1" applyAlignment="1">
      <alignment horizontal="left"/>
    </xf>
    <xf numFmtId="0" fontId="0" fillId="0" borderId="43" xfId="0" applyBorder="1" applyAlignment="1">
      <alignment horizontal="left"/>
    </xf>
    <xf numFmtId="0" fontId="86" fillId="25" borderId="41" xfId="0" applyFont="1" applyFill="1" applyBorder="1" applyAlignment="1">
      <alignment horizontal="center"/>
    </xf>
    <xf numFmtId="0" fontId="86" fillId="25" borderId="42" xfId="0" applyFont="1" applyFill="1" applyBorder="1" applyAlignment="1">
      <alignment horizontal="center"/>
    </xf>
    <xf numFmtId="0" fontId="86" fillId="25" borderId="43" xfId="0" applyFont="1" applyFill="1" applyBorder="1" applyAlignment="1">
      <alignment horizontal="center"/>
    </xf>
    <xf numFmtId="164" fontId="87" fillId="0" borderId="41" xfId="0" applyNumberFormat="1" applyFont="1" applyBorder="1" applyAlignment="1">
      <alignment horizontal="left" vertical="center" wrapText="1"/>
    </xf>
    <xf numFmtId="0" fontId="87" fillId="0" borderId="42" xfId="0" applyFont="1" applyBorder="1" applyAlignment="1">
      <alignment horizontal="left" vertical="center" wrapText="1"/>
    </xf>
    <xf numFmtId="0" fontId="87" fillId="0" borderId="43" xfId="0" applyFont="1" applyBorder="1" applyAlignment="1">
      <alignment horizontal="left" vertical="center" wrapText="1"/>
    </xf>
    <xf numFmtId="0" fontId="62" fillId="0" borderId="41" xfId="0" applyFont="1" applyBorder="1" applyAlignment="1">
      <alignment horizontal="left" vertical="center" wrapText="1"/>
    </xf>
    <xf numFmtId="0" fontId="62" fillId="0" borderId="42" xfId="0" applyFont="1" applyBorder="1" applyAlignment="1">
      <alignment horizontal="left" vertical="center" wrapText="1"/>
    </xf>
    <xf numFmtId="0" fontId="62" fillId="0" borderId="43" xfId="0" applyFont="1" applyBorder="1" applyAlignment="1">
      <alignment horizontal="left" vertical="center" wrapText="1"/>
    </xf>
    <xf numFmtId="164" fontId="87" fillId="0" borderId="41" xfId="0" applyNumberFormat="1" applyFont="1" applyBorder="1" applyAlignment="1">
      <alignment vertical="center" wrapText="1"/>
    </xf>
    <xf numFmtId="0" fontId="87" fillId="0" borderId="42" xfId="0" applyFont="1" applyBorder="1" applyAlignment="1">
      <alignment vertical="center" wrapText="1"/>
    </xf>
    <xf numFmtId="0" fontId="87" fillId="0" borderId="43" xfId="0" applyFont="1" applyBorder="1" applyAlignment="1">
      <alignment vertical="center" wrapText="1"/>
    </xf>
    <xf numFmtId="0" fontId="88" fillId="0" borderId="42" xfId="0" applyFont="1" applyBorder="1" applyAlignment="1">
      <alignment horizontal="left" vertical="center" wrapText="1"/>
    </xf>
    <xf numFmtId="0" fontId="88" fillId="0" borderId="43" xfId="0" applyFont="1" applyBorder="1" applyAlignment="1">
      <alignment horizontal="left" vertical="center" wrapText="1"/>
    </xf>
    <xf numFmtId="0" fontId="118" fillId="0" borderId="41" xfId="0" applyFont="1" applyBorder="1" applyAlignment="1">
      <alignment horizontal="left" vertical="center" wrapText="1"/>
    </xf>
    <xf numFmtId="0" fontId="118" fillId="0" borderId="42" xfId="0" applyFont="1" applyBorder="1" applyAlignment="1">
      <alignment horizontal="left" vertical="center" wrapText="1"/>
    </xf>
    <xf numFmtId="0" fontId="118" fillId="0" borderId="43" xfId="0" applyFont="1" applyBorder="1" applyAlignment="1">
      <alignment horizontal="left" vertical="center" wrapText="1"/>
    </xf>
    <xf numFmtId="0" fontId="88" fillId="0" borderId="88" xfId="0" applyFont="1" applyBorder="1" applyAlignment="1">
      <alignment horizontal="justify" vertical="center" wrapText="1"/>
    </xf>
    <xf numFmtId="0" fontId="88" fillId="0" borderId="97" xfId="0" applyFont="1" applyBorder="1" applyAlignment="1">
      <alignment horizontal="justify" vertical="center" wrapText="1"/>
    </xf>
    <xf numFmtId="0" fontId="88" fillId="0" borderId="98" xfId="0" applyFont="1" applyBorder="1" applyAlignment="1">
      <alignment horizontal="justify" vertical="center" wrapText="1"/>
    </xf>
    <xf numFmtId="164" fontId="87" fillId="0" borderId="95" xfId="0" applyNumberFormat="1" applyFont="1" applyBorder="1" applyAlignment="1">
      <alignment vertical="center" wrapText="1"/>
    </xf>
    <xf numFmtId="0" fontId="87" fillId="0" borderId="94" xfId="0" applyFont="1" applyBorder="1" applyAlignment="1">
      <alignment vertical="center" wrapText="1"/>
    </xf>
    <xf numFmtId="0" fontId="87" fillId="0" borderId="96" xfId="0" applyFont="1" applyBorder="1" applyAlignment="1">
      <alignment vertical="center" wrapText="1"/>
    </xf>
    <xf numFmtId="0" fontId="87" fillId="0" borderId="88" xfId="0" applyFont="1" applyBorder="1" applyAlignment="1">
      <alignment vertical="center" wrapText="1"/>
    </xf>
    <xf numFmtId="0" fontId="87" fillId="0" borderId="97" xfId="0" applyFont="1" applyBorder="1" applyAlignment="1">
      <alignment vertical="center" wrapText="1"/>
    </xf>
    <xf numFmtId="0" fontId="87" fillId="0" borderId="98" xfId="0" applyFont="1" applyBorder="1" applyAlignment="1">
      <alignment vertical="center" wrapText="1"/>
    </xf>
    <xf numFmtId="0" fontId="88" fillId="0" borderId="42" xfId="0" applyFont="1" applyBorder="1" applyAlignment="1" applyProtection="1">
      <alignment horizontal="left" vertical="center" wrapText="1"/>
      <protection locked="0"/>
    </xf>
    <xf numFmtId="0" fontId="88" fillId="0" borderId="43" xfId="0" applyFont="1" applyBorder="1" applyAlignment="1" applyProtection="1">
      <alignment horizontal="left" vertical="center" wrapText="1"/>
      <protection locked="0"/>
    </xf>
    <xf numFmtId="0" fontId="0" fillId="0" borderId="42" xfId="0" applyFont="1" applyBorder="1" applyAlignment="1">
      <alignment horizontal="justify" vertical="center" wrapText="1"/>
    </xf>
    <xf numFmtId="0" fontId="0" fillId="0" borderId="43" xfId="0" applyFont="1" applyBorder="1" applyAlignment="1">
      <alignment horizontal="justify" vertical="center" wrapText="1"/>
    </xf>
    <xf numFmtId="0" fontId="62" fillId="0" borderId="41" xfId="0" applyFont="1" applyBorder="1" applyAlignment="1">
      <alignment vertical="center" wrapText="1"/>
    </xf>
    <xf numFmtId="0" fontId="62" fillId="0" borderId="42" xfId="0" applyFont="1" applyBorder="1" applyAlignment="1">
      <alignment vertical="center" wrapText="1"/>
    </xf>
    <xf numFmtId="0" fontId="62" fillId="0" borderId="43" xfId="0" applyFont="1" applyBorder="1" applyAlignment="1">
      <alignment vertical="center" wrapText="1"/>
    </xf>
    <xf numFmtId="0" fontId="87" fillId="0" borderId="42" xfId="0" applyFont="1" applyBorder="1" applyAlignment="1">
      <alignment vertical="center"/>
    </xf>
    <xf numFmtId="0" fontId="87" fillId="0" borderId="43" xfId="0" applyFont="1" applyBorder="1" applyAlignment="1">
      <alignment vertical="center"/>
    </xf>
    <xf numFmtId="0" fontId="0" fillId="0" borderId="0" xfId="0" applyBorder="1" applyAlignment="1">
      <alignment horizontal="center" wrapText="1"/>
    </xf>
    <xf numFmtId="0" fontId="0" fillId="0" borderId="0" xfId="0" applyBorder="1" applyAlignment="1">
      <alignment horizontal="center"/>
    </xf>
    <xf numFmtId="0" fontId="0" fillId="0" borderId="94" xfId="0" applyBorder="1" applyAlignment="1">
      <alignment horizontal="center"/>
    </xf>
    <xf numFmtId="0" fontId="0" fillId="0" borderId="94" xfId="0" applyBorder="1" applyAlignment="1">
      <alignment horizontal="center" wrapText="1"/>
    </xf>
    <xf numFmtId="0" fontId="62" fillId="0" borderId="41" xfId="0" applyFont="1" applyBorder="1" applyAlignment="1" applyProtection="1">
      <alignment horizontal="justify" vertical="top" wrapText="1"/>
      <protection locked="0"/>
    </xf>
    <xf numFmtId="0" fontId="0" fillId="0" borderId="42" xfId="0" applyFont="1" applyBorder="1" applyAlignment="1">
      <alignment horizontal="justify" vertical="top" wrapText="1"/>
    </xf>
    <xf numFmtId="0" fontId="0" fillId="0" borderId="43" xfId="0" applyFont="1" applyBorder="1" applyAlignment="1">
      <alignment horizontal="justify" vertical="top" wrapText="1"/>
    </xf>
    <xf numFmtId="164" fontId="17" fillId="30" borderId="0" xfId="46" applyFont="1" applyFill="1" applyAlignment="1" applyProtection="1">
      <alignment horizontal="center" vertical="center"/>
    </xf>
    <xf numFmtId="0" fontId="85" fillId="0" borderId="0" xfId="0" applyFont="1" applyAlignment="1">
      <alignment horizontal="center"/>
    </xf>
    <xf numFmtId="0" fontId="86" fillId="26" borderId="41" xfId="0" applyFont="1" applyFill="1" applyBorder="1" applyAlignment="1">
      <alignment horizontal="center"/>
    </xf>
    <xf numFmtId="0" fontId="86" fillId="26" borderId="42" xfId="0" applyFont="1" applyFill="1" applyBorder="1" applyAlignment="1">
      <alignment horizontal="center"/>
    </xf>
    <xf numFmtId="0" fontId="86" fillId="26" borderId="43" xfId="0" applyFont="1" applyFill="1" applyBorder="1" applyAlignment="1">
      <alignment horizontal="center"/>
    </xf>
    <xf numFmtId="9" fontId="88" fillId="0" borderId="41" xfId="61" applyFont="1" applyBorder="1" applyAlignment="1">
      <alignment horizontal="left" vertical="center" wrapText="1"/>
    </xf>
    <xf numFmtId="9" fontId="88" fillId="0" borderId="42" xfId="61" applyFont="1" applyBorder="1" applyAlignment="1">
      <alignment horizontal="left" vertical="center" wrapText="1"/>
    </xf>
    <xf numFmtId="9" fontId="88" fillId="0" borderId="43" xfId="61" applyFont="1" applyBorder="1" applyAlignment="1">
      <alignment horizontal="left" vertical="center" wrapText="1"/>
    </xf>
    <xf numFmtId="0" fontId="87" fillId="0" borderId="42" xfId="0" applyFont="1" applyBorder="1" applyAlignment="1">
      <alignment horizontal="left" vertical="center"/>
    </xf>
    <xf numFmtId="0" fontId="87" fillId="0" borderId="43" xfId="0" applyFont="1" applyBorder="1" applyAlignment="1">
      <alignment horizontal="left" vertical="center"/>
    </xf>
    <xf numFmtId="0" fontId="62" fillId="0" borderId="95" xfId="0" applyFont="1" applyBorder="1" applyAlignment="1">
      <alignment horizontal="justify" wrapText="1"/>
    </xf>
    <xf numFmtId="0" fontId="62" fillId="0" borderId="94" xfId="0" applyFont="1" applyBorder="1" applyAlignment="1">
      <alignment horizontal="justify" wrapText="1"/>
    </xf>
    <xf numFmtId="0" fontId="62" fillId="0" borderId="96" xfId="0" applyFont="1" applyBorder="1" applyAlignment="1">
      <alignment horizontal="justify" wrapText="1"/>
    </xf>
    <xf numFmtId="0" fontId="14" fillId="22" borderId="41" xfId="0" applyFont="1" applyFill="1" applyBorder="1" applyAlignment="1">
      <alignment horizontal="center" vertical="center" wrapText="1"/>
    </xf>
    <xf numFmtId="0" fontId="93" fillId="22" borderId="42" xfId="0" applyFont="1" applyFill="1" applyBorder="1" applyAlignment="1">
      <alignment horizontal="center" vertical="center"/>
    </xf>
    <xf numFmtId="0" fontId="93" fillId="22" borderId="43" xfId="0" applyFont="1" applyFill="1" applyBorder="1" applyAlignment="1">
      <alignment horizontal="center" vertical="center"/>
    </xf>
    <xf numFmtId="0" fontId="24" fillId="22" borderId="41" xfId="0" applyFont="1" applyFill="1" applyBorder="1" applyAlignment="1">
      <alignment horizontal="center" vertical="center"/>
    </xf>
    <xf numFmtId="0" fontId="92" fillId="22" borderId="42" xfId="0" applyFont="1" applyFill="1" applyBorder="1" applyAlignment="1">
      <alignment horizontal="center" vertical="center"/>
    </xf>
    <xf numFmtId="0" fontId="92" fillId="22" borderId="43" xfId="0" applyFont="1" applyFill="1" applyBorder="1" applyAlignment="1">
      <alignment horizontal="center" vertical="center"/>
    </xf>
    <xf numFmtId="0" fontId="92" fillId="22" borderId="41" xfId="0" applyFont="1" applyFill="1" applyBorder="1" applyAlignment="1">
      <alignment horizontal="center" vertical="center"/>
    </xf>
    <xf numFmtId="0" fontId="62" fillId="0" borderId="95" xfId="0" applyFont="1" applyBorder="1" applyAlignment="1">
      <alignment horizontal="left" vertical="center" wrapText="1"/>
    </xf>
    <xf numFmtId="0" fontId="62" fillId="0" borderId="94" xfId="0" applyFont="1" applyBorder="1" applyAlignment="1">
      <alignment horizontal="left" vertical="center" wrapText="1"/>
    </xf>
    <xf numFmtId="0" fontId="62" fillId="0" borderId="96" xfId="0" applyFont="1" applyBorder="1" applyAlignment="1">
      <alignment horizontal="left" vertical="center" wrapText="1"/>
    </xf>
    <xf numFmtId="0" fontId="62" fillId="0" borderId="88" xfId="0" applyFont="1" applyBorder="1" applyAlignment="1">
      <alignment horizontal="left" vertical="center" wrapText="1"/>
    </xf>
    <xf numFmtId="0" fontId="62" fillId="0" borderId="97" xfId="0" applyFont="1" applyBorder="1" applyAlignment="1">
      <alignment horizontal="left" vertical="center" wrapText="1"/>
    </xf>
    <xf numFmtId="0" fontId="62" fillId="0" borderId="98" xfId="0" applyFont="1" applyBorder="1" applyAlignment="1">
      <alignment horizontal="left" vertical="center" wrapText="1"/>
    </xf>
    <xf numFmtId="0" fontId="118" fillId="0" borderId="41" xfId="0" applyFont="1" applyBorder="1" applyAlignment="1">
      <alignment horizontal="justify" vertical="center" wrapText="1"/>
    </xf>
    <xf numFmtId="0" fontId="118" fillId="0" borderId="42" xfId="0" applyFont="1" applyBorder="1" applyAlignment="1">
      <alignment horizontal="justify" vertical="center" wrapText="1"/>
    </xf>
    <xf numFmtId="0" fontId="118" fillId="0" borderId="43" xfId="0" applyFont="1" applyBorder="1" applyAlignment="1">
      <alignment horizontal="justify" vertical="center" wrapText="1"/>
    </xf>
    <xf numFmtId="0" fontId="116" fillId="0" borderId="42" xfId="0" applyFont="1" applyBorder="1" applyAlignment="1">
      <alignment horizontal="left" vertical="center" wrapText="1"/>
    </xf>
    <xf numFmtId="0" fontId="116" fillId="0" borderId="43" xfId="0" applyFont="1" applyBorder="1" applyAlignment="1">
      <alignment horizontal="left" vertical="center" wrapText="1"/>
    </xf>
    <xf numFmtId="0" fontId="62" fillId="0" borderId="41" xfId="0" applyFont="1" applyFill="1" applyBorder="1" applyAlignment="1">
      <alignment horizontal="left" vertical="center" wrapText="1"/>
    </xf>
    <xf numFmtId="0" fontId="62" fillId="0" borderId="42" xfId="0" applyFont="1" applyFill="1" applyBorder="1" applyAlignment="1">
      <alignment horizontal="left" vertical="center" wrapText="1"/>
    </xf>
    <xf numFmtId="0" fontId="62" fillId="0" borderId="43" xfId="0" applyFont="1" applyFill="1" applyBorder="1" applyAlignment="1">
      <alignment horizontal="left" vertical="center" wrapText="1"/>
    </xf>
    <xf numFmtId="0" fontId="62" fillId="35" borderId="41" xfId="0" applyFont="1" applyFill="1" applyBorder="1" applyAlignment="1" applyProtection="1">
      <alignment horizontal="left" vertical="center" wrapText="1"/>
      <protection locked="0"/>
    </xf>
    <xf numFmtId="0" fontId="62" fillId="35" borderId="42" xfId="0" applyFont="1" applyFill="1" applyBorder="1" applyAlignment="1" applyProtection="1">
      <alignment horizontal="left" vertical="center" wrapText="1"/>
      <protection locked="0"/>
    </xf>
    <xf numFmtId="0" fontId="62" fillId="35" borderId="43" xfId="0" applyFont="1" applyFill="1" applyBorder="1" applyAlignment="1" applyProtection="1">
      <alignment horizontal="left" vertical="center" wrapText="1"/>
      <protection locked="0"/>
    </xf>
    <xf numFmtId="0" fontId="0" fillId="0" borderId="0" xfId="0" applyAlignment="1" applyProtection="1"/>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164" fontId="60" fillId="30" borderId="0" xfId="38" applyFont="1" applyFill="1" applyAlignment="1" applyProtection="1">
      <alignment horizontal="center" vertical="center"/>
    </xf>
    <xf numFmtId="0" fontId="113" fillId="0" borderId="0" xfId="0" applyFont="1" applyAlignment="1" applyProtection="1">
      <alignment horizontal="right"/>
    </xf>
    <xf numFmtId="3" fontId="0" fillId="0" borderId="41" xfId="0" applyNumberFormat="1" applyBorder="1" applyAlignment="1" applyProtection="1">
      <alignment horizontal="center"/>
      <protection locked="0"/>
    </xf>
    <xf numFmtId="3" fontId="0" fillId="0" borderId="43"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15" fontId="137" fillId="0" borderId="10" xfId="56" applyNumberFormat="1" applyFill="1" applyBorder="1" applyAlignment="1" applyProtection="1">
      <alignment horizontal="center"/>
      <protection locked="0"/>
    </xf>
    <xf numFmtId="0" fontId="113" fillId="0" borderId="47" xfId="0" applyFont="1" applyBorder="1" applyAlignment="1" applyProtection="1">
      <alignment horizontal="right"/>
    </xf>
    <xf numFmtId="49" fontId="149" fillId="0" borderId="10" xfId="0" applyNumberFormat="1" applyFont="1" applyFill="1" applyBorder="1" applyAlignment="1" applyProtection="1">
      <alignment horizontal="center"/>
      <protection locked="0"/>
    </xf>
    <xf numFmtId="49" fontId="0" fillId="0" borderId="42" xfId="0" applyNumberFormat="1" applyBorder="1" applyAlignment="1" applyProtection="1">
      <alignment horizontal="center"/>
      <protection locked="0"/>
    </xf>
    <xf numFmtId="0" fontId="113" fillId="0" borderId="0" xfId="0" applyFont="1" applyBorder="1" applyAlignment="1" applyProtection="1">
      <alignment horizontal="right"/>
    </xf>
    <xf numFmtId="0" fontId="113" fillId="0" borderId="122" xfId="0" applyFont="1" applyBorder="1" applyAlignment="1" applyProtection="1">
      <alignment horizontal="right"/>
    </xf>
    <xf numFmtId="164" fontId="15" fillId="32" borderId="10" xfId="56" applyFont="1" applyFill="1" applyBorder="1" applyAlignment="1" applyProtection="1">
      <alignment horizontal="center"/>
      <protection locked="0"/>
    </xf>
    <xf numFmtId="49" fontId="66" fillId="28" borderId="240" xfId="0" applyNumberFormat="1" applyFont="1" applyFill="1" applyBorder="1" applyAlignment="1" applyProtection="1">
      <alignment horizontal="center" vertical="center" wrapText="1"/>
      <protection locked="0"/>
    </xf>
    <xf numFmtId="49" fontId="66" fillId="28" borderId="121" xfId="0" applyNumberFormat="1" applyFont="1" applyFill="1" applyBorder="1" applyAlignment="1" applyProtection="1">
      <alignment horizontal="center" vertical="center" wrapText="1"/>
      <protection locked="0"/>
    </xf>
    <xf numFmtId="49" fontId="2" fillId="39" borderId="234" xfId="0" applyNumberFormat="1" applyFont="1" applyFill="1" applyBorder="1" applyAlignment="1" applyProtection="1">
      <alignment horizontal="left" vertical="center" wrapText="1"/>
      <protection locked="0"/>
    </xf>
    <xf numFmtId="49" fontId="2" fillId="39" borderId="94" xfId="0" applyNumberFormat="1" applyFont="1" applyFill="1" applyBorder="1" applyAlignment="1" applyProtection="1">
      <alignment horizontal="left" vertical="center" wrapText="1"/>
      <protection locked="0"/>
    </xf>
    <xf numFmtId="49" fontId="2" fillId="39" borderId="235" xfId="0" applyNumberFormat="1" applyFont="1" applyFill="1" applyBorder="1" applyAlignment="1" applyProtection="1">
      <alignment horizontal="left" vertical="center" wrapText="1"/>
      <protection locked="0"/>
    </xf>
    <xf numFmtId="49" fontId="2" fillId="39" borderId="236" xfId="0" applyNumberFormat="1" applyFont="1" applyFill="1" applyBorder="1" applyAlignment="1" applyProtection="1">
      <alignment horizontal="left" vertical="center" wrapText="1"/>
      <protection locked="0"/>
    </xf>
    <xf numFmtId="49" fontId="2" fillId="39" borderId="97" xfId="0" applyNumberFormat="1" applyFont="1" applyFill="1" applyBorder="1" applyAlignment="1" applyProtection="1">
      <alignment horizontal="left" vertical="center" wrapText="1"/>
      <protection locked="0"/>
    </xf>
    <xf numFmtId="49" fontId="2" fillId="39" borderId="237" xfId="0" applyNumberFormat="1" applyFont="1" applyFill="1" applyBorder="1" applyAlignment="1" applyProtection="1">
      <alignment horizontal="left" vertical="center" wrapText="1"/>
      <protection locked="0"/>
    </xf>
    <xf numFmtId="0" fontId="83" fillId="0" borderId="114" xfId="0" applyFont="1" applyBorder="1" applyAlignment="1" applyProtection="1">
      <alignment horizontal="right"/>
    </xf>
    <xf numFmtId="0" fontId="119" fillId="0" borderId="114" xfId="0" applyFont="1" applyBorder="1" applyAlignment="1"/>
    <xf numFmtId="0" fontId="0" fillId="0" borderId="246" xfId="0" applyBorder="1" applyAlignment="1" applyProtection="1">
      <alignment horizontal="center"/>
    </xf>
    <xf numFmtId="0" fontId="0" fillId="0" borderId="247" xfId="0" applyBorder="1" applyAlignment="1" applyProtection="1">
      <alignment horizontal="center"/>
    </xf>
    <xf numFmtId="0" fontId="26" fillId="0" borderId="103" xfId="0" applyFont="1" applyBorder="1" applyAlignment="1" applyProtection="1">
      <alignment horizontal="center" wrapText="1"/>
    </xf>
    <xf numFmtId="0" fontId="26" fillId="0" borderId="104" xfId="0" applyFont="1" applyBorder="1" applyAlignment="1" applyProtection="1">
      <alignment horizontal="center" wrapText="1"/>
    </xf>
    <xf numFmtId="0" fontId="26" fillId="0" borderId="105" xfId="0" applyFont="1" applyBorder="1" applyAlignment="1" applyProtection="1">
      <alignment horizontal="center" wrapText="1"/>
    </xf>
    <xf numFmtId="49" fontId="14" fillId="0" borderId="245" xfId="0" applyNumberFormat="1" applyFont="1" applyFill="1" applyBorder="1" applyAlignment="1" applyProtection="1">
      <alignment horizontal="center"/>
    </xf>
    <xf numFmtId="49" fontId="14" fillId="0" borderId="43" xfId="0" applyNumberFormat="1" applyFont="1" applyFill="1" applyBorder="1" applyAlignment="1" applyProtection="1">
      <alignment horizontal="center"/>
    </xf>
    <xf numFmtId="164" fontId="14" fillId="0" borderId="115" xfId="0" applyNumberFormat="1" applyFont="1" applyBorder="1" applyAlignment="1" applyProtection="1">
      <alignment horizontal="center"/>
    </xf>
    <xf numFmtId="0" fontId="14" fillId="0" borderId="116" xfId="0" applyFont="1" applyBorder="1" applyAlignment="1" applyProtection="1">
      <alignment horizontal="center"/>
    </xf>
    <xf numFmtId="0" fontId="14" fillId="0" borderId="117" xfId="0" applyFont="1" applyBorder="1" applyAlignment="1" applyProtection="1">
      <alignment horizontal="center"/>
    </xf>
    <xf numFmtId="49" fontId="2" fillId="38" borderId="234" xfId="0" applyNumberFormat="1" applyFont="1" applyFill="1" applyBorder="1" applyAlignment="1" applyProtection="1">
      <alignment horizontal="left" vertical="center" wrapText="1"/>
      <protection locked="0"/>
    </xf>
    <xf numFmtId="49" fontId="2" fillId="38" borderId="94" xfId="0" applyNumberFormat="1" applyFont="1" applyFill="1" applyBorder="1" applyAlignment="1" applyProtection="1">
      <alignment horizontal="left" vertical="center" wrapText="1"/>
      <protection locked="0"/>
    </xf>
    <xf numFmtId="49" fontId="2" fillId="38" borderId="235" xfId="0" applyNumberFormat="1" applyFont="1" applyFill="1" applyBorder="1" applyAlignment="1" applyProtection="1">
      <alignment horizontal="left" vertical="center" wrapText="1"/>
      <protection locked="0"/>
    </xf>
    <xf numFmtId="49" fontId="2" fillId="38" borderId="236" xfId="0" applyNumberFormat="1" applyFont="1" applyFill="1" applyBorder="1" applyAlignment="1" applyProtection="1">
      <alignment horizontal="left" vertical="center" wrapText="1"/>
      <protection locked="0"/>
    </xf>
    <xf numFmtId="49" fontId="2" fillId="38" borderId="97" xfId="0" applyNumberFormat="1" applyFont="1" applyFill="1" applyBorder="1" applyAlignment="1" applyProtection="1">
      <alignment horizontal="left" vertical="center" wrapText="1"/>
      <protection locked="0"/>
    </xf>
    <xf numFmtId="49" fontId="2" fillId="38" borderId="237" xfId="0" applyNumberFormat="1" applyFont="1" applyFill="1" applyBorder="1" applyAlignment="1" applyProtection="1">
      <alignment horizontal="left" vertical="center" wrapText="1"/>
      <protection locked="0"/>
    </xf>
    <xf numFmtId="49" fontId="14" fillId="0" borderId="243" xfId="0" applyNumberFormat="1" applyFont="1" applyFill="1" applyBorder="1" applyAlignment="1" applyProtection="1">
      <alignment horizontal="center"/>
    </xf>
    <xf numFmtId="49" fontId="14" fillId="0" borderId="244" xfId="0" applyNumberFormat="1" applyFont="1" applyFill="1" applyBorder="1" applyAlignment="1" applyProtection="1">
      <alignment horizontal="center"/>
    </xf>
    <xf numFmtId="0" fontId="0" fillId="22" borderId="41" xfId="0" applyFill="1" applyBorder="1" applyAlignment="1" applyProtection="1">
      <alignment horizontal="center"/>
    </xf>
    <xf numFmtId="0" fontId="0" fillId="22" borderId="43" xfId="0" applyFill="1" applyBorder="1" applyAlignment="1" applyProtection="1">
      <alignment horizontal="center"/>
    </xf>
    <xf numFmtId="49" fontId="0" fillId="0" borderId="10" xfId="0" applyNumberFormat="1" applyBorder="1" applyAlignment="1" applyProtection="1">
      <alignment horizontal="center"/>
      <protection locked="0"/>
    </xf>
    <xf numFmtId="0" fontId="154" fillId="22" borderId="102" xfId="0" applyNumberFormat="1" applyFont="1" applyFill="1" applyBorder="1" applyAlignment="1" applyProtection="1">
      <alignment horizontal="center" vertical="center" wrapText="1"/>
      <protection locked="0"/>
    </xf>
    <xf numFmtId="0" fontId="76" fillId="0" borderId="118" xfId="0" applyFont="1" applyFill="1" applyBorder="1" applyAlignment="1" applyProtection="1">
      <alignment horizontal="center" vertical="center"/>
    </xf>
    <xf numFmtId="0" fontId="76" fillId="0" borderId="119" xfId="0" applyFont="1" applyFill="1" applyBorder="1" applyAlignment="1" applyProtection="1">
      <alignment horizontal="center" vertical="center"/>
    </xf>
    <xf numFmtId="0" fontId="76" fillId="0" borderId="120" xfId="0" applyFont="1" applyFill="1" applyBorder="1" applyAlignment="1" applyProtection="1">
      <alignment horizontal="center" vertical="center"/>
    </xf>
    <xf numFmtId="49" fontId="66" fillId="22" borderId="240" xfId="0" applyNumberFormat="1" applyFont="1" applyFill="1" applyBorder="1" applyAlignment="1" applyProtection="1">
      <alignment horizontal="center" vertical="center" wrapText="1"/>
      <protection locked="0"/>
    </xf>
    <xf numFmtId="49" fontId="66" fillId="22" borderId="121" xfId="0" applyNumberFormat="1" applyFont="1" applyFill="1" applyBorder="1" applyAlignment="1" applyProtection="1">
      <alignment horizontal="center" vertical="center" wrapText="1"/>
      <protection locked="0"/>
    </xf>
    <xf numFmtId="0" fontId="154" fillId="28" borderId="102" xfId="0" applyNumberFormat="1" applyFont="1" applyFill="1" applyBorder="1" applyAlignment="1" applyProtection="1">
      <alignment horizontal="center" vertical="center" wrapText="1"/>
      <protection locked="0"/>
    </xf>
    <xf numFmtId="49" fontId="2" fillId="22" borderId="240" xfId="0" applyNumberFormat="1" applyFont="1" applyFill="1" applyBorder="1" applyAlignment="1" applyProtection="1">
      <alignment horizontal="center" vertical="center" wrapText="1"/>
      <protection locked="0"/>
    </xf>
    <xf numFmtId="49" fontId="2" fillId="22" borderId="121" xfId="0" applyNumberFormat="1" applyFont="1" applyFill="1" applyBorder="1" applyAlignment="1" applyProtection="1">
      <alignment horizontal="center" vertical="center" wrapText="1"/>
      <protection locked="0"/>
    </xf>
    <xf numFmtId="49" fontId="2" fillId="40" borderId="234" xfId="0" applyNumberFormat="1" applyFont="1" applyFill="1" applyBorder="1" applyAlignment="1" applyProtection="1">
      <alignment horizontal="left" vertical="center" wrapText="1"/>
      <protection locked="0"/>
    </xf>
    <xf numFmtId="49" fontId="2" fillId="40" borderId="94" xfId="0" applyNumberFormat="1" applyFont="1" applyFill="1" applyBorder="1" applyAlignment="1" applyProtection="1">
      <alignment horizontal="left" vertical="center" wrapText="1"/>
      <protection locked="0"/>
    </xf>
    <xf numFmtId="49" fontId="2" fillId="40" borderId="235" xfId="0" applyNumberFormat="1" applyFont="1" applyFill="1" applyBorder="1" applyAlignment="1" applyProtection="1">
      <alignment horizontal="left" vertical="center" wrapText="1"/>
      <protection locked="0"/>
    </xf>
    <xf numFmtId="49" fontId="2" fillId="40" borderId="236" xfId="0" applyNumberFormat="1" applyFont="1" applyFill="1" applyBorder="1" applyAlignment="1" applyProtection="1">
      <alignment horizontal="left" vertical="center" wrapText="1"/>
      <protection locked="0"/>
    </xf>
    <xf numFmtId="49" fontId="2" fillId="40" borderId="97" xfId="0" applyNumberFormat="1" applyFont="1" applyFill="1" applyBorder="1" applyAlignment="1" applyProtection="1">
      <alignment horizontal="left" vertical="center" wrapText="1"/>
      <protection locked="0"/>
    </xf>
    <xf numFmtId="49" fontId="2" fillId="40" borderId="237" xfId="0" applyNumberFormat="1" applyFont="1" applyFill="1" applyBorder="1" applyAlignment="1" applyProtection="1">
      <alignment horizontal="left" vertical="center" wrapText="1"/>
      <protection locked="0"/>
    </xf>
    <xf numFmtId="49" fontId="2" fillId="28" borderId="240" xfId="0" applyNumberFormat="1" applyFont="1" applyFill="1" applyBorder="1" applyAlignment="1" applyProtection="1">
      <alignment horizontal="center" vertical="center" wrapText="1"/>
      <protection locked="0"/>
    </xf>
    <xf numFmtId="49" fontId="2" fillId="28" borderId="121" xfId="0" applyNumberFormat="1" applyFont="1" applyFill="1" applyBorder="1" applyAlignment="1" applyProtection="1">
      <alignment horizontal="center" vertical="center" wrapText="1"/>
      <protection locked="0"/>
    </xf>
    <xf numFmtId="0" fontId="66" fillId="0" borderId="250" xfId="0" applyFont="1" applyFill="1" applyBorder="1" applyAlignment="1" applyProtection="1">
      <alignment horizontal="left" vertical="center" wrapText="1"/>
    </xf>
    <xf numFmtId="0" fontId="66" fillId="0" borderId="251" xfId="0" applyFont="1" applyFill="1" applyBorder="1" applyAlignment="1" applyProtection="1">
      <alignment horizontal="left" vertical="center" wrapText="1"/>
    </xf>
    <xf numFmtId="0" fontId="66" fillId="0" borderId="252" xfId="0" applyFont="1" applyFill="1" applyBorder="1" applyAlignment="1" applyProtection="1">
      <alignment horizontal="left" vertical="center" wrapText="1"/>
    </xf>
    <xf numFmtId="0" fontId="66" fillId="0" borderId="253" xfId="0" applyFont="1" applyFill="1" applyBorder="1" applyAlignment="1" applyProtection="1">
      <alignment horizontal="left" vertical="center" wrapText="1"/>
    </xf>
    <xf numFmtId="0" fontId="66" fillId="0" borderId="25" xfId="0" applyFont="1" applyFill="1" applyBorder="1" applyAlignment="1" applyProtection="1">
      <alignment horizontal="left" vertical="center" wrapText="1"/>
    </xf>
    <xf numFmtId="0" fontId="66" fillId="0" borderId="254" xfId="0" applyFont="1" applyFill="1" applyBorder="1" applyAlignment="1" applyProtection="1">
      <alignment horizontal="left" vertical="center" wrapText="1"/>
    </xf>
    <xf numFmtId="0" fontId="66" fillId="24" borderId="238" xfId="0" applyFont="1" applyFill="1" applyBorder="1" applyAlignment="1" applyProtection="1">
      <alignment horizontal="center" vertical="center" wrapText="1"/>
    </xf>
    <xf numFmtId="0" fontId="66" fillId="24" borderId="239" xfId="0" applyFont="1" applyFill="1" applyBorder="1" applyAlignment="1" applyProtection="1">
      <alignment horizontal="center" vertical="center" wrapText="1"/>
    </xf>
    <xf numFmtId="0" fontId="66" fillId="0" borderId="238" xfId="0" applyFont="1" applyFill="1" applyBorder="1" applyAlignment="1" applyProtection="1">
      <alignment horizontal="center" vertical="center" wrapText="1"/>
    </xf>
    <xf numFmtId="0" fontId="66" fillId="0" borderId="249" xfId="0" applyFont="1" applyFill="1" applyBorder="1" applyAlignment="1" applyProtection="1">
      <alignment horizontal="center" vertical="center" wrapText="1"/>
    </xf>
    <xf numFmtId="0" fontId="66" fillId="0" borderId="234" xfId="0" applyFont="1" applyFill="1" applyBorder="1" applyAlignment="1" applyProtection="1">
      <alignment horizontal="left" vertical="center" wrapText="1"/>
    </xf>
    <xf numFmtId="0" fontId="66" fillId="0" borderId="94" xfId="0" applyFont="1" applyFill="1" applyBorder="1" applyAlignment="1" applyProtection="1">
      <alignment horizontal="left" vertical="center" wrapText="1"/>
    </xf>
    <xf numFmtId="0" fontId="66" fillId="0" borderId="235" xfId="0" applyFont="1" applyFill="1" applyBorder="1" applyAlignment="1" applyProtection="1">
      <alignment horizontal="left" vertical="center" wrapText="1"/>
    </xf>
    <xf numFmtId="0" fontId="66" fillId="24" borderId="250" xfId="0" applyFont="1" applyFill="1" applyBorder="1" applyAlignment="1" applyProtection="1">
      <alignment horizontal="left" vertical="center" wrapText="1"/>
    </xf>
    <xf numFmtId="0" fontId="66" fillId="24" borderId="251" xfId="0" applyFont="1" applyFill="1" applyBorder="1" applyAlignment="1" applyProtection="1">
      <alignment horizontal="left" vertical="center" wrapText="1"/>
    </xf>
    <xf numFmtId="0" fontId="66" fillId="24" borderId="252" xfId="0" applyFont="1" applyFill="1" applyBorder="1" applyAlignment="1" applyProtection="1">
      <alignment horizontal="left" vertical="center" wrapText="1"/>
    </xf>
    <xf numFmtId="0" fontId="66" fillId="24" borderId="253" xfId="0" applyFont="1" applyFill="1" applyBorder="1" applyAlignment="1" applyProtection="1">
      <alignment horizontal="left" vertical="center" wrapText="1"/>
    </xf>
    <xf numFmtId="0" fontId="66" fillId="24" borderId="25" xfId="0" applyFont="1" applyFill="1" applyBorder="1" applyAlignment="1" applyProtection="1">
      <alignment horizontal="left" vertical="center" wrapText="1"/>
    </xf>
    <xf numFmtId="0" fontId="66" fillId="24" borderId="254" xfId="0" applyFont="1" applyFill="1" applyBorder="1" applyAlignment="1" applyProtection="1">
      <alignment horizontal="left" vertical="center" wrapText="1"/>
    </xf>
    <xf numFmtId="0" fontId="66" fillId="0" borderId="240" xfId="0" applyFont="1" applyFill="1" applyBorder="1" applyAlignment="1" applyProtection="1">
      <alignment horizontal="center" vertical="center" wrapText="1"/>
    </xf>
    <xf numFmtId="0" fontId="66" fillId="0" borderId="248" xfId="0" applyFont="1" applyFill="1" applyBorder="1" applyAlignment="1" applyProtection="1">
      <alignment horizontal="center" vertical="center" wrapText="1"/>
    </xf>
    <xf numFmtId="0" fontId="66" fillId="24" borderId="240" xfId="0" applyFont="1" applyFill="1" applyBorder="1" applyAlignment="1" applyProtection="1">
      <alignment horizontal="center" vertical="center" wrapText="1"/>
    </xf>
    <xf numFmtId="0" fontId="66" fillId="24" borderId="121" xfId="0" applyFont="1" applyFill="1" applyBorder="1" applyAlignment="1" applyProtection="1">
      <alignment horizontal="center" vertical="center" wrapText="1"/>
    </xf>
    <xf numFmtId="0" fontId="66" fillId="0" borderId="239" xfId="0" applyFont="1" applyFill="1" applyBorder="1" applyAlignment="1" applyProtection="1">
      <alignment horizontal="center" vertical="center" wrapText="1"/>
    </xf>
    <xf numFmtId="0" fontId="66" fillId="0" borderId="121" xfId="0" applyFont="1" applyFill="1" applyBorder="1" applyAlignment="1" applyProtection="1">
      <alignment horizontal="center" vertical="center" wrapText="1"/>
    </xf>
    <xf numFmtId="0" fontId="158" fillId="44" borderId="48" xfId="0" applyFont="1" applyFill="1" applyBorder="1" applyAlignment="1" applyProtection="1">
      <alignment horizontal="center" vertical="center"/>
    </xf>
    <xf numFmtId="0" fontId="158" fillId="44" borderId="264" xfId="0" applyFont="1" applyFill="1" applyBorder="1" applyAlignment="1" applyProtection="1">
      <alignment horizontal="center" vertical="center"/>
    </xf>
    <xf numFmtId="0" fontId="158" fillId="44" borderId="51" xfId="0" applyFont="1" applyFill="1" applyBorder="1" applyAlignment="1" applyProtection="1">
      <alignment horizontal="center" vertical="center"/>
    </xf>
    <xf numFmtId="9" fontId="33" fillId="0" borderId="99" xfId="61" applyFont="1" applyFill="1" applyBorder="1" applyAlignment="1" applyProtection="1">
      <alignment horizontal="center" vertical="center"/>
    </xf>
    <xf numFmtId="9" fontId="33" fillId="0" borderId="100" xfId="61" applyFont="1" applyFill="1" applyBorder="1" applyAlignment="1" applyProtection="1">
      <alignment horizontal="center" vertical="center"/>
    </xf>
    <xf numFmtId="9" fontId="33" fillId="0" borderId="101" xfId="61" applyFont="1" applyFill="1" applyBorder="1" applyAlignment="1" applyProtection="1">
      <alignment horizontal="center" vertical="center"/>
    </xf>
    <xf numFmtId="0" fontId="0" fillId="31" borderId="103" xfId="0" applyFill="1" applyBorder="1" applyAlignment="1" applyProtection="1">
      <alignment horizontal="center"/>
    </xf>
    <xf numFmtId="0" fontId="0" fillId="31" borderId="104" xfId="0" applyFill="1" applyBorder="1" applyAlignment="1" applyProtection="1">
      <alignment horizontal="center"/>
    </xf>
    <xf numFmtId="0" fontId="0" fillId="31" borderId="105" xfId="0" applyFill="1" applyBorder="1" applyAlignment="1" applyProtection="1">
      <alignment horizontal="center"/>
    </xf>
    <xf numFmtId="49" fontId="154" fillId="22" borderId="43" xfId="0" applyNumberFormat="1" applyFont="1" applyFill="1" applyBorder="1" applyAlignment="1" applyProtection="1">
      <alignment horizontal="center" vertical="center" wrapText="1"/>
      <protection locked="0"/>
    </xf>
    <xf numFmtId="49" fontId="154" fillId="28" borderId="111" xfId="0" applyNumberFormat="1" applyFont="1" applyFill="1" applyBorder="1" applyAlignment="1" applyProtection="1">
      <alignment horizontal="left" vertical="center" wrapText="1"/>
      <protection locked="0"/>
    </xf>
    <xf numFmtId="49" fontId="154" fillId="28" borderId="10" xfId="0" applyNumberFormat="1" applyFont="1" applyFill="1" applyBorder="1" applyAlignment="1" applyProtection="1">
      <alignment horizontal="left" vertical="center" wrapText="1"/>
      <protection locked="0"/>
    </xf>
    <xf numFmtId="49" fontId="154" fillId="28" borderId="41" xfId="0" applyNumberFormat="1" applyFont="1" applyFill="1" applyBorder="1" applyAlignment="1" applyProtection="1">
      <alignment horizontal="left" vertical="center" wrapText="1"/>
      <protection locked="0"/>
    </xf>
    <xf numFmtId="49" fontId="154" fillId="28" borderId="43" xfId="0" applyNumberFormat="1" applyFont="1" applyFill="1" applyBorder="1" applyAlignment="1" applyProtection="1">
      <alignment horizontal="center" vertical="center" wrapText="1"/>
      <protection locked="0"/>
    </xf>
    <xf numFmtId="49" fontId="154" fillId="43" borderId="111" xfId="0" applyNumberFormat="1" applyFont="1" applyFill="1" applyBorder="1" applyAlignment="1" applyProtection="1">
      <alignment horizontal="left" vertical="center" wrapText="1"/>
      <protection locked="0"/>
    </xf>
    <xf numFmtId="49" fontId="154" fillId="43" borderId="10" xfId="0" applyNumberFormat="1" applyFont="1" applyFill="1" applyBorder="1" applyAlignment="1" applyProtection="1">
      <alignment horizontal="left" vertical="center" wrapText="1"/>
      <protection locked="0"/>
    </xf>
    <xf numFmtId="49" fontId="154" fillId="43" borderId="41" xfId="0" applyNumberFormat="1" applyFont="1" applyFill="1" applyBorder="1" applyAlignment="1" applyProtection="1">
      <alignment horizontal="left" vertical="center" wrapText="1"/>
      <protection locked="0"/>
    </xf>
    <xf numFmtId="49" fontId="154" fillId="22" borderId="121" xfId="0" applyNumberFormat="1" applyFont="1" applyFill="1" applyBorder="1" applyAlignment="1" applyProtection="1">
      <alignment horizontal="left" vertical="center" wrapText="1"/>
      <protection locked="0"/>
    </xf>
    <xf numFmtId="49" fontId="154" fillId="22" borderId="87" xfId="0" applyNumberFormat="1" applyFont="1" applyFill="1" applyBorder="1" applyAlignment="1" applyProtection="1">
      <alignment horizontal="left" vertical="center" wrapText="1"/>
      <protection locked="0"/>
    </xf>
    <xf numFmtId="49" fontId="154" fillId="22" borderId="88" xfId="0" applyNumberFormat="1" applyFont="1" applyFill="1" applyBorder="1" applyAlignment="1" applyProtection="1">
      <alignment horizontal="left" vertical="center" wrapText="1"/>
      <protection locked="0"/>
    </xf>
    <xf numFmtId="49" fontId="154" fillId="22" borderId="111" xfId="0" applyNumberFormat="1" applyFont="1" applyFill="1" applyBorder="1" applyAlignment="1" applyProtection="1">
      <alignment horizontal="left" vertical="center" wrapText="1"/>
      <protection locked="0"/>
    </xf>
    <xf numFmtId="49" fontId="154" fillId="22" borderId="10" xfId="0" applyNumberFormat="1" applyFont="1" applyFill="1" applyBorder="1" applyAlignment="1" applyProtection="1">
      <alignment horizontal="left" vertical="center" wrapText="1"/>
      <protection locked="0"/>
    </xf>
    <xf numFmtId="49" fontId="154" fillId="22" borderId="41" xfId="0" applyNumberFormat="1" applyFont="1" applyFill="1" applyBorder="1" applyAlignment="1" applyProtection="1">
      <alignment horizontal="left" vertical="center" wrapText="1"/>
      <protection locked="0"/>
    </xf>
    <xf numFmtId="0" fontId="154" fillId="22" borderId="106" xfId="0" applyNumberFormat="1" applyFont="1" applyFill="1" applyBorder="1" applyAlignment="1" applyProtection="1">
      <alignment horizontal="center" vertical="center" wrapText="1"/>
      <protection locked="0"/>
    </xf>
    <xf numFmtId="0" fontId="154" fillId="22" borderId="238" xfId="0" applyNumberFormat="1" applyFont="1" applyFill="1" applyBorder="1" applyAlignment="1" applyProtection="1">
      <alignment horizontal="center" vertical="center" wrapText="1"/>
      <protection locked="0"/>
    </xf>
    <xf numFmtId="0" fontId="154" fillId="22" borderId="239" xfId="0" applyNumberFormat="1" applyFont="1" applyFill="1" applyBorder="1" applyAlignment="1" applyProtection="1">
      <alignment horizontal="center" vertical="center" wrapText="1"/>
      <protection locked="0"/>
    </xf>
    <xf numFmtId="0" fontId="154" fillId="0" borderId="43" xfId="0" applyFont="1" applyFill="1" applyBorder="1" applyAlignment="1" applyProtection="1">
      <alignment horizontal="center" vertical="center" wrapText="1"/>
    </xf>
    <xf numFmtId="0" fontId="154" fillId="24" borderId="106" xfId="0" applyFont="1" applyFill="1" applyBorder="1" applyAlignment="1" applyProtection="1">
      <alignment horizontal="left" vertical="center" wrapText="1"/>
    </xf>
    <xf numFmtId="0" fontId="154" fillId="24" borderId="42" xfId="0" applyFont="1" applyFill="1" applyBorder="1" applyAlignment="1" applyProtection="1">
      <alignment horizontal="left" vertical="center" wrapText="1"/>
    </xf>
    <xf numFmtId="0" fontId="154" fillId="24" borderId="107" xfId="0" applyFont="1" applyFill="1" applyBorder="1" applyAlignment="1" applyProtection="1">
      <alignment horizontal="left" vertical="center" wrapText="1"/>
    </xf>
    <xf numFmtId="0" fontId="154" fillId="24" borderId="108" xfId="0" applyFont="1" applyFill="1" applyBorder="1" applyAlignment="1" applyProtection="1">
      <alignment horizontal="left" vertical="center" wrapText="1"/>
    </xf>
    <xf numFmtId="0" fontId="154" fillId="24" borderId="109" xfId="0" applyFont="1" applyFill="1" applyBorder="1" applyAlignment="1" applyProtection="1">
      <alignment horizontal="left" vertical="center" wrapText="1"/>
    </xf>
    <xf numFmtId="0" fontId="154" fillId="24" borderId="110" xfId="0" applyFont="1" applyFill="1" applyBorder="1" applyAlignment="1" applyProtection="1">
      <alignment horizontal="left" vertical="center" wrapText="1"/>
    </xf>
    <xf numFmtId="0" fontId="158" fillId="44" borderId="264" xfId="0" applyFont="1" applyFill="1" applyBorder="1" applyAlignment="1" applyProtection="1">
      <alignment horizontal="center" vertical="center"/>
      <protection locked="0"/>
    </xf>
    <xf numFmtId="0" fontId="0" fillId="0" borderId="265" xfId="0" applyBorder="1" applyAlignment="1">
      <alignment horizontal="center"/>
    </xf>
    <xf numFmtId="0" fontId="0" fillId="0" borderId="53" xfId="0" applyBorder="1" applyAlignment="1">
      <alignment horizontal="center"/>
    </xf>
    <xf numFmtId="0" fontId="154" fillId="0" borderId="106" xfId="0" applyFont="1" applyFill="1" applyBorder="1" applyAlignment="1" applyProtection="1">
      <alignment horizontal="left" vertical="center" wrapText="1"/>
    </xf>
    <xf numFmtId="0" fontId="154" fillId="0" borderId="42" xfId="0" applyFont="1" applyFill="1" applyBorder="1" applyAlignment="1" applyProtection="1">
      <alignment horizontal="left" vertical="center" wrapText="1"/>
    </xf>
    <xf numFmtId="0" fontId="154" fillId="0" borderId="107" xfId="0" applyFont="1" applyFill="1" applyBorder="1" applyAlignment="1" applyProtection="1">
      <alignment horizontal="left" vertical="center" wrapText="1"/>
    </xf>
    <xf numFmtId="0" fontId="154" fillId="0" borderId="108" xfId="0" applyFont="1" applyFill="1" applyBorder="1" applyAlignment="1" applyProtection="1">
      <alignment horizontal="left" vertical="center" wrapText="1"/>
    </xf>
    <xf numFmtId="0" fontId="154" fillId="0" borderId="109" xfId="0" applyFont="1" applyFill="1" applyBorder="1" applyAlignment="1" applyProtection="1">
      <alignment horizontal="left" vertical="center" wrapText="1"/>
    </xf>
    <xf numFmtId="0" fontId="154" fillId="0" borderId="110" xfId="0" applyFont="1" applyFill="1" applyBorder="1" applyAlignment="1" applyProtection="1">
      <alignment horizontal="left" vertical="center" wrapText="1"/>
    </xf>
    <xf numFmtId="0" fontId="154" fillId="0" borderId="102" xfId="0" applyFont="1" applyFill="1" applyBorder="1" applyAlignment="1" applyProtection="1">
      <alignment horizontal="center" vertical="center" wrapText="1"/>
    </xf>
    <xf numFmtId="0" fontId="154" fillId="24" borderId="102" xfId="0" applyFont="1" applyFill="1" applyBorder="1" applyAlignment="1" applyProtection="1">
      <alignment horizontal="center" vertical="center" wrapText="1"/>
    </xf>
    <xf numFmtId="0" fontId="154" fillId="24" borderId="43" xfId="0" applyFont="1" applyFill="1" applyBorder="1" applyAlignment="1" applyProtection="1">
      <alignment horizontal="center" vertical="center" wrapText="1"/>
    </xf>
    <xf numFmtId="0" fontId="154" fillId="0" borderId="112" xfId="0" applyFont="1" applyFill="1" applyBorder="1" applyAlignment="1" applyProtection="1">
      <alignment horizontal="center" vertical="center" wrapText="1"/>
    </xf>
    <xf numFmtId="0" fontId="154" fillId="0" borderId="113" xfId="0" applyFont="1" applyFill="1" applyBorder="1" applyAlignment="1" applyProtection="1">
      <alignment horizontal="center" vertical="center" wrapText="1"/>
    </xf>
    <xf numFmtId="164" fontId="105" fillId="30" borderId="0" xfId="38" applyFont="1" applyFill="1" applyAlignment="1" applyProtection="1">
      <alignment horizontal="center" vertical="center"/>
    </xf>
    <xf numFmtId="164" fontId="24" fillId="25" borderId="38" xfId="56" applyFont="1" applyFill="1" applyBorder="1" applyAlignment="1" applyProtection="1">
      <alignment horizontal="center"/>
    </xf>
    <xf numFmtId="164" fontId="33" fillId="25" borderId="0" xfId="49" applyFont="1" applyFill="1" applyAlignment="1" applyProtection="1">
      <alignment horizontal="center" vertical="center" wrapText="1"/>
    </xf>
    <xf numFmtId="174" fontId="24" fillId="25" borderId="38" xfId="56" applyNumberFormat="1" applyFont="1" applyFill="1" applyBorder="1" applyAlignment="1" applyProtection="1">
      <alignment horizontal="center" vertical="center"/>
    </xf>
    <xf numFmtId="164" fontId="1" fillId="0" borderId="38" xfId="56" applyFont="1" applyBorder="1" applyAlignment="1" applyProtection="1">
      <alignment horizontal="right"/>
    </xf>
    <xf numFmtId="164" fontId="1" fillId="0" borderId="38" xfId="56" applyFont="1" applyFill="1" applyBorder="1" applyAlignment="1" applyProtection="1">
      <alignment horizontal="right" wrapText="1"/>
    </xf>
    <xf numFmtId="164" fontId="20" fillId="0" borderId="0" xfId="49" applyFont="1" applyFill="1" applyAlignment="1" applyProtection="1">
      <alignment horizontal="right" vertical="center"/>
    </xf>
    <xf numFmtId="164" fontId="24" fillId="25" borderId="0" xfId="49" applyFont="1" applyFill="1" applyAlignment="1" applyProtection="1">
      <alignment horizontal="center" vertical="center" wrapText="1"/>
    </xf>
    <xf numFmtId="164" fontId="1" fillId="0" borderId="38" xfId="56" applyFont="1" applyFill="1" applyBorder="1" applyAlignment="1" applyProtection="1">
      <alignment horizontal="right" vertical="top" wrapText="1"/>
    </xf>
    <xf numFmtId="0" fontId="0" fillId="0" borderId="38" xfId="0" applyBorder="1"/>
    <xf numFmtId="164" fontId="114" fillId="33" borderId="38" xfId="56" applyFont="1" applyFill="1" applyBorder="1" applyAlignment="1" applyProtection="1">
      <alignment horizontal="center" wrapText="1"/>
    </xf>
    <xf numFmtId="15" fontId="24" fillId="25" borderId="38" xfId="56" applyNumberFormat="1" applyFont="1" applyFill="1" applyBorder="1" applyAlignment="1" applyProtection="1">
      <alignment horizontal="center"/>
    </xf>
    <xf numFmtId="0" fontId="0" fillId="0" borderId="38" xfId="0" applyBorder="1" applyAlignment="1"/>
    <xf numFmtId="0" fontId="115" fillId="0" borderId="123" xfId="0" applyFont="1" applyFill="1" applyBorder="1" applyAlignment="1" applyProtection="1">
      <alignment horizontal="left" wrapText="1"/>
    </xf>
    <xf numFmtId="0" fontId="115" fillId="0" borderId="73" xfId="0" applyFont="1" applyFill="1" applyBorder="1" applyAlignment="1" applyProtection="1">
      <alignment horizontal="left" wrapText="1"/>
    </xf>
    <xf numFmtId="0" fontId="115" fillId="0" borderId="124" xfId="0" applyFont="1" applyFill="1" applyBorder="1" applyAlignment="1" applyProtection="1">
      <alignment horizontal="left" wrapText="1"/>
    </xf>
    <xf numFmtId="0" fontId="115" fillId="0" borderId="125" xfId="0" applyFont="1" applyFill="1" applyBorder="1" applyAlignment="1" applyProtection="1">
      <alignment horizontal="left" wrapText="1"/>
    </xf>
    <xf numFmtId="164" fontId="60" fillId="30" borderId="0" xfId="47" applyFont="1" applyFill="1" applyAlignment="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3" borderId="0" xfId="56" applyFont="1" applyFill="1" applyBorder="1" applyAlignment="1" applyProtection="1">
      <alignment horizontal="center" wrapText="1"/>
    </xf>
    <xf numFmtId="0" fontId="111" fillId="0" borderId="0" xfId="0" applyFont="1" applyAlignment="1" applyProtection="1">
      <alignment horizontal="center"/>
    </xf>
    <xf numFmtId="164" fontId="110" fillId="0" borderId="103" xfId="0" applyNumberFormat="1" applyFont="1" applyBorder="1" applyAlignment="1" applyProtection="1">
      <alignment horizontal="center" vertical="center" wrapText="1"/>
    </xf>
    <xf numFmtId="164" fontId="110" fillId="0" borderId="104" xfId="0" applyNumberFormat="1" applyFont="1" applyBorder="1" applyAlignment="1" applyProtection="1">
      <alignment horizontal="center" vertical="center" wrapText="1"/>
    </xf>
    <xf numFmtId="164" fontId="110" fillId="0" borderId="105" xfId="0" applyNumberFormat="1" applyFont="1" applyBorder="1" applyAlignment="1" applyProtection="1">
      <alignment horizontal="center" vertical="center" wrapText="1"/>
    </xf>
    <xf numFmtId="0" fontId="0" fillId="0" borderId="126" xfId="0" applyBorder="1" applyAlignment="1" applyProtection="1">
      <alignment horizontal="center"/>
    </xf>
    <xf numFmtId="0" fontId="0" fillId="0" borderId="56" xfId="0" applyBorder="1" applyAlignment="1" applyProtection="1">
      <alignment horizontal="center"/>
    </xf>
    <xf numFmtId="0" fontId="30" fillId="22" borderId="41" xfId="0" applyFont="1"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43" xfId="0" applyBorder="1" applyAlignment="1" applyProtection="1">
      <alignment horizontal="left" wrapText="1"/>
      <protection locked="0"/>
    </xf>
    <xf numFmtId="0" fontId="34" fillId="22" borderId="41" xfId="0" applyFont="1" applyFill="1" applyBorder="1" applyAlignment="1" applyProtection="1">
      <alignment horizontal="left" wrapText="1"/>
      <protection locked="0"/>
    </xf>
    <xf numFmtId="0" fontId="34" fillId="22" borderId="42"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34" fillId="22" borderId="104" xfId="0" applyFont="1" applyFill="1" applyBorder="1" applyAlignment="1" applyProtection="1">
      <alignment horizontal="left" vertical="top" wrapText="1"/>
      <protection locked="0"/>
    </xf>
    <xf numFmtId="0" fontId="34" fillId="22" borderId="105" xfId="0" applyFont="1" applyFill="1" applyBorder="1" applyAlignment="1" applyProtection="1">
      <alignment horizontal="left" vertical="top" wrapText="1"/>
      <protection locked="0"/>
    </xf>
    <xf numFmtId="164" fontId="35" fillId="0" borderId="0" xfId="0" applyNumberFormat="1" applyFont="1" applyAlignment="1">
      <alignment horizontal="center" vertical="center" wrapText="1"/>
    </xf>
    <xf numFmtId="164" fontId="35" fillId="0" borderId="0" xfId="0" applyNumberFormat="1" applyFont="1" applyAlignment="1">
      <alignment horizontal="center" vertical="center"/>
    </xf>
    <xf numFmtId="0" fontId="84" fillId="0" borderId="0" xfId="0" applyFont="1" applyAlignment="1">
      <alignment horizontal="left" wrapText="1"/>
    </xf>
    <xf numFmtId="0" fontId="30" fillId="22" borderId="0" xfId="0" applyFont="1" applyFill="1" applyBorder="1" applyAlignment="1" applyProtection="1">
      <alignment horizontal="left" wrapText="1"/>
      <protection locked="0"/>
    </xf>
    <xf numFmtId="0" fontId="34" fillId="22" borderId="0" xfId="0" applyFont="1" applyFill="1" applyBorder="1" applyAlignment="1" applyProtection="1">
      <alignment horizontal="left" vertical="top" wrapText="1"/>
      <protection locked="0"/>
    </xf>
    <xf numFmtId="0" fontId="142" fillId="56" borderId="48" xfId="0" applyFont="1" applyFill="1" applyBorder="1" applyAlignment="1" applyProtection="1">
      <alignment horizontal="center" vertical="center"/>
    </xf>
    <xf numFmtId="0" fontId="0" fillId="0" borderId="51" xfId="0" applyBorder="1" applyAlignment="1"/>
    <xf numFmtId="0" fontId="142" fillId="55" borderId="264" xfId="0" applyFont="1" applyFill="1" applyBorder="1" applyAlignment="1" applyProtection="1">
      <alignment horizontal="center" vertical="center" wrapText="1"/>
    </xf>
    <xf numFmtId="0" fontId="0" fillId="0" borderId="265" xfId="0" applyBorder="1" applyAlignment="1">
      <alignment horizontal="center" wrapText="1"/>
    </xf>
    <xf numFmtId="0" fontId="0" fillId="0" borderId="53" xfId="0" applyBorder="1" applyAlignment="1">
      <alignment horizontal="center" wrapText="1"/>
    </xf>
    <xf numFmtId="164" fontId="15" fillId="33" borderId="0" xfId="56" applyFont="1" applyFill="1" applyBorder="1" applyAlignment="1" applyProtection="1">
      <alignment horizontal="center" vertical="center" wrapText="1"/>
    </xf>
    <xf numFmtId="164" fontId="14" fillId="0" borderId="0" xfId="0" applyNumberFormat="1" applyFont="1" applyAlignment="1">
      <alignment horizontal="center"/>
    </xf>
    <xf numFmtId="164" fontId="28" fillId="0" borderId="0" xfId="0" applyNumberFormat="1" applyFont="1" applyAlignment="1">
      <alignment horizontal="right"/>
    </xf>
    <xf numFmtId="164" fontId="35" fillId="0" borderId="0" xfId="0" applyNumberFormat="1" applyFont="1" applyAlignment="1">
      <alignment horizontal="left" vertical="center" wrapText="1"/>
    </xf>
    <xf numFmtId="0" fontId="14" fillId="0" borderId="0" xfId="0" applyFont="1" applyBorder="1" applyAlignment="1">
      <alignment horizontal="center"/>
    </xf>
    <xf numFmtId="164" fontId="28" fillId="0" borderId="0" xfId="0" applyNumberFormat="1" applyFont="1" applyAlignment="1">
      <alignment horizontal="left" vertical="center" wrapText="1"/>
    </xf>
    <xf numFmtId="9" fontId="0" fillId="35" borderId="10" xfId="61" applyFont="1" applyFill="1" applyBorder="1" applyAlignment="1" applyProtection="1">
      <alignment horizontal="left" vertical="center" wrapText="1"/>
      <protection locked="0"/>
    </xf>
    <xf numFmtId="9" fontId="1" fillId="35" borderId="10" xfId="61" applyFont="1" applyFill="1" applyBorder="1" applyAlignment="1" applyProtection="1">
      <alignment horizontal="left" vertical="center" wrapText="1"/>
      <protection locked="0"/>
    </xf>
    <xf numFmtId="9" fontId="1" fillId="0" borderId="41" xfId="61" applyFont="1" applyBorder="1" applyAlignment="1" applyProtection="1">
      <alignment horizontal="center" vertical="center" wrapText="1"/>
    </xf>
    <xf numFmtId="9" fontId="1" fillId="0" borderId="42" xfId="61" applyFont="1" applyBorder="1" applyAlignment="1" applyProtection="1">
      <alignment horizontal="center" vertical="center" wrapText="1"/>
    </xf>
    <xf numFmtId="9" fontId="1" fillId="0" borderId="43" xfId="61" applyFont="1" applyBorder="1" applyAlignment="1" applyProtection="1">
      <alignment horizontal="center" vertical="center" wrapText="1"/>
    </xf>
    <xf numFmtId="0" fontId="21" fillId="35" borderId="41" xfId="0" applyFont="1" applyFill="1" applyBorder="1" applyAlignment="1" applyProtection="1">
      <alignment vertical="center" wrapText="1"/>
    </xf>
    <xf numFmtId="0" fontId="21" fillId="35" borderId="42" xfId="0" applyFont="1" applyFill="1" applyBorder="1" applyAlignment="1" applyProtection="1">
      <alignment vertical="center" wrapText="1"/>
    </xf>
    <xf numFmtId="0" fontId="21" fillId="35" borderId="43" xfId="0" applyFont="1" applyFill="1" applyBorder="1" applyAlignment="1" applyProtection="1">
      <alignment vertical="center" wrapText="1"/>
    </xf>
    <xf numFmtId="164" fontId="111" fillId="0" borderId="0" xfId="0" applyNumberFormat="1" applyFont="1" applyAlignment="1" applyProtection="1">
      <alignment horizontal="center"/>
    </xf>
    <xf numFmtId="0" fontId="0" fillId="0" borderId="0" xfId="0" applyAlignment="1">
      <alignment horizontal="center"/>
    </xf>
    <xf numFmtId="9" fontId="155" fillId="31" borderId="41" xfId="61" applyFont="1" applyFill="1" applyBorder="1" applyAlignment="1" applyProtection="1">
      <alignment horizontal="center" vertical="center" wrapText="1"/>
    </xf>
    <xf numFmtId="9" fontId="155" fillId="31" borderId="43" xfId="61" applyFont="1" applyFill="1" applyBorder="1" applyAlignment="1" applyProtection="1">
      <alignment horizontal="center" vertical="center" wrapText="1"/>
    </xf>
    <xf numFmtId="0" fontId="34" fillId="22" borderId="256" xfId="0" applyFont="1" applyFill="1" applyBorder="1" applyAlignment="1" applyProtection="1">
      <alignment horizontal="left" vertical="top" wrapText="1"/>
      <protection locked="0"/>
    </xf>
    <xf numFmtId="0" fontId="0" fillId="0" borderId="104" xfId="0" applyBorder="1" applyAlignment="1">
      <alignment horizontal="left" vertical="top" wrapText="1"/>
    </xf>
    <xf numFmtId="0" fontId="0" fillId="0" borderId="105" xfId="0" applyBorder="1" applyAlignment="1">
      <alignment horizontal="left" vertical="top" wrapText="1"/>
    </xf>
    <xf numFmtId="0" fontId="34" fillId="0" borderId="94" xfId="0" applyFont="1" applyBorder="1" applyAlignment="1" applyProtection="1">
      <alignment horizontal="left" vertical="center"/>
    </xf>
    <xf numFmtId="9" fontId="36" fillId="34" borderId="41" xfId="61" applyFont="1" applyFill="1" applyBorder="1" applyAlignment="1" applyProtection="1">
      <alignment horizontal="center" vertical="center" wrapText="1"/>
    </xf>
    <xf numFmtId="9" fontId="36" fillId="34" borderId="43" xfId="61" applyFont="1" applyFill="1" applyBorder="1" applyAlignment="1" applyProtection="1">
      <alignment horizontal="center" vertical="center" wrapText="1"/>
    </xf>
    <xf numFmtId="0" fontId="34" fillId="0" borderId="41" xfId="0" applyFont="1" applyBorder="1" applyAlignment="1" applyProtection="1">
      <alignment horizontal="center" vertical="center"/>
    </xf>
    <xf numFmtId="0" fontId="34" fillId="0" borderId="42" xfId="0" applyFont="1" applyBorder="1" applyAlignment="1" applyProtection="1">
      <alignment horizontal="center" vertical="center"/>
    </xf>
    <xf numFmtId="0" fontId="34" fillId="0" borderId="43" xfId="0" applyFont="1" applyBorder="1" applyAlignment="1" applyProtection="1">
      <alignment horizontal="center" vertical="center"/>
    </xf>
    <xf numFmtId="0" fontId="21" fillId="35" borderId="41" xfId="0" applyFont="1" applyFill="1" applyBorder="1" applyAlignment="1" applyProtection="1">
      <alignment horizontal="left" vertical="center" wrapText="1"/>
    </xf>
    <xf numFmtId="0" fontId="21" fillId="35" borderId="42"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xf>
    <xf numFmtId="9" fontId="1" fillId="0" borderId="41" xfId="61" applyNumberFormat="1" applyFont="1" applyBorder="1" applyAlignment="1" applyProtection="1">
      <alignment horizontal="center" vertical="center" wrapText="1"/>
    </xf>
    <xf numFmtId="9" fontId="1" fillId="0" borderId="42" xfId="61" applyNumberFormat="1" applyFont="1" applyBorder="1" applyAlignment="1" applyProtection="1">
      <alignment horizontal="center" vertical="center" wrapText="1"/>
    </xf>
    <xf numFmtId="9" fontId="1" fillId="0" borderId="43" xfId="61" applyNumberFormat="1" applyFont="1" applyBorder="1" applyAlignment="1" applyProtection="1">
      <alignment horizontal="center" vertical="center" wrapText="1"/>
    </xf>
    <xf numFmtId="0" fontId="1" fillId="35" borderId="10" xfId="0" applyFont="1" applyFill="1" applyBorder="1" applyAlignment="1" applyProtection="1">
      <alignment vertical="center" wrapText="1"/>
    </xf>
    <xf numFmtId="0" fontId="1" fillId="35" borderId="41" xfId="0" applyFont="1" applyFill="1" applyBorder="1" applyAlignment="1" applyProtection="1">
      <alignment vertical="center" wrapText="1"/>
    </xf>
    <xf numFmtId="0" fontId="1" fillId="35" borderId="42" xfId="0" applyFont="1" applyFill="1" applyBorder="1" applyAlignment="1" applyProtection="1">
      <alignment vertical="center" wrapText="1"/>
    </xf>
    <xf numFmtId="0" fontId="1" fillId="35" borderId="43" xfId="0" applyFont="1" applyFill="1" applyBorder="1" applyAlignment="1" applyProtection="1">
      <alignment vertical="center" wrapText="1"/>
    </xf>
    <xf numFmtId="9" fontId="21" fillId="35" borderId="10" xfId="61" applyFont="1" applyFill="1" applyBorder="1" applyAlignment="1" applyProtection="1">
      <alignment horizontal="left" vertical="center" wrapText="1"/>
      <protection locked="0"/>
    </xf>
    <xf numFmtId="9" fontId="21" fillId="35" borderId="41" xfId="61" applyFont="1" applyFill="1" applyBorder="1" applyAlignment="1" applyProtection="1">
      <alignment horizontal="left" vertical="center" wrapText="1"/>
      <protection locked="0"/>
    </xf>
    <xf numFmtId="9" fontId="21" fillId="35" borderId="42" xfId="61" applyFont="1" applyFill="1" applyBorder="1" applyAlignment="1" applyProtection="1">
      <alignment horizontal="left" vertical="center" wrapText="1"/>
      <protection locked="0"/>
    </xf>
    <xf numFmtId="9" fontId="21" fillId="35" borderId="43" xfId="61" applyFont="1" applyFill="1" applyBorder="1" applyAlignment="1" applyProtection="1">
      <alignment horizontal="left" vertical="center" wrapText="1"/>
      <protection locked="0"/>
    </xf>
    <xf numFmtId="0" fontId="0" fillId="35" borderId="41" xfId="0" applyFill="1" applyBorder="1" applyAlignment="1">
      <alignment horizontal="left" vertical="center" wrapText="1"/>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0" fontId="34" fillId="20" borderId="12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34" fillId="22" borderId="10" xfId="61" applyFont="1" applyFill="1" applyBorder="1" applyAlignment="1" applyProtection="1">
      <alignment horizontal="left" vertical="center" wrapText="1"/>
      <protection locked="0"/>
    </xf>
    <xf numFmtId="0" fontId="34" fillId="20" borderId="0" xfId="0" applyFont="1" applyFill="1" applyBorder="1" applyAlignment="1" applyProtection="1">
      <alignment horizontal="left"/>
    </xf>
    <xf numFmtId="0" fontId="0" fillId="35" borderId="42" xfId="0" applyFill="1" applyBorder="1" applyAlignment="1">
      <alignment vertical="center" wrapText="1"/>
    </xf>
    <xf numFmtId="0" fontId="0" fillId="35" borderId="43" xfId="0" applyFill="1" applyBorder="1" applyAlignment="1">
      <alignment vertical="center" wrapText="1"/>
    </xf>
    <xf numFmtId="0" fontId="0" fillId="0" borderId="257" xfId="0" applyBorder="1" applyAlignment="1">
      <alignment horizontal="left" vertical="top" wrapText="1"/>
    </xf>
    <xf numFmtId="49" fontId="142" fillId="0" borderId="41" xfId="0" applyNumberFormat="1" applyFont="1" applyBorder="1" applyAlignment="1" applyProtection="1">
      <alignment vertical="center" wrapText="1"/>
    </xf>
    <xf numFmtId="0" fontId="142" fillId="0" borderId="42" xfId="0" applyFont="1" applyBorder="1" applyAlignment="1" applyProtection="1">
      <alignment vertical="center" wrapText="1"/>
    </xf>
    <xf numFmtId="0" fontId="142" fillId="0" borderId="43" xfId="0" applyFont="1" applyBorder="1" applyAlignment="1" applyProtection="1">
      <alignment vertical="center" wrapText="1"/>
    </xf>
    <xf numFmtId="9" fontId="139" fillId="31" borderId="41" xfId="61" applyFont="1" applyFill="1" applyBorder="1" applyAlignment="1" applyProtection="1">
      <alignment horizontal="center" vertical="center" wrapText="1"/>
    </xf>
    <xf numFmtId="9" fontId="139" fillId="31" borderId="43" xfId="61" applyFont="1" applyFill="1" applyBorder="1" applyAlignment="1" applyProtection="1">
      <alignment horizontal="center" vertical="center" wrapText="1"/>
    </xf>
    <xf numFmtId="9" fontId="140" fillId="34" borderId="41" xfId="61" applyFont="1" applyFill="1" applyBorder="1" applyAlignment="1" applyProtection="1">
      <alignment horizontal="center" vertical="center" wrapText="1"/>
    </xf>
    <xf numFmtId="9" fontId="140" fillId="34" borderId="43" xfId="61" applyFont="1" applyFill="1" applyBorder="1" applyAlignment="1" applyProtection="1">
      <alignment horizontal="center" vertical="center" wrapText="1"/>
    </xf>
    <xf numFmtId="0" fontId="33" fillId="0" borderId="97" xfId="0" applyFont="1" applyBorder="1" applyAlignment="1" applyProtection="1">
      <alignment horizontal="center"/>
    </xf>
    <xf numFmtId="0" fontId="142" fillId="0" borderId="10" xfId="0" applyFont="1" applyBorder="1" applyAlignment="1" applyProtection="1">
      <alignment horizontal="center" vertical="center" wrapText="1"/>
    </xf>
    <xf numFmtId="0" fontId="142" fillId="0" borderId="41" xfId="0" applyFont="1" applyBorder="1" applyAlignment="1" applyProtection="1">
      <alignment vertical="center" wrapText="1"/>
    </xf>
    <xf numFmtId="9" fontId="1" fillId="35" borderId="41" xfId="61" applyFont="1" applyFill="1" applyBorder="1" applyAlignment="1" applyProtection="1">
      <alignment horizontal="center" vertical="center" wrapText="1"/>
    </xf>
    <xf numFmtId="0" fontId="0" fillId="35" borderId="42" xfId="0" applyFill="1" applyBorder="1" applyAlignment="1">
      <alignment horizontal="center" vertical="center" wrapText="1"/>
    </xf>
    <xf numFmtId="0" fontId="0" fillId="35" borderId="43" xfId="0" applyFill="1" applyBorder="1" applyAlignment="1">
      <alignment horizontal="center" vertical="center" wrapText="1"/>
    </xf>
    <xf numFmtId="49" fontId="142" fillId="0" borderId="42" xfId="0" applyNumberFormat="1" applyFont="1" applyBorder="1" applyAlignment="1" applyProtection="1">
      <alignment vertical="center" wrapText="1"/>
    </xf>
    <xf numFmtId="49" fontId="142" fillId="0" borderId="43" xfId="0" applyNumberFormat="1" applyFont="1" applyBorder="1" applyAlignment="1" applyProtection="1">
      <alignment vertical="center" wrapText="1"/>
    </xf>
    <xf numFmtId="9" fontId="28" fillId="0" borderId="41" xfId="61" applyFont="1" applyBorder="1" applyAlignment="1" applyProtection="1">
      <alignment horizontal="center" vertical="center" wrapText="1"/>
    </xf>
    <xf numFmtId="9" fontId="28" fillId="0" borderId="42" xfId="61" applyFont="1" applyBorder="1" applyAlignment="1" applyProtection="1">
      <alignment horizontal="center" vertical="center" wrapText="1"/>
    </xf>
    <xf numFmtId="9" fontId="28" fillId="0" borderId="43" xfId="61" applyFont="1" applyBorder="1" applyAlignment="1" applyProtection="1">
      <alignment horizontal="center" vertical="center" wrapText="1"/>
    </xf>
    <xf numFmtId="9" fontId="28" fillId="0" borderId="41" xfId="61" applyFont="1" applyFill="1" applyBorder="1" applyAlignment="1" applyProtection="1">
      <alignment horizontal="center" vertical="center" wrapText="1"/>
    </xf>
    <xf numFmtId="9" fontId="28" fillId="0" borderId="42" xfId="61" applyFont="1" applyFill="1" applyBorder="1" applyAlignment="1" applyProtection="1">
      <alignment horizontal="center" vertical="center" wrapText="1"/>
    </xf>
    <xf numFmtId="9" fontId="28" fillId="0" borderId="43" xfId="61" applyFont="1" applyFill="1" applyBorder="1" applyAlignment="1" applyProtection="1">
      <alignment horizontal="center" vertical="center" wrapText="1"/>
    </xf>
    <xf numFmtId="0" fontId="34" fillId="20" borderId="0" xfId="0" applyFont="1" applyFill="1" applyAlignment="1" applyProtection="1">
      <alignment horizontal="center" vertical="center" wrapText="1"/>
    </xf>
    <xf numFmtId="0" fontId="143" fillId="20" borderId="41" xfId="0" applyFont="1" applyFill="1" applyBorder="1" applyAlignment="1" applyProtection="1">
      <alignment vertical="center" wrapText="1"/>
    </xf>
    <xf numFmtId="0" fontId="143" fillId="20" borderId="42" xfId="0" applyFont="1" applyFill="1" applyBorder="1" applyAlignment="1" applyProtection="1">
      <alignment vertical="center" wrapText="1"/>
    </xf>
    <xf numFmtId="0" fontId="143" fillId="20" borderId="43" xfId="0" applyFont="1" applyFill="1" applyBorder="1" applyAlignment="1" applyProtection="1">
      <alignment vertical="center" wrapText="1"/>
    </xf>
    <xf numFmtId="9" fontId="28" fillId="41" borderId="41" xfId="61" applyFont="1" applyFill="1" applyBorder="1" applyAlignment="1" applyProtection="1">
      <alignment horizontal="center" vertical="center" wrapText="1"/>
    </xf>
    <xf numFmtId="9" fontId="28" fillId="41" borderId="42" xfId="61" applyFont="1" applyFill="1" applyBorder="1" applyAlignment="1" applyProtection="1">
      <alignment horizontal="center" vertical="center" wrapText="1"/>
    </xf>
    <xf numFmtId="9" fontId="28" fillId="41" borderId="43" xfId="6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39" xfId="0" applyFont="1" applyFill="1" applyBorder="1" applyAlignment="1" applyProtection="1">
      <alignment horizontal="left"/>
      <protection locked="0"/>
    </xf>
    <xf numFmtId="0" fontId="34" fillId="20" borderId="94" xfId="0" applyFont="1" applyFill="1" applyBorder="1" applyAlignment="1" applyProtection="1">
      <alignment horizontal="left"/>
    </xf>
    <xf numFmtId="0" fontId="34" fillId="20" borderId="94" xfId="0" applyFont="1" applyFill="1" applyBorder="1" applyAlignment="1" applyProtection="1">
      <alignment horizontal="left" vertical="center" wrapText="1"/>
    </xf>
    <xf numFmtId="164" fontId="60" fillId="30" borderId="0" xfId="47" applyFont="1" applyFill="1" applyAlignment="1" applyProtection="1">
      <alignment horizontal="center" vertical="center"/>
    </xf>
    <xf numFmtId="164" fontId="33" fillId="0" borderId="0" xfId="0" applyNumberFormat="1" applyFont="1" applyAlignment="1" applyProtection="1">
      <alignment horizontal="center"/>
    </xf>
    <xf numFmtId="164" fontId="15" fillId="33" borderId="0" xfId="57" applyFont="1" applyFill="1" applyBorder="1" applyAlignment="1" applyProtection="1">
      <alignment horizontal="center"/>
    </xf>
    <xf numFmtId="0" fontId="20" fillId="22" borderId="41" xfId="0" applyFont="1" applyFill="1" applyBorder="1" applyAlignment="1" applyProtection="1">
      <alignment horizontal="left" vertical="top" wrapText="1"/>
      <protection locked="0"/>
    </xf>
    <xf numFmtId="0" fontId="20" fillId="0" borderId="42" xfId="0" applyFont="1" applyBorder="1" applyAlignment="1">
      <alignment horizontal="left" vertical="top" wrapText="1"/>
    </xf>
    <xf numFmtId="0" fontId="20" fillId="0" borderId="43" xfId="0" applyFont="1" applyBorder="1" applyAlignment="1">
      <alignment horizontal="left" vertical="top" wrapText="1"/>
    </xf>
    <xf numFmtId="0" fontId="34" fillId="0" borderId="10" xfId="0" applyFont="1" applyBorder="1" applyAlignment="1" applyProtection="1">
      <alignment horizontal="center" vertical="center" wrapText="1"/>
    </xf>
    <xf numFmtId="9" fontId="1" fillId="35" borderId="41" xfId="61" applyNumberFormat="1" applyFont="1" applyFill="1" applyBorder="1" applyAlignment="1" applyProtection="1">
      <alignment horizontal="center" vertical="center" wrapText="1"/>
    </xf>
    <xf numFmtId="9" fontId="1" fillId="35" borderId="42" xfId="61" applyNumberFormat="1" applyFont="1" applyFill="1" applyBorder="1" applyAlignment="1" applyProtection="1">
      <alignment horizontal="center" vertical="center" wrapText="1"/>
    </xf>
    <xf numFmtId="9" fontId="1" fillId="35" borderId="43" xfId="61" applyNumberFormat="1" applyFont="1" applyFill="1" applyBorder="1" applyAlignment="1" applyProtection="1">
      <alignment horizontal="center" vertical="center" wrapText="1"/>
    </xf>
    <xf numFmtId="9" fontId="2" fillId="0" borderId="181" xfId="61" applyNumberFormat="1" applyFont="1" applyFill="1" applyBorder="1" applyAlignment="1" applyProtection="1">
      <alignment horizontal="left" vertical="center" wrapText="1"/>
    </xf>
    <xf numFmtId="0" fontId="2" fillId="0" borderId="182" xfId="61" applyNumberFormat="1" applyFont="1" applyFill="1" applyBorder="1" applyAlignment="1" applyProtection="1">
      <alignment horizontal="left" vertical="center" wrapText="1"/>
    </xf>
    <xf numFmtId="0" fontId="2" fillId="0" borderId="183" xfId="61" applyNumberFormat="1" applyFont="1" applyFill="1" applyBorder="1" applyAlignment="1" applyProtection="1">
      <alignment horizontal="left" vertical="center" wrapText="1"/>
    </xf>
    <xf numFmtId="0" fontId="59" fillId="22" borderId="184" xfId="0" applyFont="1" applyFill="1" applyBorder="1" applyAlignment="1" applyProtection="1">
      <alignment horizontal="center" vertical="center"/>
    </xf>
    <xf numFmtId="0" fontId="59" fillId="22" borderId="185" xfId="0" applyFont="1" applyFill="1" applyBorder="1" applyAlignment="1" applyProtection="1">
      <alignment horizontal="center" vertical="center"/>
    </xf>
    <xf numFmtId="0" fontId="59" fillId="22" borderId="186" xfId="0" applyFont="1" applyFill="1" applyBorder="1" applyAlignment="1" applyProtection="1">
      <alignment horizontal="center" vertical="center"/>
    </xf>
    <xf numFmtId="9" fontId="2" fillId="0" borderId="159" xfId="61" applyNumberFormat="1" applyFont="1" applyFill="1" applyBorder="1" applyAlignment="1" applyProtection="1">
      <alignment horizontal="left" vertical="center" wrapText="1"/>
    </xf>
    <xf numFmtId="0" fontId="2" fillId="0" borderId="135" xfId="61" applyNumberFormat="1" applyFont="1" applyFill="1" applyBorder="1" applyAlignment="1" applyProtection="1">
      <alignment horizontal="left" vertical="center" wrapText="1"/>
    </xf>
    <xf numFmtId="0" fontId="2" fillId="0" borderId="160" xfId="61" applyNumberFormat="1" applyFont="1" applyFill="1" applyBorder="1" applyAlignment="1" applyProtection="1">
      <alignment horizontal="left" vertical="center" wrapText="1"/>
    </xf>
    <xf numFmtId="0" fontId="79" fillId="0" borderId="187" xfId="0" applyNumberFormat="1" applyFont="1" applyFill="1" applyBorder="1" applyAlignment="1" applyProtection="1">
      <alignment horizontal="left" vertical="center" wrapText="1"/>
    </xf>
    <xf numFmtId="0" fontId="79" fillId="0" borderId="188" xfId="0" applyNumberFormat="1" applyFont="1" applyFill="1" applyBorder="1" applyAlignment="1" applyProtection="1">
      <alignment horizontal="left" vertical="center" wrapText="1"/>
    </xf>
    <xf numFmtId="0" fontId="79" fillId="0" borderId="189" xfId="0" applyNumberFormat="1" applyFont="1" applyFill="1" applyBorder="1" applyAlignment="1" applyProtection="1">
      <alignment horizontal="left" vertical="center" wrapText="1"/>
    </xf>
    <xf numFmtId="0" fontId="2" fillId="22" borderId="128" xfId="0" applyFont="1" applyFill="1" applyBorder="1" applyAlignment="1" applyProtection="1">
      <alignment horizontal="center" vertical="top" wrapText="1"/>
      <protection locked="0"/>
    </xf>
    <xf numFmtId="0" fontId="2" fillId="22" borderId="129" xfId="0" applyFont="1" applyFill="1" applyBorder="1" applyAlignment="1" applyProtection="1">
      <alignment horizontal="center" vertical="top" wrapText="1"/>
      <protection locked="0"/>
    </xf>
    <xf numFmtId="0" fontId="2" fillId="22" borderId="130" xfId="0" applyFont="1" applyFill="1" applyBorder="1" applyAlignment="1" applyProtection="1">
      <alignment horizontal="center" vertical="top" wrapText="1"/>
      <protection locked="0"/>
    </xf>
    <xf numFmtId="0" fontId="2" fillId="22" borderId="138" xfId="0" applyFont="1" applyFill="1" applyBorder="1" applyAlignment="1" applyProtection="1">
      <alignment horizontal="center" vertical="top" wrapText="1"/>
      <protection locked="0"/>
    </xf>
    <xf numFmtId="0" fontId="2" fillId="22" borderId="139" xfId="0" applyFont="1" applyFill="1" applyBorder="1" applyAlignment="1" applyProtection="1">
      <alignment horizontal="center" vertical="top" wrapText="1"/>
      <protection locked="0"/>
    </xf>
    <xf numFmtId="0" fontId="2" fillId="22" borderId="140" xfId="0" applyFont="1" applyFill="1" applyBorder="1" applyAlignment="1" applyProtection="1">
      <alignment horizontal="center" vertical="top" wrapText="1"/>
      <protection locked="0"/>
    </xf>
    <xf numFmtId="0" fontId="2" fillId="22" borderId="128" xfId="0" applyFont="1" applyFill="1" applyBorder="1" applyAlignment="1" applyProtection="1">
      <alignment horizontal="left" vertical="top" wrapText="1"/>
      <protection locked="0"/>
    </xf>
    <xf numFmtId="0" fontId="2" fillId="22" borderId="129" xfId="0" applyFont="1" applyFill="1" applyBorder="1" applyAlignment="1" applyProtection="1">
      <alignment horizontal="left" vertical="top" wrapText="1"/>
      <protection locked="0"/>
    </xf>
    <xf numFmtId="0" fontId="2" fillId="22" borderId="130" xfId="0" applyFont="1" applyFill="1" applyBorder="1" applyAlignment="1" applyProtection="1">
      <alignment horizontal="left" vertical="top" wrapText="1"/>
      <protection locked="0"/>
    </xf>
    <xf numFmtId="0" fontId="2" fillId="0" borderId="159" xfId="61" applyNumberFormat="1" applyFont="1" applyFill="1" applyBorder="1" applyAlignment="1" applyProtection="1">
      <alignment horizontal="left" vertical="center" wrapText="1"/>
    </xf>
    <xf numFmtId="0" fontId="79" fillId="0" borderId="178" xfId="0" applyNumberFormat="1" applyFont="1" applyFill="1" applyBorder="1" applyAlignment="1" applyProtection="1">
      <alignment horizontal="left" vertical="top" wrapText="1"/>
    </xf>
    <xf numFmtId="0" fontId="79" fillId="0" borderId="179" xfId="0" applyNumberFormat="1" applyFont="1" applyFill="1" applyBorder="1" applyAlignment="1" applyProtection="1">
      <alignment horizontal="left" vertical="top" wrapText="1"/>
    </xf>
    <xf numFmtId="0" fontId="79" fillId="0" borderId="180" xfId="0" applyNumberFormat="1" applyFont="1" applyFill="1" applyBorder="1" applyAlignment="1" applyProtection="1">
      <alignment horizontal="left" vertical="top" wrapText="1"/>
    </xf>
    <xf numFmtId="0" fontId="78" fillId="19" borderId="12" xfId="0" applyFont="1" applyFill="1" applyBorder="1" applyAlignment="1" applyProtection="1">
      <alignment horizontal="center" vertical="center"/>
    </xf>
    <xf numFmtId="0" fontId="79" fillId="0" borderId="131" xfId="0" applyNumberFormat="1" applyFont="1" applyFill="1" applyBorder="1" applyAlignment="1" applyProtection="1">
      <alignment horizontal="left" vertical="top" wrapText="1"/>
    </xf>
    <xf numFmtId="0" fontId="79" fillId="0" borderId="132" xfId="0" applyNumberFormat="1" applyFont="1" applyFill="1" applyBorder="1" applyAlignment="1" applyProtection="1">
      <alignment horizontal="left" vertical="top" wrapText="1"/>
    </xf>
    <xf numFmtId="0" fontId="79" fillId="0" borderId="167" xfId="0" applyNumberFormat="1" applyFont="1" applyFill="1" applyBorder="1" applyAlignment="1" applyProtection="1">
      <alignment horizontal="left" vertical="top" wrapText="1"/>
    </xf>
    <xf numFmtId="0" fontId="2" fillId="25" borderId="161" xfId="0" applyFont="1" applyFill="1" applyBorder="1" applyAlignment="1" applyProtection="1">
      <alignment horizontal="left" vertical="top" wrapText="1"/>
      <protection locked="0"/>
    </xf>
    <xf numFmtId="0" fontId="2" fillId="25" borderId="162" xfId="0" applyFont="1" applyFill="1" applyBorder="1" applyAlignment="1" applyProtection="1">
      <alignment horizontal="left" vertical="top" wrapText="1"/>
      <protection locked="0"/>
    </xf>
    <xf numFmtId="0" fontId="2" fillId="25" borderId="163" xfId="0" applyFont="1" applyFill="1" applyBorder="1" applyAlignment="1" applyProtection="1">
      <alignment horizontal="left" vertical="top" wrapText="1"/>
      <protection locked="0"/>
    </xf>
    <xf numFmtId="0" fontId="2" fillId="22" borderId="175" xfId="0" applyFont="1" applyFill="1" applyBorder="1" applyAlignment="1" applyProtection="1">
      <alignment horizontal="center" vertical="top" wrapText="1"/>
      <protection locked="0"/>
    </xf>
    <xf numFmtId="0" fontId="2" fillId="22" borderId="176" xfId="0" applyFont="1" applyFill="1" applyBorder="1" applyAlignment="1" applyProtection="1">
      <alignment horizontal="center" vertical="top" wrapText="1"/>
      <protection locked="0"/>
    </xf>
    <xf numFmtId="0" fontId="2" fillId="22" borderId="177" xfId="0" applyFont="1" applyFill="1" applyBorder="1" applyAlignment="1" applyProtection="1">
      <alignment horizontal="center" vertical="top" wrapText="1"/>
      <protection locked="0"/>
    </xf>
    <xf numFmtId="0" fontId="127" fillId="0" borderId="0" xfId="0" applyFont="1" applyBorder="1" applyAlignment="1" applyProtection="1">
      <alignment horizontal="center"/>
    </xf>
    <xf numFmtId="0" fontId="111" fillId="0" borderId="0" xfId="0" applyFont="1" applyBorder="1" applyAlignment="1" applyProtection="1">
      <alignment horizontal="center"/>
    </xf>
    <xf numFmtId="0" fontId="59" fillId="26" borderId="141" xfId="0" applyFont="1" applyFill="1" applyBorder="1" applyAlignment="1" applyProtection="1">
      <alignment horizontal="center" vertical="center"/>
    </xf>
    <xf numFmtId="0" fontId="59" fillId="26" borderId="142" xfId="0" applyFont="1" applyFill="1" applyBorder="1" applyAlignment="1" applyProtection="1">
      <alignment horizontal="center" vertical="center"/>
    </xf>
    <xf numFmtId="0" fontId="59" fillId="26" borderId="143" xfId="0" applyFont="1" applyFill="1" applyBorder="1" applyAlignment="1" applyProtection="1">
      <alignment horizontal="center" vertical="center"/>
    </xf>
    <xf numFmtId="0" fontId="79" fillId="0" borderId="14" xfId="0" applyNumberFormat="1" applyFont="1" applyFill="1" applyBorder="1" applyAlignment="1" applyProtection="1">
      <alignment horizontal="left" vertical="top" wrapText="1"/>
    </xf>
    <xf numFmtId="0" fontId="79" fillId="0" borderId="144" xfId="0" applyNumberFormat="1" applyFont="1" applyFill="1" applyBorder="1" applyAlignment="1" applyProtection="1">
      <alignment horizontal="left" vertical="top" wrapText="1"/>
    </xf>
    <xf numFmtId="0" fontId="79" fillId="0" borderId="145" xfId="0" applyNumberFormat="1" applyFont="1" applyFill="1" applyBorder="1" applyAlignment="1" applyProtection="1">
      <alignment horizontal="left" vertical="top" wrapText="1"/>
    </xf>
    <xf numFmtId="0" fontId="79" fillId="0" borderId="146" xfId="0" applyNumberFormat="1" applyFont="1" applyFill="1" applyBorder="1" applyAlignment="1" applyProtection="1">
      <alignment horizontal="left" vertical="top" wrapText="1"/>
    </xf>
    <xf numFmtId="0" fontId="79" fillId="0" borderId="147" xfId="0" applyNumberFormat="1" applyFont="1" applyFill="1" applyBorder="1" applyAlignment="1" applyProtection="1">
      <alignment horizontal="left" vertical="top" wrapText="1"/>
    </xf>
    <xf numFmtId="49" fontId="2" fillId="26" borderId="148" xfId="0" applyNumberFormat="1" applyFont="1" applyFill="1" applyBorder="1" applyAlignment="1" applyProtection="1">
      <alignment horizontal="center" vertical="center"/>
      <protection locked="0"/>
    </xf>
    <xf numFmtId="49" fontId="2" fillId="26" borderId="14" xfId="0" applyNumberFormat="1" applyFont="1" applyFill="1" applyBorder="1" applyAlignment="1" applyProtection="1">
      <alignment horizontal="center" vertical="center"/>
      <protection locked="0"/>
    </xf>
    <xf numFmtId="49" fontId="2" fillId="26" borderId="144" xfId="0" applyNumberFormat="1" applyFont="1" applyFill="1" applyBorder="1" applyAlignment="1" applyProtection="1">
      <alignment horizontal="center" vertical="center"/>
      <protection locked="0"/>
    </xf>
    <xf numFmtId="0" fontId="77" fillId="0" borderId="0" xfId="0" applyFont="1" applyFill="1" applyBorder="1" applyAlignment="1" applyProtection="1">
      <alignment horizontal="center"/>
    </xf>
    <xf numFmtId="0" fontId="77" fillId="0" borderId="149" xfId="0" applyFont="1" applyFill="1" applyBorder="1" applyAlignment="1" applyProtection="1">
      <alignment horizontal="center"/>
    </xf>
    <xf numFmtId="49" fontId="2" fillId="26" borderId="150" xfId="0" applyNumberFormat="1" applyFont="1" applyFill="1" applyBorder="1" applyAlignment="1" applyProtection="1">
      <alignment horizontal="center" vertical="center"/>
      <protection locked="0"/>
    </xf>
    <xf numFmtId="49" fontId="2" fillId="26" borderId="151" xfId="0" applyNumberFormat="1" applyFont="1" applyFill="1" applyBorder="1" applyAlignment="1" applyProtection="1">
      <alignment horizontal="center" vertical="center"/>
      <protection locked="0"/>
    </xf>
    <xf numFmtId="49" fontId="2" fillId="26" borderId="152" xfId="0" applyNumberFormat="1" applyFont="1" applyFill="1" applyBorder="1" applyAlignment="1" applyProtection="1">
      <alignment horizontal="center" vertical="center"/>
      <protection locked="0"/>
    </xf>
    <xf numFmtId="0" fontId="77" fillId="0" borderId="171" xfId="0" applyFont="1" applyFill="1" applyBorder="1" applyAlignment="1" applyProtection="1">
      <alignment horizontal="center"/>
    </xf>
    <xf numFmtId="0" fontId="2" fillId="25" borderId="172" xfId="0" applyFont="1" applyFill="1" applyBorder="1" applyAlignment="1" applyProtection="1">
      <alignment horizontal="left" vertical="top" wrapText="1"/>
      <protection locked="0"/>
    </xf>
    <xf numFmtId="0" fontId="2" fillId="25" borderId="173" xfId="0" applyFont="1" applyFill="1" applyBorder="1" applyAlignment="1" applyProtection="1">
      <alignment horizontal="left" vertical="top" wrapText="1"/>
      <protection locked="0"/>
    </xf>
    <xf numFmtId="0" fontId="2" fillId="25" borderId="174" xfId="0" applyFont="1" applyFill="1" applyBorder="1" applyAlignment="1" applyProtection="1">
      <alignment horizontal="left" vertical="top" wrapText="1"/>
      <protection locked="0"/>
    </xf>
    <xf numFmtId="0" fontId="79" fillId="0" borderId="133" xfId="0" applyNumberFormat="1" applyFont="1" applyFill="1" applyBorder="1" applyAlignment="1" applyProtection="1">
      <alignment horizontal="left" vertical="top" wrapText="1"/>
    </xf>
    <xf numFmtId="49" fontId="2" fillId="26" borderId="134" xfId="0" applyNumberFormat="1" applyFont="1" applyFill="1" applyBorder="1" applyAlignment="1" applyProtection="1">
      <alignment horizontal="center" vertical="center"/>
      <protection locked="0"/>
    </xf>
    <xf numFmtId="49" fontId="2" fillId="26" borderId="135" xfId="0" applyNumberFormat="1" applyFont="1" applyFill="1" applyBorder="1" applyAlignment="1" applyProtection="1">
      <alignment horizontal="center" vertical="center"/>
      <protection locked="0"/>
    </xf>
    <xf numFmtId="49" fontId="2" fillId="26" borderId="136" xfId="0" applyNumberFormat="1" applyFont="1" applyFill="1" applyBorder="1" applyAlignment="1" applyProtection="1">
      <alignment horizontal="center" vertical="center"/>
      <protection locked="0"/>
    </xf>
    <xf numFmtId="0" fontId="79" fillId="0" borderId="0" xfId="0" applyNumberFormat="1" applyFont="1" applyFill="1" applyBorder="1" applyAlignment="1" applyProtection="1">
      <alignment horizontal="left" vertical="top" wrapText="1"/>
    </xf>
    <xf numFmtId="0" fontId="79" fillId="0" borderId="137" xfId="0" applyNumberFormat="1" applyFont="1" applyFill="1" applyBorder="1" applyAlignment="1" applyProtection="1">
      <alignment horizontal="left" vertical="top" wrapText="1"/>
    </xf>
    <xf numFmtId="0" fontId="121" fillId="25" borderId="153" xfId="0" applyFont="1" applyFill="1" applyBorder="1" applyAlignment="1" applyProtection="1">
      <alignment horizontal="center" vertical="center"/>
    </xf>
    <xf numFmtId="0" fontId="121" fillId="25" borderId="154" xfId="0" applyFont="1" applyFill="1" applyBorder="1" applyAlignment="1" applyProtection="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121" fillId="25" borderId="156" xfId="0" applyFont="1" applyFill="1" applyBorder="1" applyAlignment="1" applyProtection="1">
      <alignment horizontal="center" vertical="center"/>
    </xf>
    <xf numFmtId="0" fontId="121" fillId="25" borderId="157" xfId="0" applyFont="1" applyFill="1" applyBorder="1" applyAlignment="1" applyProtection="1">
      <alignment horizontal="center" vertical="center"/>
    </xf>
    <xf numFmtId="0" fontId="121" fillId="25" borderId="158" xfId="0" applyFont="1" applyFill="1" applyBorder="1" applyAlignment="1" applyProtection="1">
      <alignment horizontal="center" vertical="center"/>
    </xf>
    <xf numFmtId="0" fontId="79" fillId="0" borderId="164" xfId="0" applyNumberFormat="1" applyFont="1" applyFill="1" applyBorder="1" applyAlignment="1" applyProtection="1">
      <alignment horizontal="left" vertical="top" wrapText="1"/>
    </xf>
    <xf numFmtId="0" fontId="79" fillId="0" borderId="165" xfId="0" applyNumberFormat="1" applyFont="1" applyFill="1" applyBorder="1" applyAlignment="1" applyProtection="1">
      <alignment horizontal="left" vertical="top" wrapText="1"/>
    </xf>
    <xf numFmtId="0" fontId="79" fillId="0" borderId="166" xfId="0" applyNumberFormat="1" applyFont="1" applyFill="1" applyBorder="1" applyAlignment="1" applyProtection="1">
      <alignment horizontal="left" vertical="top" wrapText="1"/>
    </xf>
    <xf numFmtId="0" fontId="2" fillId="25" borderId="168" xfId="0" applyFont="1" applyFill="1" applyBorder="1" applyAlignment="1" applyProtection="1">
      <alignment horizontal="left" vertical="top" wrapText="1"/>
      <protection locked="0"/>
    </xf>
    <xf numFmtId="0" fontId="2" fillId="25" borderId="169" xfId="0" applyFont="1" applyFill="1" applyBorder="1" applyAlignment="1" applyProtection="1">
      <alignment horizontal="left" vertical="top" wrapText="1"/>
      <protection locked="0"/>
    </xf>
    <xf numFmtId="0" fontId="2" fillId="25" borderId="170" xfId="0" applyFont="1" applyFill="1" applyBorder="1" applyAlignment="1" applyProtection="1">
      <alignment horizontal="left" vertical="top" wrapText="1"/>
      <protection locked="0"/>
    </xf>
    <xf numFmtId="0" fontId="21" fillId="0" borderId="225" xfId="0" applyFont="1" applyBorder="1" applyAlignment="1" applyProtection="1">
      <alignment horizontal="left"/>
      <protection locked="0"/>
    </xf>
    <xf numFmtId="0" fontId="21" fillId="0" borderId="226" xfId="0" applyFont="1" applyBorder="1" applyAlignment="1" applyProtection="1">
      <alignment horizontal="left"/>
      <protection locked="0"/>
    </xf>
    <xf numFmtId="14" fontId="21" fillId="0" borderId="209" xfId="0" applyNumberFormat="1" applyFont="1" applyBorder="1" applyAlignment="1" applyProtection="1">
      <alignment horizontal="left"/>
      <protection locked="0"/>
    </xf>
    <xf numFmtId="0" fontId="21" fillId="0" borderId="34" xfId="0" applyFont="1" applyBorder="1" applyAlignment="1" applyProtection="1">
      <alignment horizontal="left"/>
      <protection locked="0"/>
    </xf>
    <xf numFmtId="0" fontId="76" fillId="21" borderId="229" xfId="52" applyNumberFormat="1" applyFont="1" applyFill="1" applyBorder="1" applyAlignment="1">
      <alignment horizontal="center" vertical="center" wrapText="1"/>
    </xf>
    <xf numFmtId="0" fontId="76" fillId="21" borderId="217" xfId="52" applyNumberFormat="1" applyFont="1" applyFill="1" applyBorder="1" applyAlignment="1">
      <alignment horizontal="center" vertical="center" wrapText="1"/>
    </xf>
    <xf numFmtId="0" fontId="21" fillId="0" borderId="199" xfId="0" applyFont="1" applyFill="1" applyBorder="1" applyAlignment="1" applyProtection="1">
      <alignment horizontal="left"/>
      <protection locked="0"/>
    </xf>
    <xf numFmtId="0" fontId="21" fillId="0" borderId="200"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199" xfId="0" applyFont="1" applyBorder="1" applyAlignment="1" applyProtection="1">
      <alignment horizontal="left" wrapText="1"/>
      <protection locked="0"/>
    </xf>
    <xf numFmtId="0" fontId="21" fillId="0" borderId="200" xfId="0" applyFont="1" applyBorder="1" applyAlignment="1" applyProtection="1">
      <alignment horizontal="left" wrapText="1"/>
      <protection locked="0"/>
    </xf>
    <xf numFmtId="0" fontId="21" fillId="0" borderId="201" xfId="0" applyFont="1" applyBorder="1" applyAlignment="1" applyProtection="1">
      <alignment horizontal="left" wrapText="1"/>
      <protection locked="0"/>
    </xf>
    <xf numFmtId="0" fontId="21" fillId="0" borderId="202" xfId="0" applyFont="1" applyBorder="1" applyAlignment="1" applyProtection="1">
      <alignment horizontal="left" wrapText="1"/>
      <protection locked="0"/>
    </xf>
    <xf numFmtId="0" fontId="21" fillId="0" borderId="199" xfId="0" applyFont="1" applyBorder="1" applyAlignment="1" applyProtection="1">
      <alignment horizontal="left"/>
      <protection locked="0"/>
    </xf>
    <xf numFmtId="0" fontId="21" fillId="0" borderId="200" xfId="0" applyFont="1" applyBorder="1" applyAlignment="1" applyProtection="1">
      <alignment horizontal="left"/>
      <protection locked="0"/>
    </xf>
    <xf numFmtId="0" fontId="21" fillId="0" borderId="201" xfId="0" applyFont="1" applyBorder="1" applyAlignment="1" applyProtection="1">
      <alignment horizontal="left"/>
      <protection locked="0"/>
    </xf>
    <xf numFmtId="0" fontId="21" fillId="0" borderId="202"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23" xfId="0" applyFont="1" applyBorder="1" applyAlignment="1" applyProtection="1">
      <alignment horizontal="left"/>
      <protection locked="0"/>
    </xf>
    <xf numFmtId="0" fontId="21" fillId="0" borderId="228" xfId="0" applyFont="1" applyFill="1" applyBorder="1" applyAlignment="1" applyProtection="1">
      <alignment horizontal="left" wrapText="1"/>
      <protection locked="0"/>
    </xf>
    <xf numFmtId="0" fontId="21" fillId="0" borderId="220" xfId="0" applyFont="1" applyFill="1" applyBorder="1" applyAlignment="1" applyProtection="1">
      <alignment horizontal="left" wrapText="1"/>
      <protection locked="0"/>
    </xf>
    <xf numFmtId="0" fontId="21" fillId="0" borderId="201" xfId="0" applyFont="1" applyFill="1" applyBorder="1" applyAlignment="1" applyProtection="1">
      <alignment horizontal="left" wrapText="1"/>
      <protection locked="0"/>
    </xf>
    <xf numFmtId="0" fontId="21" fillId="0" borderId="202" xfId="0" applyFont="1" applyFill="1" applyBorder="1" applyAlignment="1" applyProtection="1">
      <alignment horizontal="left" wrapText="1"/>
      <protection locked="0"/>
    </xf>
    <xf numFmtId="164" fontId="15" fillId="33" borderId="0" xfId="58" applyFont="1" applyFill="1" applyBorder="1" applyAlignment="1" applyProtection="1">
      <alignment horizontal="center"/>
      <protection locked="0"/>
    </xf>
    <xf numFmtId="0" fontId="21" fillId="0" borderId="199" xfId="0" applyFont="1" applyFill="1" applyBorder="1" applyAlignment="1" applyProtection="1">
      <alignment horizontal="left" wrapText="1"/>
      <protection locked="0"/>
    </xf>
    <xf numFmtId="0" fontId="21" fillId="0" borderId="200" xfId="0" applyFont="1" applyFill="1" applyBorder="1" applyAlignment="1" applyProtection="1">
      <alignment horizontal="left" wrapText="1"/>
      <protection locked="0"/>
    </xf>
    <xf numFmtId="15" fontId="28" fillId="0" borderId="0" xfId="0" applyNumberFormat="1" applyFont="1" applyAlignment="1">
      <alignment horizontal="right"/>
    </xf>
    <xf numFmtId="0" fontId="127" fillId="0" borderId="0" xfId="0" applyFont="1" applyAlignment="1">
      <alignment horizontal="center"/>
    </xf>
    <xf numFmtId="0" fontId="111" fillId="0" borderId="0" xfId="0" applyFont="1" applyAlignment="1">
      <alignment horizontal="center"/>
    </xf>
    <xf numFmtId="164" fontId="28" fillId="0" borderId="0" xfId="0" applyNumberFormat="1" applyFont="1" applyAlignment="1">
      <alignment horizontal="left"/>
    </xf>
    <xf numFmtId="0" fontId="76" fillId="21" borderId="213" xfId="52" applyNumberFormat="1" applyFont="1" applyFill="1" applyBorder="1" applyAlignment="1">
      <alignment horizontal="center" vertical="center" wrapText="1"/>
    </xf>
    <xf numFmtId="0" fontId="76" fillId="21" borderId="214" xfId="52" applyNumberFormat="1" applyFont="1" applyFill="1" applyBorder="1" applyAlignment="1">
      <alignment horizontal="center" vertical="center" wrapText="1"/>
    </xf>
    <xf numFmtId="0" fontId="21" fillId="0" borderId="135" xfId="0" applyFont="1" applyFill="1" applyBorder="1" applyAlignment="1" applyProtection="1">
      <alignment horizontal="left" vertical="center" wrapText="1"/>
      <protection locked="0"/>
    </xf>
    <xf numFmtId="0" fontId="21" fillId="0" borderId="191" xfId="0" applyFont="1" applyFill="1" applyBorder="1" applyAlignment="1" applyProtection="1">
      <alignment horizontal="left" vertical="center" wrapText="1"/>
      <protection locked="0"/>
    </xf>
    <xf numFmtId="0" fontId="0" fillId="22" borderId="95" xfId="0" applyFill="1" applyBorder="1" applyAlignment="1" applyProtection="1">
      <alignment horizontal="center"/>
      <protection locked="0"/>
    </xf>
    <xf numFmtId="0" fontId="0" fillId="22" borderId="94" xfId="0" applyFill="1" applyBorder="1" applyAlignment="1" applyProtection="1">
      <alignment horizontal="center"/>
      <protection locked="0"/>
    </xf>
    <xf numFmtId="0" fontId="0" fillId="22" borderId="96" xfId="0" applyFill="1" applyBorder="1" applyAlignment="1" applyProtection="1">
      <alignment horizontal="center"/>
      <protection locked="0"/>
    </xf>
    <xf numFmtId="0" fontId="0" fillId="22" borderId="8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76" fillId="21" borderId="13" xfId="52" applyNumberFormat="1" applyFont="1" applyFill="1" applyBorder="1" applyAlignment="1">
      <alignment horizontal="center" vertical="center" wrapText="1"/>
    </xf>
    <xf numFmtId="0" fontId="76" fillId="21" borderId="190" xfId="52" applyNumberFormat="1" applyFont="1" applyFill="1" applyBorder="1" applyAlignment="1">
      <alignment horizontal="center" vertical="center" wrapText="1"/>
    </xf>
    <xf numFmtId="14" fontId="21" fillId="0" borderId="207" xfId="0" applyNumberFormat="1" applyFont="1" applyFill="1" applyBorder="1" applyAlignment="1" applyProtection="1">
      <alignment horizontal="left"/>
      <protection locked="0"/>
    </xf>
    <xf numFmtId="0" fontId="21" fillId="0" borderId="207" xfId="0" applyFont="1" applyFill="1" applyBorder="1" applyAlignment="1" applyProtection="1">
      <alignment horizontal="left"/>
      <protection locked="0"/>
    </xf>
    <xf numFmtId="0" fontId="21" fillId="0" borderId="203" xfId="0" applyFont="1" applyBorder="1" applyAlignment="1" applyProtection="1">
      <alignment horizontal="left"/>
      <protection locked="0"/>
    </xf>
    <xf numFmtId="0" fontId="21" fillId="0" borderId="204" xfId="0" applyFont="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197" xfId="0" applyFont="1" applyBorder="1" applyAlignment="1" applyProtection="1">
      <alignment horizontal="left"/>
      <protection locked="0"/>
    </xf>
    <xf numFmtId="0" fontId="21" fillId="0" borderId="151"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203" xfId="0" applyFont="1" applyFill="1" applyBorder="1" applyAlignment="1" applyProtection="1">
      <alignment horizontal="left"/>
      <protection locked="0"/>
    </xf>
    <xf numFmtId="0" fontId="21" fillId="0" borderId="204" xfId="0" applyFont="1" applyFill="1" applyBorder="1" applyAlignment="1" applyProtection="1">
      <alignment horizontal="left"/>
      <protection locked="0"/>
    </xf>
    <xf numFmtId="0" fontId="21" fillId="0" borderId="197" xfId="0" applyFont="1" applyFill="1" applyBorder="1" applyAlignment="1" applyProtection="1">
      <alignment horizontal="left"/>
      <protection locked="0"/>
    </xf>
    <xf numFmtId="0" fontId="21" fillId="0" borderId="151" xfId="0" applyFont="1" applyFill="1" applyBorder="1" applyAlignment="1" applyProtection="1">
      <alignment horizontal="left"/>
      <protection locked="0"/>
    </xf>
    <xf numFmtId="0" fontId="21" fillId="0" borderId="202" xfId="0" applyFont="1" applyFill="1" applyBorder="1" applyAlignment="1" applyProtection="1">
      <alignment horizontal="left"/>
      <protection locked="0"/>
    </xf>
    <xf numFmtId="0" fontId="21" fillId="0" borderId="203" xfId="0" applyFont="1" applyFill="1" applyBorder="1" applyAlignment="1" applyProtection="1">
      <alignment horizontal="left" wrapText="1"/>
      <protection locked="0"/>
    </xf>
    <xf numFmtId="0" fontId="21" fillId="0" borderId="204" xfId="0" applyFont="1" applyFill="1" applyBorder="1" applyAlignment="1" applyProtection="1">
      <alignment horizontal="left" wrapText="1"/>
      <protection locked="0"/>
    </xf>
    <xf numFmtId="0" fontId="21" fillId="0" borderId="197" xfId="0" applyFont="1" applyFill="1" applyBorder="1" applyAlignment="1" applyProtection="1">
      <alignment horizontal="left" wrapText="1"/>
      <protection locked="0"/>
    </xf>
    <xf numFmtId="0" fontId="21" fillId="0" borderId="151" xfId="0" applyFont="1" applyFill="1" applyBorder="1" applyAlignment="1" applyProtection="1">
      <alignment horizontal="left" wrapText="1"/>
      <protection locked="0"/>
    </xf>
    <xf numFmtId="0" fontId="21" fillId="0" borderId="203" xfId="0" applyFont="1" applyBorder="1" applyAlignment="1" applyProtection="1">
      <alignment horizontal="left" wrapText="1"/>
      <protection locked="0"/>
    </xf>
    <xf numFmtId="0" fontId="21" fillId="0" borderId="204" xfId="0" applyFont="1" applyBorder="1" applyAlignment="1" applyProtection="1">
      <alignment horizontal="left" wrapText="1"/>
      <protection locked="0"/>
    </xf>
    <xf numFmtId="0" fontId="21" fillId="0" borderId="205" xfId="0" applyFont="1" applyBorder="1" applyAlignment="1" applyProtection="1">
      <alignment horizontal="left" wrapText="1"/>
      <protection locked="0"/>
    </xf>
    <xf numFmtId="0" fontId="21" fillId="0" borderId="197" xfId="0" applyFont="1" applyBorder="1" applyAlignment="1" applyProtection="1">
      <alignment horizontal="left" wrapText="1"/>
      <protection locked="0"/>
    </xf>
    <xf numFmtId="0" fontId="21" fillId="0" borderId="151" xfId="0" applyFont="1" applyBorder="1" applyAlignment="1" applyProtection="1">
      <alignment horizontal="left" wrapText="1"/>
      <protection locked="0"/>
    </xf>
    <xf numFmtId="0" fontId="21" fillId="0" borderId="198" xfId="0" applyFont="1" applyBorder="1" applyAlignment="1" applyProtection="1">
      <alignment horizontal="left" wrapText="1"/>
      <protection locked="0"/>
    </xf>
    <xf numFmtId="14" fontId="21" fillId="0" borderId="225" xfId="0" applyNumberFormat="1" applyFont="1" applyBorder="1" applyAlignment="1" applyProtection="1">
      <alignment horizontal="left"/>
      <protection locked="0"/>
    </xf>
    <xf numFmtId="0" fontId="21" fillId="0" borderId="219" xfId="0" applyFont="1" applyFill="1" applyBorder="1" applyAlignment="1" applyProtection="1">
      <alignment horizontal="left"/>
      <protection locked="0"/>
    </xf>
    <xf numFmtId="0" fontId="98" fillId="21" borderId="210" xfId="0" applyFont="1" applyFill="1" applyBorder="1" applyAlignment="1">
      <alignment horizontal="center" vertical="center" textRotation="90" wrapText="1"/>
    </xf>
    <xf numFmtId="0" fontId="98" fillId="21" borderId="211" xfId="0" applyFont="1" applyFill="1" applyBorder="1" applyAlignment="1">
      <alignment horizontal="center" vertical="center" textRotation="90" wrapText="1"/>
    </xf>
    <xf numFmtId="0" fontId="98" fillId="21" borderId="212" xfId="0" applyFont="1" applyFill="1" applyBorder="1" applyAlignment="1">
      <alignment horizontal="center" vertical="center" textRotation="90" wrapText="1"/>
    </xf>
    <xf numFmtId="0" fontId="76" fillId="21" borderId="215" xfId="52"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21" fillId="0" borderId="207" xfId="0" applyFont="1" applyFill="1" applyBorder="1" applyAlignment="1" applyProtection="1">
      <alignment horizontal="left" wrapText="1"/>
      <protection locked="0"/>
    </xf>
    <xf numFmtId="0" fontId="21" fillId="0" borderId="218" xfId="0" applyFont="1" applyFill="1" applyBorder="1" applyAlignment="1" applyProtection="1">
      <alignment horizontal="left" wrapText="1"/>
      <protection locked="0"/>
    </xf>
    <xf numFmtId="0" fontId="21" fillId="0" borderId="219" xfId="0" applyFont="1" applyFill="1" applyBorder="1" applyAlignment="1" applyProtection="1">
      <alignment horizontal="left" wrapText="1"/>
      <protection locked="0"/>
    </xf>
    <xf numFmtId="0" fontId="21" fillId="0" borderId="194"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197" xfId="0" applyFont="1" applyFill="1" applyBorder="1" applyAlignment="1" applyProtection="1">
      <alignment horizontal="left" vertical="top" wrapText="1"/>
      <protection locked="0"/>
    </xf>
    <xf numFmtId="0" fontId="21" fillId="0" borderId="151" xfId="0" applyFont="1" applyFill="1" applyBorder="1" applyAlignment="1" applyProtection="1">
      <alignment horizontal="left" vertical="top" wrapText="1"/>
      <protection locked="0"/>
    </xf>
    <xf numFmtId="0" fontId="21" fillId="0" borderId="202"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2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192" xfId="0" applyFont="1" applyFill="1" applyBorder="1" applyAlignment="1" applyProtection="1">
      <alignment horizontal="left" vertical="center" wrapText="1"/>
      <protection locked="0"/>
    </xf>
    <xf numFmtId="0" fontId="21" fillId="0" borderId="193" xfId="0" applyFont="1" applyFill="1" applyBorder="1" applyAlignment="1" applyProtection="1">
      <alignment horizontal="left" vertical="center" wrapText="1"/>
      <protection locked="0"/>
    </xf>
    <xf numFmtId="0" fontId="21" fillId="0" borderId="194" xfId="0" applyFont="1" applyBorder="1" applyAlignment="1" applyProtection="1">
      <alignment horizontal="left" wrapText="1"/>
      <protection locked="0"/>
    </xf>
    <xf numFmtId="0" fontId="21" fillId="0" borderId="195" xfId="0" applyFont="1" applyBorder="1" applyAlignment="1" applyProtection="1">
      <alignment horizontal="left" wrapText="1"/>
      <protection locked="0"/>
    </xf>
    <xf numFmtId="0" fontId="21" fillId="0" borderId="196" xfId="0" applyFont="1" applyBorder="1" applyAlignment="1" applyProtection="1">
      <alignment horizontal="left" wrapText="1"/>
      <protection locked="0"/>
    </xf>
    <xf numFmtId="0" fontId="98" fillId="21" borderId="90" xfId="0" applyFont="1" applyFill="1" applyBorder="1" applyAlignment="1">
      <alignment horizontal="center" vertical="center" textRotation="90"/>
    </xf>
    <xf numFmtId="0" fontId="0" fillId="21" borderId="72" xfId="0" applyFill="1" applyBorder="1" applyAlignment="1">
      <alignment horizontal="center" vertical="center" textRotation="90"/>
    </xf>
    <xf numFmtId="0" fontId="0" fillId="21" borderId="87" xfId="0" applyFill="1" applyBorder="1" applyAlignment="1">
      <alignment horizontal="center" vertical="center" textRotation="90"/>
    </xf>
    <xf numFmtId="0" fontId="21" fillId="0" borderId="227" xfId="0" applyFont="1" applyFill="1" applyBorder="1" applyAlignment="1" applyProtection="1">
      <alignment horizontal="left" wrapText="1"/>
      <protection locked="0"/>
    </xf>
    <xf numFmtId="0" fontId="21" fillId="0" borderId="34" xfId="0" applyFont="1" applyFill="1" applyBorder="1" applyAlignment="1" applyProtection="1">
      <alignment horizontal="left" wrapText="1"/>
      <protection locked="0"/>
    </xf>
    <xf numFmtId="0" fontId="21" fillId="0" borderId="203" xfId="0" applyFont="1" applyFill="1" applyBorder="1" applyAlignment="1" applyProtection="1">
      <alignment horizontal="left" vertical="top" wrapText="1"/>
      <protection locked="0"/>
    </xf>
    <xf numFmtId="0" fontId="21" fillId="0" borderId="204" xfId="0" applyFont="1" applyFill="1" applyBorder="1" applyAlignment="1" applyProtection="1">
      <alignment horizontal="left" vertical="top" wrapText="1"/>
      <protection locked="0"/>
    </xf>
    <xf numFmtId="0" fontId="21" fillId="0" borderId="205"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vertical="top" wrapText="1"/>
      <protection locked="0"/>
    </xf>
    <xf numFmtId="0" fontId="76" fillId="21" borderId="206" xfId="52" applyNumberFormat="1" applyFont="1" applyFill="1" applyBorder="1" applyAlignment="1">
      <alignment horizontal="center" vertical="center" wrapText="1"/>
    </xf>
    <xf numFmtId="0" fontId="21" fillId="0" borderId="208" xfId="0" applyFont="1" applyFill="1" applyBorder="1" applyAlignment="1" applyProtection="1">
      <alignment horizontal="left"/>
      <protection locked="0"/>
    </xf>
    <xf numFmtId="0" fontId="21" fillId="0" borderId="225" xfId="0" applyFont="1" applyFill="1" applyBorder="1" applyAlignment="1" applyProtection="1">
      <alignment horizontal="left" wrapText="1"/>
      <protection locked="0"/>
    </xf>
    <xf numFmtId="14" fontId="21" fillId="0" borderId="34" xfId="0" applyNumberFormat="1" applyFont="1" applyFill="1" applyBorder="1" applyAlignment="1" applyProtection="1">
      <alignment horizontal="left"/>
      <protection locked="0"/>
    </xf>
    <xf numFmtId="164" fontId="17" fillId="30" borderId="0" xfId="38" applyFont="1" applyFill="1" applyAlignment="1">
      <alignment horizontal="center" vertical="center"/>
    </xf>
    <xf numFmtId="0" fontId="33" fillId="0" borderId="0" xfId="0" applyFont="1" applyAlignment="1">
      <alignment horizontal="center"/>
    </xf>
  </cellXfs>
  <cellStyles count="174">
    <cellStyle name="???????????" xfId="92"/>
    <cellStyle name="????????????? ???????????" xfId="93"/>
    <cellStyle name="_TB_Calc_number" xfId="69"/>
    <cellStyle name="_TB_Calc_percent" xfId="70"/>
    <cellStyle name="_TB_def_number" xfId="71"/>
    <cellStyle name="_TB_def_percent" xfId="72"/>
    <cellStyle name="_TB_results1" xfId="89"/>
    <cellStyle name="_TB_subtitle2" xfId="73"/>
    <cellStyle name="_TB_textunprotect" xfId="90"/>
    <cellStyle name="_TB_years" xfId="91"/>
    <cellStyle name="20% - Accent1" xfId="1"/>
    <cellStyle name="20% - Accent2" xfId="2"/>
    <cellStyle name="20% - Accent3" xfId="3"/>
    <cellStyle name="20% - Accent4" xfId="4"/>
    <cellStyle name="20% - Accent5" xfId="5"/>
    <cellStyle name="20% - Accent6" xfId="6"/>
    <cellStyle name="20% - Акцент1 2" xfId="94"/>
    <cellStyle name="20% - Акцент2 2" xfId="95"/>
    <cellStyle name="20% - Акцент3 2" xfId="96"/>
    <cellStyle name="20% - Акцент4 2" xfId="97"/>
    <cellStyle name="20% - Акцент5 2" xfId="98"/>
    <cellStyle name="20% - Акцент6 2" xfId="99"/>
    <cellStyle name="40% - Accent1" xfId="7"/>
    <cellStyle name="40% - Accent2" xfId="8"/>
    <cellStyle name="40% - Accent3" xfId="9"/>
    <cellStyle name="40% - Accent4" xfId="10"/>
    <cellStyle name="40% - Accent5" xfId="11"/>
    <cellStyle name="40% - Accent6" xfId="12"/>
    <cellStyle name="40% - Акцент1 2" xfId="100"/>
    <cellStyle name="40% - Акцент2 2" xfId="101"/>
    <cellStyle name="40% - Акцент3 2" xfId="102"/>
    <cellStyle name="40% - Акцент4 2" xfId="103"/>
    <cellStyle name="40% - Акцент5 2" xfId="104"/>
    <cellStyle name="40% - Акцент6 2" xfId="105"/>
    <cellStyle name="60% - Accent1" xfId="13"/>
    <cellStyle name="60% - Accent2" xfId="14"/>
    <cellStyle name="60% - Accent3" xfId="15"/>
    <cellStyle name="60% - Accent4" xfId="16"/>
    <cellStyle name="60% - Accent5" xfId="17"/>
    <cellStyle name="60% - Accent6" xfId="18"/>
    <cellStyle name="60% - Акцент1 2" xfId="106"/>
    <cellStyle name="60% - Акцент2 2" xfId="107"/>
    <cellStyle name="60% - Акцент3 2" xfId="108"/>
    <cellStyle name="60% - Акцент4 2" xfId="109"/>
    <cellStyle name="60% - Акцент5 2" xfId="110"/>
    <cellStyle name="60% - Акцент6 2" xfId="111"/>
    <cellStyle name="Accent1" xfId="19"/>
    <cellStyle name="Accent2" xfId="20"/>
    <cellStyle name="Accent3" xfId="21"/>
    <cellStyle name="Accent4" xfId="22"/>
    <cellStyle name="Accent5" xfId="23"/>
    <cellStyle name="Accent6" xfId="24"/>
    <cellStyle name="Activity" xfId="173"/>
    <cellStyle name="Ãèïåðññûëêà" xfId="112"/>
    <cellStyle name="Bad" xfId="25"/>
    <cellStyle name="Calculation" xfId="26"/>
    <cellStyle name="Check Cell" xfId="27"/>
    <cellStyle name="Comma 2" xfId="82"/>
    <cellStyle name="Comma 2 2" xfId="68"/>
    <cellStyle name="Comma 2 3" xfId="85"/>
    <cellStyle name="Comma 3" xfId="87"/>
    <cellStyle name="Comma 4" xfId="113"/>
    <cellStyle name="Comma 5" xfId="114"/>
    <cellStyle name="Euro" xfId="28"/>
    <cellStyle name="Euro 2" xfId="115"/>
    <cellStyle name="Explanatory Text" xfId="29"/>
    <cellStyle name="Good" xfId="30"/>
    <cellStyle name="Heading 1" xfId="31"/>
    <cellStyle name="Heading 2" xfId="32"/>
    <cellStyle name="Heading 3" xfId="33"/>
    <cellStyle name="Heading 4" xfId="34"/>
    <cellStyle name="Hyperlink 2" xfId="74"/>
    <cellStyle name="Hyperlink 3" xfId="116"/>
    <cellStyle name="info" xfId="117"/>
    <cellStyle name="Input" xfId="35"/>
    <cellStyle name="Îòêðûâàâøàÿñÿ ãèïåðññûëêà" xfId="118"/>
    <cellStyle name="Linked Cell" xfId="36"/>
    <cellStyle name="ListData" xfId="119"/>
    <cellStyle name="Millares 2" xfId="37"/>
    <cellStyle name="Normal 10" xfId="120"/>
    <cellStyle name="Normal 11" xfId="121"/>
    <cellStyle name="Normal 12" xfId="172"/>
    <cellStyle name="Normal 2" xfId="38"/>
    <cellStyle name="Normal 2 2" xfId="39"/>
    <cellStyle name="Normal 2 2 2" xfId="84"/>
    <cellStyle name="Normal 2 3" xfId="40"/>
    <cellStyle name="Normal 2 4" xfId="41"/>
    <cellStyle name="Normal 2 5" xfId="42"/>
    <cellStyle name="Normal 2 6" xfId="43"/>
    <cellStyle name="Normal 2 7" xfId="44"/>
    <cellStyle name="Normal 2 8" xfId="45"/>
    <cellStyle name="Normal 2 9" xfId="65"/>
    <cellStyle name="Normal 2_Dashboard ver 2.2 ES" xfId="46"/>
    <cellStyle name="Normal 2_Prototipo" xfId="47"/>
    <cellStyle name="Normal 3" xfId="48"/>
    <cellStyle name="Normal 3 2" xfId="75"/>
    <cellStyle name="Normal 4" xfId="49"/>
    <cellStyle name="Normal 4 2" xfId="76"/>
    <cellStyle name="Normal 5" xfId="50"/>
    <cellStyle name="Normal 5 2" xfId="78"/>
    <cellStyle name="Normal 5 3" xfId="77"/>
    <cellStyle name="Normal 6" xfId="51"/>
    <cellStyle name="Normal 6 2" xfId="79"/>
    <cellStyle name="Normal 7" xfId="64"/>
    <cellStyle name="Normal 7 2" xfId="122"/>
    <cellStyle name="Normal 8" xfId="123"/>
    <cellStyle name="Normal 8 2" xfId="124"/>
    <cellStyle name="Normal 9" xfId="125"/>
    <cellStyle name="Normal_TZ_R3HIV_Phase_2_21_August_08" xfId="52"/>
    <cellStyle name="Note" xfId="53"/>
    <cellStyle name="Output" xfId="54"/>
    <cellStyle name="Percent 2" xfId="66"/>
    <cellStyle name="Percent 3" xfId="67"/>
    <cellStyle name="Percent 4" xfId="88"/>
    <cellStyle name="Percent 5" xfId="126"/>
    <cellStyle name="Percent 6" xfId="127"/>
    <cellStyle name="Percent 7" xfId="128"/>
    <cellStyle name="Percent 8" xfId="129"/>
    <cellStyle name="SheetHeader" xfId="130"/>
    <cellStyle name="TableHeader" xfId="131"/>
    <cellStyle name="Title" xfId="55"/>
    <cellStyle name="Título 3 3" xfId="56"/>
    <cellStyle name="Título 3 3_Prototipo" xfId="57"/>
    <cellStyle name="Título 3 3_PrototipoRep1" xfId="58"/>
    <cellStyle name="Título 3 7" xfId="59"/>
    <cellStyle name="Warning Text" xfId="60"/>
    <cellStyle name="Акцент1 2" xfId="132"/>
    <cellStyle name="Акцент2 2" xfId="133"/>
    <cellStyle name="Акцент3 2" xfId="134"/>
    <cellStyle name="Акцент4 2" xfId="135"/>
    <cellStyle name="Акцент5 2" xfId="136"/>
    <cellStyle name="Акцент6 2" xfId="137"/>
    <cellStyle name="Ввод  2" xfId="138"/>
    <cellStyle name="Вывод 2" xfId="139"/>
    <cellStyle name="Вычисление 2" xfId="140"/>
    <cellStyle name="Гиперссылка 2" xfId="141"/>
    <cellStyle name="Гиперссылка 3" xfId="142"/>
    <cellStyle name="Заголовок 1 2" xfId="143"/>
    <cellStyle name="Заголовок 2 2" xfId="144"/>
    <cellStyle name="Заголовок 3 2" xfId="145"/>
    <cellStyle name="Заголовок 4 2" xfId="146"/>
    <cellStyle name="Итог 2" xfId="147"/>
    <cellStyle name="Контрольная ячейка 2" xfId="148"/>
    <cellStyle name="Название 2" xfId="149"/>
    <cellStyle name="Нейтральный 2" xfId="150"/>
    <cellStyle name="Обычный" xfId="0" builtinId="0"/>
    <cellStyle name="Обычный 2" xfId="80"/>
    <cellStyle name="Обычный 2 2" xfId="151"/>
    <cellStyle name="Обычный 2 3" xfId="152"/>
    <cellStyle name="Обычный 3" xfId="81"/>
    <cellStyle name="Обычный 4" xfId="153"/>
    <cellStyle name="Обычный 4 2" xfId="154"/>
    <cellStyle name="Обычный 4_KGZ Rnd 7 budget HIV" xfId="155"/>
    <cellStyle name="Обычный 5" xfId="156"/>
    <cellStyle name="Обычный 6" xfId="157"/>
    <cellStyle name="Обычный 7" xfId="63"/>
    <cellStyle name="Плохой 2" xfId="158"/>
    <cellStyle name="Пояснение 2" xfId="159"/>
    <cellStyle name="Примечание 2" xfId="160"/>
    <cellStyle name="Процентный" xfId="61" builtinId="5"/>
    <cellStyle name="Процентный 2" xfId="161"/>
    <cellStyle name="Процентный 3" xfId="83"/>
    <cellStyle name="Связанная ячейка 2" xfId="162"/>
    <cellStyle name="Текст предупреждения 2" xfId="163"/>
    <cellStyle name="Финансовый" xfId="62" builtinId="3"/>
    <cellStyle name="Финансовый 2" xfId="164"/>
    <cellStyle name="Финансовый 2 2" xfId="165"/>
    <cellStyle name="Финансовый 3" xfId="166"/>
    <cellStyle name="Финансовый 4" xfId="167"/>
    <cellStyle name="Финансовый 5" xfId="168"/>
    <cellStyle name="Финансовый 6" xfId="169"/>
    <cellStyle name="Финансовый 7" xfId="86"/>
    <cellStyle name="Хороший 2" xfId="171"/>
    <cellStyle name="Хороший 3" xfId="170"/>
  </cellStyles>
  <dxfs count="101">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xmlMaps" Target="xmlMaps.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2675489.2999999998</c:v>
                </c:pt>
                <c:pt idx="1">
                  <c:v>14534177.495320581</c:v>
                </c:pt>
                <c:pt idx="2">
                  <c:v>20832314.79699133</c:v>
                </c:pt>
                <c:pt idx="3">
                  <c:v>24341578.491344776</c:v>
                </c:pt>
              </c:numCache>
            </c:numRef>
          </c:val>
          <c:extLst xmlns:c16r2="http://schemas.microsoft.com/office/drawing/2015/06/char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9988796</c:v>
                </c:pt>
                <c:pt idx="1">
                  <c:v>16926007</c:v>
                </c:pt>
                <c:pt idx="2">
                  <c:v>20590367</c:v>
                </c:pt>
                <c:pt idx="3">
                  <c:v>24099630</c:v>
                </c:pt>
              </c:numCache>
            </c:numRef>
          </c:val>
          <c:extLst xmlns:c16r2="http://schemas.microsoft.com/office/drawing/2015/06/char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682159824"/>
        <c:axId val="682148400"/>
      </c:barChart>
      <c:catAx>
        <c:axId val="68215982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682148400"/>
        <c:crosses val="autoZero"/>
        <c:auto val="1"/>
        <c:lblAlgn val="ctr"/>
        <c:lblOffset val="100"/>
        <c:tickLblSkip val="1"/>
        <c:tickMarkSkip val="1"/>
        <c:noMultiLvlLbl val="0"/>
      </c:catAx>
      <c:valAx>
        <c:axId val="68214840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68215982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взрослых и детей с известным ВИЧ статусом, получающих антиретровирусную терапию на данный момент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данных'!$F$166</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данных'!$G$163:$J$163</c:f>
              <c:strCache>
                <c:ptCount val="4"/>
                <c:pt idx="0">
                  <c:v>P1</c:v>
                </c:pt>
                <c:pt idx="1">
                  <c:v>P2</c:v>
                </c:pt>
                <c:pt idx="2">
                  <c:v>P3</c:v>
                </c:pt>
                <c:pt idx="3">
                  <c:v>P4</c:v>
                </c:pt>
              </c:strCache>
            </c:strRef>
          </c:cat>
          <c:val>
            <c:numRef>
              <c:f>'Ввод данных'!$G$166:$J$166</c:f>
              <c:numCache>
                <c:formatCode>#,##0</c:formatCode>
                <c:ptCount val="4"/>
                <c:pt idx="0">
                  <c:v>2700</c:v>
                </c:pt>
                <c:pt idx="1">
                  <c:v>3100</c:v>
                </c:pt>
                <c:pt idx="2">
                  <c:v>3478</c:v>
                </c:pt>
                <c:pt idx="3">
                  <c:v>3926</c:v>
                </c:pt>
              </c:numCache>
            </c:numRef>
          </c:val>
          <c:extLst xmlns:c16r2="http://schemas.microsoft.com/office/drawing/2015/06/chart">
            <c:ext xmlns:c16="http://schemas.microsoft.com/office/drawing/2014/chart" uri="{C3380CC4-5D6E-409C-BE32-E72D297353CC}">
              <c16:uniqueId val="{00000000-9E25-406D-8890-99728E61850A}"/>
            </c:ext>
          </c:extLst>
        </c:ser>
        <c:ser>
          <c:idx val="1"/>
          <c:order val="1"/>
          <c:tx>
            <c:strRef>
              <c:f>'Ввод данных'!$F$167</c:f>
              <c:strCache>
                <c:ptCount val="1"/>
                <c:pt idx="0">
                  <c:v>Достигнуто на 98%</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данных'!$G$163:$J$163</c:f>
              <c:strCache>
                <c:ptCount val="4"/>
                <c:pt idx="0">
                  <c:v>P1</c:v>
                </c:pt>
                <c:pt idx="1">
                  <c:v>P2</c:v>
                </c:pt>
                <c:pt idx="2">
                  <c:v>P3</c:v>
                </c:pt>
                <c:pt idx="3">
                  <c:v>P4</c:v>
                </c:pt>
              </c:strCache>
            </c:strRef>
          </c:cat>
          <c:val>
            <c:numRef>
              <c:f>'Ввод данных'!$G$167:$J$167</c:f>
              <c:numCache>
                <c:formatCode>#,##0</c:formatCode>
                <c:ptCount val="4"/>
                <c:pt idx="0">
                  <c:v>2668</c:v>
                </c:pt>
                <c:pt idx="1">
                  <c:v>2995</c:v>
                </c:pt>
                <c:pt idx="2">
                  <c:v>3237</c:v>
                </c:pt>
                <c:pt idx="3">
                  <c:v>3454</c:v>
                </c:pt>
              </c:numCache>
            </c:numRef>
          </c:val>
          <c:extLst xmlns:c16r2="http://schemas.microsoft.com/office/drawing/2015/06/chart">
            <c:ext xmlns:c16="http://schemas.microsoft.com/office/drawing/2014/chart" uri="{C3380CC4-5D6E-409C-BE32-E72D297353CC}">
              <c16:uniqueId val="{00000001-9E25-406D-8890-99728E61850A}"/>
            </c:ext>
          </c:extLst>
        </c:ser>
        <c:dLbls>
          <c:showLegendKey val="0"/>
          <c:showVal val="1"/>
          <c:showCatName val="0"/>
          <c:showSerName val="0"/>
          <c:showPercent val="0"/>
          <c:showBubbleSize val="0"/>
        </c:dLbls>
        <c:gapWidth val="150"/>
        <c:overlap val="-25"/>
        <c:axId val="737524896"/>
        <c:axId val="737525440"/>
      </c:barChart>
      <c:catAx>
        <c:axId val="737524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7525440"/>
        <c:crosses val="autoZero"/>
        <c:auto val="1"/>
        <c:lblAlgn val="ctr"/>
        <c:lblOffset val="100"/>
        <c:noMultiLvlLbl val="0"/>
      </c:catAx>
      <c:valAx>
        <c:axId val="737525440"/>
        <c:scaling>
          <c:orientation val="minMax"/>
        </c:scaling>
        <c:delete val="1"/>
        <c:axPos val="l"/>
        <c:numFmt formatCode="#,##0" sourceLinked="1"/>
        <c:majorTickMark val="none"/>
        <c:minorTickMark val="none"/>
        <c:tickLblPos val="nextTo"/>
        <c:crossAx val="7375248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Количество ЛЖВ, находящихся на попечении общинных организаций и участвующих в программах поддержки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данных'!$F$168</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данных'!$G$163:$J$163</c:f>
              <c:strCache>
                <c:ptCount val="4"/>
                <c:pt idx="0">
                  <c:v>P1</c:v>
                </c:pt>
                <c:pt idx="1">
                  <c:v>P2</c:v>
                </c:pt>
                <c:pt idx="2">
                  <c:v>P3</c:v>
                </c:pt>
                <c:pt idx="3">
                  <c:v>P4</c:v>
                </c:pt>
              </c:strCache>
            </c:strRef>
          </c:cat>
          <c:val>
            <c:numRef>
              <c:f>'Ввод данных'!$G$168:$J$168</c:f>
              <c:numCache>
                <c:formatCode>#,##0</c:formatCode>
                <c:ptCount val="4"/>
                <c:pt idx="0">
                  <c:v>1410</c:v>
                </c:pt>
                <c:pt idx="1">
                  <c:v>1480</c:v>
                </c:pt>
                <c:pt idx="2">
                  <c:v>1616</c:v>
                </c:pt>
                <c:pt idx="3">
                  <c:v>2032</c:v>
                </c:pt>
              </c:numCache>
            </c:numRef>
          </c:val>
          <c:extLst xmlns:c16r2="http://schemas.microsoft.com/office/drawing/2015/06/chart">
            <c:ext xmlns:c16="http://schemas.microsoft.com/office/drawing/2014/chart" uri="{C3380CC4-5D6E-409C-BE32-E72D297353CC}">
              <c16:uniqueId val="{00000000-8E36-4759-95E6-C1FD3F67DC3B}"/>
            </c:ext>
          </c:extLst>
        </c:ser>
        <c:ser>
          <c:idx val="1"/>
          <c:order val="1"/>
          <c:tx>
            <c:strRef>
              <c:f>'Ввод данных'!$F$169</c:f>
              <c:strCache>
                <c:ptCount val="1"/>
                <c:pt idx="0">
                  <c:v>Достигнуто на 120%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данных'!$G$163:$J$163</c:f>
              <c:strCache>
                <c:ptCount val="4"/>
                <c:pt idx="0">
                  <c:v>P1</c:v>
                </c:pt>
                <c:pt idx="1">
                  <c:v>P2</c:v>
                </c:pt>
                <c:pt idx="2">
                  <c:v>P3</c:v>
                </c:pt>
                <c:pt idx="3">
                  <c:v>P4</c:v>
                </c:pt>
              </c:strCache>
            </c:strRef>
          </c:cat>
          <c:val>
            <c:numRef>
              <c:f>'Ввод данных'!$G$169:$J$169</c:f>
              <c:numCache>
                <c:formatCode>#,##0</c:formatCode>
                <c:ptCount val="4"/>
                <c:pt idx="0">
                  <c:v>2514</c:v>
                </c:pt>
                <c:pt idx="1">
                  <c:v>2851</c:v>
                </c:pt>
                <c:pt idx="2">
                  <c:v>3117</c:v>
                </c:pt>
                <c:pt idx="3">
                  <c:v>3029</c:v>
                </c:pt>
              </c:numCache>
            </c:numRef>
          </c:val>
          <c:extLst xmlns:c16r2="http://schemas.microsoft.com/office/drawing/2015/06/chart">
            <c:ext xmlns:c16="http://schemas.microsoft.com/office/drawing/2014/chart" uri="{C3380CC4-5D6E-409C-BE32-E72D297353CC}">
              <c16:uniqueId val="{00000001-8E36-4759-95E6-C1FD3F67DC3B}"/>
            </c:ext>
          </c:extLst>
        </c:ser>
        <c:dLbls>
          <c:showLegendKey val="0"/>
          <c:showVal val="1"/>
          <c:showCatName val="0"/>
          <c:showSerName val="0"/>
          <c:showPercent val="0"/>
          <c:showBubbleSize val="0"/>
        </c:dLbls>
        <c:gapWidth val="150"/>
        <c:overlap val="-25"/>
        <c:axId val="735802096"/>
        <c:axId val="735808080"/>
      </c:barChart>
      <c:catAx>
        <c:axId val="735802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5808080"/>
        <c:crosses val="autoZero"/>
        <c:auto val="1"/>
        <c:lblAlgn val="ctr"/>
        <c:lblOffset val="100"/>
        <c:noMultiLvlLbl val="0"/>
      </c:catAx>
      <c:valAx>
        <c:axId val="735808080"/>
        <c:scaling>
          <c:orientation val="minMax"/>
        </c:scaling>
        <c:delete val="1"/>
        <c:axPos val="l"/>
        <c:numFmt formatCode="#,##0" sourceLinked="1"/>
        <c:majorTickMark val="none"/>
        <c:minorTickMark val="none"/>
        <c:tickLblPos val="nextTo"/>
        <c:crossAx val="7358020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Число   больных  с устойчивыми формами туберкулеза на лечении, получающих мотивационную поддержку</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данных'!$F$217</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'Ввод данных'!$G$217:$J$217</c:f>
              <c:numCache>
                <c:formatCode>"Q"#\ ##0_);[Red]\("Q"#\ ##0\)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3B9B-49FD-BF6F-70EC39C3254D}"/>
            </c:ext>
          </c:extLst>
        </c:ser>
        <c:ser>
          <c:idx val="1"/>
          <c:order val="1"/>
          <c:tx>
            <c:strRef>
              <c:f>'Ввод данных'!$F$218</c:f>
              <c:strCache>
                <c:ptCount val="1"/>
                <c:pt idx="0">
                  <c:v>Целевой показатель</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'Ввод данных'!$G$218:$J$218</c:f>
              <c:numCache>
                <c:formatCode>#,##0</c:formatCode>
                <c:ptCount val="4"/>
                <c:pt idx="0">
                  <c:v>1939</c:v>
                </c:pt>
                <c:pt idx="1">
                  <c:v>2254</c:v>
                </c:pt>
                <c:pt idx="2">
                  <c:v>2413</c:v>
                </c:pt>
                <c:pt idx="3">
                  <c:v>2413</c:v>
                </c:pt>
              </c:numCache>
            </c:numRef>
          </c:val>
          <c:extLst xmlns:c16r2="http://schemas.microsoft.com/office/drawing/2015/06/chart">
            <c:ext xmlns:c16="http://schemas.microsoft.com/office/drawing/2014/chart" uri="{C3380CC4-5D6E-409C-BE32-E72D297353CC}">
              <c16:uniqueId val="{00000001-3B9B-49FD-BF6F-70EC39C3254D}"/>
            </c:ext>
          </c:extLst>
        </c:ser>
        <c:ser>
          <c:idx val="2"/>
          <c:order val="2"/>
          <c:tx>
            <c:strRef>
              <c:f>'Ввод данных'!$F$219</c:f>
              <c:strCache>
                <c:ptCount val="1"/>
                <c:pt idx="0">
                  <c:v>Достигнуто</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'Ввод данных'!$G$219:$J$219</c:f>
              <c:numCache>
                <c:formatCode>#,##0</c:formatCode>
                <c:ptCount val="4"/>
                <c:pt idx="0">
                  <c:v>1476</c:v>
                </c:pt>
                <c:pt idx="1">
                  <c:v>1689</c:v>
                </c:pt>
                <c:pt idx="2">
                  <c:v>1684</c:v>
                </c:pt>
              </c:numCache>
            </c:numRef>
          </c:val>
          <c:extLst xmlns:c16r2="http://schemas.microsoft.com/office/drawing/2015/06/chart">
            <c:ext xmlns:c16="http://schemas.microsoft.com/office/drawing/2014/chart" uri="{C3380CC4-5D6E-409C-BE32-E72D297353CC}">
              <c16:uniqueId val="{00000000-3C14-43CC-A1CA-4F50138BC553}"/>
            </c:ext>
          </c:extLst>
        </c:ser>
        <c:dLbls>
          <c:showLegendKey val="0"/>
          <c:showVal val="1"/>
          <c:showCatName val="0"/>
          <c:showSerName val="0"/>
          <c:showPercent val="0"/>
          <c:showBubbleSize val="0"/>
        </c:dLbls>
        <c:gapWidth val="150"/>
        <c:overlap val="-25"/>
        <c:axId val="735802640"/>
        <c:axId val="735804272"/>
      </c:barChart>
      <c:catAx>
        <c:axId val="735802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5804272"/>
        <c:crosses val="autoZero"/>
        <c:auto val="1"/>
        <c:lblAlgn val="ctr"/>
        <c:lblOffset val="100"/>
        <c:noMultiLvlLbl val="0"/>
      </c:catAx>
      <c:valAx>
        <c:axId val="735804272"/>
        <c:scaling>
          <c:orientation val="minMax"/>
        </c:scaling>
        <c:delete val="1"/>
        <c:axPos val="l"/>
        <c:numFmt formatCode="&quot;Q&quot;#\ ##0_);[Red]\(&quot;Q&quot;#\ ##0\)" sourceLinked="1"/>
        <c:majorTickMark val="none"/>
        <c:minorTickMark val="none"/>
        <c:tickLblPos val="nextTo"/>
        <c:crossAx val="73580264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Число  больных с чувствительной формой ТБ и ПЛУ(ПТП 1 ряда) на лечении, получающих мотивационную поддержку</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данных'!$F$220</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данных'!$G$217:$J$217</c:f>
              <c:strCache>
                <c:ptCount val="4"/>
                <c:pt idx="0">
                  <c:v>Р1</c:v>
                </c:pt>
                <c:pt idx="1">
                  <c:v>Р2</c:v>
                </c:pt>
                <c:pt idx="2">
                  <c:v>P3</c:v>
                </c:pt>
                <c:pt idx="3">
                  <c:v>P4</c:v>
                </c:pt>
              </c:strCache>
            </c:strRef>
          </c:cat>
          <c:val>
            <c:numRef>
              <c:f>'Ввод данных'!$G$220:$J$220</c:f>
              <c:numCache>
                <c:formatCode>#,##0</c:formatCode>
                <c:ptCount val="4"/>
                <c:pt idx="0">
                  <c:v>1677</c:v>
                </c:pt>
                <c:pt idx="1">
                  <c:v>1677</c:v>
                </c:pt>
                <c:pt idx="2">
                  <c:v>1677</c:v>
                </c:pt>
              </c:numCache>
            </c:numRef>
          </c:val>
          <c:extLst xmlns:c16r2="http://schemas.microsoft.com/office/drawing/2015/06/chart">
            <c:ext xmlns:c16="http://schemas.microsoft.com/office/drawing/2014/chart" uri="{C3380CC4-5D6E-409C-BE32-E72D297353CC}">
              <c16:uniqueId val="{00000000-0FA3-483E-9E00-1641FC511067}"/>
            </c:ext>
          </c:extLst>
        </c:ser>
        <c:ser>
          <c:idx val="1"/>
          <c:order val="1"/>
          <c:tx>
            <c:strRef>
              <c:f>'Ввод данных'!$F$221</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данных'!$G$217:$J$217</c:f>
              <c:strCache>
                <c:ptCount val="4"/>
                <c:pt idx="0">
                  <c:v>Р1</c:v>
                </c:pt>
                <c:pt idx="1">
                  <c:v>Р2</c:v>
                </c:pt>
                <c:pt idx="2">
                  <c:v>P3</c:v>
                </c:pt>
                <c:pt idx="3">
                  <c:v>P4</c:v>
                </c:pt>
              </c:strCache>
            </c:strRef>
          </c:cat>
          <c:val>
            <c:numRef>
              <c:f>'Ввод данных'!$G$221:$J$221</c:f>
              <c:numCache>
                <c:formatCode>#,##0</c:formatCode>
                <c:ptCount val="4"/>
                <c:pt idx="0">
                  <c:v>1628</c:v>
                </c:pt>
                <c:pt idx="1">
                  <c:v>2087</c:v>
                </c:pt>
                <c:pt idx="2">
                  <c:v>2034</c:v>
                </c:pt>
                <c:pt idx="3">
                  <c:v>1798</c:v>
                </c:pt>
              </c:numCache>
            </c:numRef>
          </c:val>
          <c:extLst xmlns:c16r2="http://schemas.microsoft.com/office/drawing/2015/06/chart">
            <c:ext xmlns:c16="http://schemas.microsoft.com/office/drawing/2014/chart" uri="{C3380CC4-5D6E-409C-BE32-E72D297353CC}">
              <c16:uniqueId val="{00000001-0FA3-483E-9E00-1641FC511067}"/>
            </c:ext>
          </c:extLst>
        </c:ser>
        <c:dLbls>
          <c:showLegendKey val="0"/>
          <c:showVal val="1"/>
          <c:showCatName val="0"/>
          <c:showSerName val="0"/>
          <c:showPercent val="0"/>
          <c:showBubbleSize val="0"/>
        </c:dLbls>
        <c:gapWidth val="150"/>
        <c:overlap val="-25"/>
        <c:axId val="735806448"/>
        <c:axId val="735808624"/>
      </c:barChart>
      <c:catAx>
        <c:axId val="735806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5808624"/>
        <c:crosses val="autoZero"/>
        <c:auto val="1"/>
        <c:lblAlgn val="ctr"/>
        <c:lblOffset val="100"/>
        <c:noMultiLvlLbl val="0"/>
      </c:catAx>
      <c:valAx>
        <c:axId val="735808624"/>
        <c:scaling>
          <c:orientation val="minMax"/>
        </c:scaling>
        <c:delete val="1"/>
        <c:axPos val="l"/>
        <c:numFmt formatCode="#,##0" sourceLinked="1"/>
        <c:majorTickMark val="none"/>
        <c:minorTickMark val="none"/>
        <c:tickLblPos val="nextTo"/>
        <c:crossAx val="7358064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MDR TB-1: </a:t>
            </a:r>
            <a:r>
              <a:rPr lang="ru-RU" sz="1000"/>
              <a:t>Процент ранее излеченных ТБ пациентов, прошедших ТЛЧ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manualLayout>
          <c:layoutTarget val="inner"/>
          <c:xMode val="edge"/>
          <c:yMode val="edge"/>
          <c:x val="2.6907577767137161E-2"/>
          <c:y val="0.28708574224016331"/>
          <c:w val="0.97309242223286285"/>
          <c:h val="0.59200153327338678"/>
        </c:manualLayout>
      </c:layout>
      <c:barChart>
        <c:barDir val="col"/>
        <c:grouping val="clustered"/>
        <c:varyColors val="0"/>
        <c:ser>
          <c:idx val="0"/>
          <c:order val="0"/>
          <c:tx>
            <c:strRef>
              <c:f>'Ввод данных'!$F$222</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данных'!$G$217:$J$217</c:f>
              <c:strCache>
                <c:ptCount val="4"/>
                <c:pt idx="0">
                  <c:v>Р1</c:v>
                </c:pt>
                <c:pt idx="1">
                  <c:v>Р2</c:v>
                </c:pt>
                <c:pt idx="2">
                  <c:v>P3</c:v>
                </c:pt>
                <c:pt idx="3">
                  <c:v>P4</c:v>
                </c:pt>
              </c:strCache>
            </c:strRef>
          </c:cat>
          <c:val>
            <c:numRef>
              <c:f>'Ввод данных'!$G$222:$J$222</c:f>
              <c:numCache>
                <c:formatCode>0%</c:formatCode>
                <c:ptCount val="4"/>
                <c:pt idx="0">
                  <c:v>0.85</c:v>
                </c:pt>
                <c:pt idx="1">
                  <c:v>0.9</c:v>
                </c:pt>
                <c:pt idx="2">
                  <c:v>0.95</c:v>
                </c:pt>
                <c:pt idx="3">
                  <c:v>0.95</c:v>
                </c:pt>
              </c:numCache>
            </c:numRef>
          </c:val>
          <c:extLst xmlns:c16r2="http://schemas.microsoft.com/office/drawing/2015/06/chart">
            <c:ext xmlns:c16="http://schemas.microsoft.com/office/drawing/2014/chart" uri="{C3380CC4-5D6E-409C-BE32-E72D297353CC}">
              <c16:uniqueId val="{00000000-C5F8-4F29-8519-CACFFDA40A9D}"/>
            </c:ext>
          </c:extLst>
        </c:ser>
        <c:ser>
          <c:idx val="1"/>
          <c:order val="1"/>
          <c:tx>
            <c:strRef>
              <c:f>'Ввод данных'!$F$223</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данных'!$G$217:$J$217</c:f>
              <c:strCache>
                <c:ptCount val="4"/>
                <c:pt idx="0">
                  <c:v>Р1</c:v>
                </c:pt>
                <c:pt idx="1">
                  <c:v>Р2</c:v>
                </c:pt>
                <c:pt idx="2">
                  <c:v>P3</c:v>
                </c:pt>
                <c:pt idx="3">
                  <c:v>P4</c:v>
                </c:pt>
              </c:strCache>
            </c:strRef>
          </c:cat>
          <c:val>
            <c:numRef>
              <c:f>'Ввод данных'!$G$223:$J$223</c:f>
              <c:numCache>
                <c:formatCode>0%</c:formatCode>
                <c:ptCount val="4"/>
                <c:pt idx="0">
                  <c:v>0.96</c:v>
                </c:pt>
                <c:pt idx="1">
                  <c:v>0.95</c:v>
                </c:pt>
                <c:pt idx="2">
                  <c:v>0.96</c:v>
                </c:pt>
                <c:pt idx="3">
                  <c:v>0.95</c:v>
                </c:pt>
              </c:numCache>
            </c:numRef>
          </c:val>
          <c:extLst xmlns:c16r2="http://schemas.microsoft.com/office/drawing/2015/06/chart">
            <c:ext xmlns:c16="http://schemas.microsoft.com/office/drawing/2014/chart" uri="{C3380CC4-5D6E-409C-BE32-E72D297353CC}">
              <c16:uniqueId val="{00000001-C5F8-4F29-8519-CACFFDA40A9D}"/>
            </c:ext>
          </c:extLst>
        </c:ser>
        <c:dLbls>
          <c:showLegendKey val="0"/>
          <c:showVal val="1"/>
          <c:showCatName val="0"/>
          <c:showSerName val="0"/>
          <c:showPercent val="0"/>
          <c:showBubbleSize val="0"/>
        </c:dLbls>
        <c:gapWidth val="150"/>
        <c:overlap val="-25"/>
        <c:axId val="735804816"/>
        <c:axId val="738504912"/>
      </c:barChart>
      <c:catAx>
        <c:axId val="735804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8504912"/>
        <c:crosses val="autoZero"/>
        <c:auto val="1"/>
        <c:lblAlgn val="ctr"/>
        <c:lblOffset val="100"/>
        <c:noMultiLvlLbl val="0"/>
      </c:catAx>
      <c:valAx>
        <c:axId val="738504912"/>
        <c:scaling>
          <c:orientation val="minMax"/>
        </c:scaling>
        <c:delete val="1"/>
        <c:axPos val="l"/>
        <c:numFmt formatCode="0%" sourceLinked="1"/>
        <c:majorTickMark val="none"/>
        <c:minorTickMark val="none"/>
        <c:tickLblPos val="nextTo"/>
        <c:crossAx val="73580481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данных'!$B$33:$L$33</c:f>
              <c:numCache>
                <c:formatCode>#,##0</c:formatCode>
                <c:ptCount val="11"/>
                <c:pt idx="0">
                  <c:v>2675489.2999999998</c:v>
                </c:pt>
                <c:pt idx="1">
                  <c:v>14534177.495320581</c:v>
                </c:pt>
                <c:pt idx="2">
                  <c:v>20832314.79699133</c:v>
                </c:pt>
                <c:pt idx="3">
                  <c:v>24341578.491344776</c:v>
                </c:pt>
              </c:numCache>
            </c:numRef>
          </c:val>
          <c:extLst xmlns:c16r2="http://schemas.microsoft.com/office/drawing/2015/06/char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данных'!$B$34:$L$34</c:f>
              <c:numCache>
                <c:formatCode>#,##0</c:formatCode>
                <c:ptCount val="11"/>
                <c:pt idx="0">
                  <c:v>9988796</c:v>
                </c:pt>
                <c:pt idx="1">
                  <c:v>16926007</c:v>
                </c:pt>
                <c:pt idx="2">
                  <c:v>20590367</c:v>
                </c:pt>
                <c:pt idx="3">
                  <c:v>24099630</c:v>
                </c:pt>
              </c:numCache>
            </c:numRef>
          </c:val>
          <c:extLst xmlns:c16r2="http://schemas.microsoft.com/office/drawing/2015/06/char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738502192"/>
        <c:axId val="738497840"/>
      </c:areaChart>
      <c:catAx>
        <c:axId val="73850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738497840"/>
        <c:crosses val="autoZero"/>
        <c:auto val="1"/>
        <c:lblAlgn val="ctr"/>
        <c:lblOffset val="100"/>
        <c:tickLblSkip val="8"/>
        <c:tickMarkSkip val="1"/>
        <c:noMultiLvlLbl val="0"/>
      </c:catAx>
      <c:valAx>
        <c:axId val="73849784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738502192"/>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данных'!$A$39:$A$55</c:f>
              <c:strCache>
                <c:ptCount val="14"/>
                <c:pt idx="0">
                  <c:v>Управление программой</c:v>
                </c:pt>
                <c:pt idx="1">
                  <c:v>Профилактика - ПИН и их партнеры</c:v>
                </c:pt>
                <c:pt idx="2">
                  <c:v>Профилактика - Работники секс-бизнеса и их клиенты</c:v>
                </c:pt>
                <c:pt idx="3">
                  <c:v>Профилактика - МСМ и трансгендерные лица</c:v>
                </c:pt>
                <c:pt idx="4">
                  <c:v>Профилактика - Другие уязвимые группы населения </c:v>
                </c:pt>
                <c:pt idx="5">
                  <c:v>Лечение, уход и поддержка
</c:v>
                </c:pt>
                <c:pt idx="6">
                  <c:v>Укрепление систем сообществ</c:v>
                </c:pt>
                <c:pt idx="7">
                  <c:v>Устранение правовых барьеров к доступу</c:v>
                </c:pt>
                <c:pt idx="8">
                  <c:v>УC3 - Информационные системы здравоохранения и МиО</c:v>
                </c:pt>
                <c:pt idx="9">
                  <c:v>ТБ/ВИЧ</c:v>
                </c:pt>
                <c:pt idx="10">
                  <c:v>МЛУ-ТБ</c:v>
                </c:pt>
                <c:pt idx="11">
                  <c:v>ППМР</c:v>
                </c:pt>
                <c:pt idx="12">
                  <c:v>УСЗ - системы управления закупками и логистикой</c:v>
                </c:pt>
                <c:pt idx="13">
                  <c:v>Профилактика - заключенные
</c:v>
                </c:pt>
              </c:strCache>
            </c:strRef>
          </c:cat>
          <c:val>
            <c:numRef>
              <c:f>'Ввод данных'!$B$39:$B$55</c:f>
              <c:numCache>
                <c:formatCode>#,##0</c:formatCode>
                <c:ptCount val="17"/>
                <c:pt idx="0">
                  <c:v>6278809.2197592426</c:v>
                </c:pt>
                <c:pt idx="1">
                  <c:v>2926084.3703791345</c:v>
                </c:pt>
                <c:pt idx="2">
                  <c:v>731687.90596694732</c:v>
                </c:pt>
                <c:pt idx="3">
                  <c:v>465984.09313467797</c:v>
                </c:pt>
                <c:pt idx="4">
                  <c:v>118579.00739639475</c:v>
                </c:pt>
                <c:pt idx="5">
                  <c:v>2672558.5136298249</c:v>
                </c:pt>
                <c:pt idx="6">
                  <c:v>137964.81331944445</c:v>
                </c:pt>
                <c:pt idx="7">
                  <c:v>270247.71354999125</c:v>
                </c:pt>
                <c:pt idx="8">
                  <c:v>650650.34947741497</c:v>
                </c:pt>
                <c:pt idx="9">
                  <c:v>36228.885999999999</c:v>
                </c:pt>
                <c:pt idx="10">
                  <c:v>9748558.2101391014</c:v>
                </c:pt>
                <c:pt idx="11">
                  <c:v>162495.40859260003</c:v>
                </c:pt>
                <c:pt idx="12">
                  <c:v>141730</c:v>
                </c:pt>
              </c:numCache>
            </c:numRef>
          </c:val>
          <c:extLst xmlns:c16r2="http://schemas.microsoft.com/office/drawing/2015/06/char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данных'!$A$39:$A$55</c:f>
              <c:strCache>
                <c:ptCount val="14"/>
                <c:pt idx="0">
                  <c:v>Управление программой</c:v>
                </c:pt>
                <c:pt idx="1">
                  <c:v>Профилактика - ПИН и их партнеры</c:v>
                </c:pt>
                <c:pt idx="2">
                  <c:v>Профилактика - Работники секс-бизнеса и их клиенты</c:v>
                </c:pt>
                <c:pt idx="3">
                  <c:v>Профилактика - МСМ и трансгендерные лица</c:v>
                </c:pt>
                <c:pt idx="4">
                  <c:v>Профилактика - Другие уязвимые группы населения </c:v>
                </c:pt>
                <c:pt idx="5">
                  <c:v>Лечение, уход и поддержка
</c:v>
                </c:pt>
                <c:pt idx="6">
                  <c:v>Укрепление систем сообществ</c:v>
                </c:pt>
                <c:pt idx="7">
                  <c:v>Устранение правовых барьеров к доступу</c:v>
                </c:pt>
                <c:pt idx="8">
                  <c:v>УC3 - Информационные системы здравоохранения и МиО</c:v>
                </c:pt>
                <c:pt idx="9">
                  <c:v>ТБ/ВИЧ</c:v>
                </c:pt>
                <c:pt idx="10">
                  <c:v>МЛУ-ТБ</c:v>
                </c:pt>
                <c:pt idx="11">
                  <c:v>ППМР</c:v>
                </c:pt>
                <c:pt idx="12">
                  <c:v>УСЗ - системы управления закупками и логистикой</c:v>
                </c:pt>
                <c:pt idx="13">
                  <c:v>Профилактика - заключенные
</c:v>
                </c:pt>
              </c:strCache>
            </c:strRef>
          </c:cat>
          <c:val>
            <c:numRef>
              <c:f>'Ввод данных'!$C$39:$C$55</c:f>
              <c:numCache>
                <c:formatCode>#,##0</c:formatCode>
                <c:ptCount val="17"/>
                <c:pt idx="0">
                  <c:v>5738863.8473999994</c:v>
                </c:pt>
                <c:pt idx="1">
                  <c:v>2615179.6788368011</c:v>
                </c:pt>
                <c:pt idx="2">
                  <c:v>714426.45000000007</c:v>
                </c:pt>
                <c:pt idx="3">
                  <c:v>458873.82000000007</c:v>
                </c:pt>
                <c:pt idx="4">
                  <c:v>104064.91999999998</c:v>
                </c:pt>
                <c:pt idx="5">
                  <c:v>2246388.59</c:v>
                </c:pt>
                <c:pt idx="6">
                  <c:v>119765.82999999999</c:v>
                </c:pt>
                <c:pt idx="7">
                  <c:v>257024.38000000003</c:v>
                </c:pt>
                <c:pt idx="8">
                  <c:v>556917.70000000007</c:v>
                </c:pt>
                <c:pt idx="9">
                  <c:v>12499.159802554585</c:v>
                </c:pt>
                <c:pt idx="10">
                  <c:v>8569477.5399999991</c:v>
                </c:pt>
                <c:pt idx="11">
                  <c:v>162360.82000000004</c:v>
                </c:pt>
                <c:pt idx="12">
                  <c:v>115886.93999999999</c:v>
                </c:pt>
              </c:numCache>
            </c:numRef>
          </c:val>
          <c:extLst xmlns:c16r2="http://schemas.microsoft.com/office/drawing/2015/06/char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682152752"/>
        <c:axId val="682148944"/>
      </c:barChart>
      <c:catAx>
        <c:axId val="682152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682148944"/>
        <c:crosses val="autoZero"/>
        <c:auto val="1"/>
        <c:lblAlgn val="ctr"/>
        <c:lblOffset val="100"/>
        <c:tickMarkSkip val="1"/>
        <c:noMultiLvlLbl val="0"/>
      </c:catAx>
      <c:valAx>
        <c:axId val="6821489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68215275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данных'!$B$61:$B$64</c:f>
              <c:numCache>
                <c:formatCode>#,##0</c:formatCode>
                <c:ptCount val="4"/>
                <c:pt idx="0">
                  <c:v>20590367</c:v>
                </c:pt>
                <c:pt idx="1">
                  <c:v>12280314.708639355</c:v>
                </c:pt>
                <c:pt idx="2">
                  <c:v>6555713.9400000013</c:v>
                </c:pt>
                <c:pt idx="3">
                  <c:v>6192283.2599999988</c:v>
                </c:pt>
              </c:numCache>
            </c:numRef>
          </c:val>
          <c:extLst xmlns:c16r2="http://schemas.microsoft.com/office/drawing/2015/06/char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данных'!$C$61:$C$64</c:f>
              <c:numCache>
                <c:formatCode>#,##0</c:formatCode>
                <c:ptCount val="4"/>
                <c:pt idx="0">
                  <c:v>3509263</c:v>
                </c:pt>
                <c:pt idx="1">
                  <c:v>2142701.7773999991</c:v>
                </c:pt>
                <c:pt idx="2">
                  <c:v>932683.72</c:v>
                </c:pt>
                <c:pt idx="3">
                  <c:v>1056429.9300000002</c:v>
                </c:pt>
              </c:numCache>
            </c:numRef>
          </c:val>
          <c:extLst xmlns:c16r2="http://schemas.microsoft.com/office/drawing/2015/06/char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682154928"/>
        <c:axId val="682150576"/>
      </c:barChart>
      <c:catAx>
        <c:axId val="682154928"/>
        <c:scaling>
          <c:orientation val="minMax"/>
        </c:scaling>
        <c:delete val="0"/>
        <c:axPos val="b"/>
        <c:numFmt formatCode="General" sourceLinked="1"/>
        <c:majorTickMark val="none"/>
        <c:minorTickMark val="none"/>
        <c:tickLblPos val="nextTo"/>
        <c:crossAx val="682150576"/>
        <c:crosses val="autoZero"/>
        <c:auto val="1"/>
        <c:lblAlgn val="ctr"/>
        <c:lblOffset val="100"/>
        <c:noMultiLvlLbl val="0"/>
      </c:catAx>
      <c:valAx>
        <c:axId val="682150576"/>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682154928"/>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1785501950377748"/>
          <c:y val="8.7064591064048028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0-10EC-4E35-BA7D-5D43EEA8A97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'Ввод данных'!$A$101:$A$105</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данных'!$C$101:$C$105</c:f>
              <c:numCache>
                <c:formatCode>0</c:formatCode>
                <c:ptCount val="5"/>
                <c:pt idx="0" formatCode="General">
                  <c:v>0</c:v>
                </c:pt>
                <c:pt idx="1">
                  <c:v>0</c:v>
                </c:pt>
                <c:pt idx="2">
                  <c:v>26</c:v>
                </c:pt>
                <c:pt idx="4">
                  <c:v>10</c:v>
                </c:pt>
              </c:numCache>
            </c:numRef>
          </c:val>
          <c:extLst xmlns:c16r2="http://schemas.microsoft.com/office/drawing/2015/06/char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2-10EC-4E35-BA7D-5D43EEA8A97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'Ввод данных'!$A$101:$A$105</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данных'!$D$101:$D$105</c:f>
              <c:numCache>
                <c:formatCode>0</c:formatCode>
                <c:ptCount val="5"/>
                <c:pt idx="0" formatCode="General">
                  <c:v>0</c:v>
                </c:pt>
                <c:pt idx="1">
                  <c:v>0</c:v>
                </c:pt>
                <c:pt idx="2">
                  <c:v>2</c:v>
                </c:pt>
                <c:pt idx="3">
                  <c:v>0</c:v>
                </c:pt>
                <c:pt idx="4">
                  <c:v>0</c:v>
                </c:pt>
              </c:numCache>
            </c:numRef>
          </c:val>
          <c:extLst xmlns:c16r2="http://schemas.microsoft.com/office/drawing/2015/06/char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735733504"/>
        <c:axId val="735735680"/>
      </c:barChart>
      <c:catAx>
        <c:axId val="7357335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5735680"/>
        <c:crosses val="autoZero"/>
        <c:auto val="1"/>
        <c:lblAlgn val="ctr"/>
        <c:lblOffset val="100"/>
        <c:noMultiLvlLbl val="0"/>
      </c:catAx>
      <c:valAx>
        <c:axId val="73573568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5733504"/>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ayout>
        <c:manualLayout>
          <c:xMode val="edge"/>
          <c:yMode val="edge"/>
          <c:x val="0.29364558711928962"/>
          <c:y val="0.80823145428488985"/>
          <c:w val="0.45690772078904501"/>
          <c:h val="0.1046518441546265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4672132925533"/>
          <c:y val="1.9528958880139981E-2"/>
          <c:w val="0.8170820589575063"/>
          <c:h val="0.68240489938757654"/>
        </c:manualLayout>
      </c:layout>
      <c:lineChart>
        <c:grouping val="standard"/>
        <c:varyColors val="0"/>
        <c:ser>
          <c:idx val="0"/>
          <c:order val="0"/>
          <c:tx>
            <c:strRef>
              <c:f>'Ввод данных'!$A$113</c:f>
              <c:strCache>
                <c:ptCount val="1"/>
                <c:pt idx="0">
                  <c:v>Совокупный утвердженный бюджет*</c:v>
                </c:pt>
              </c:strCache>
            </c:strRef>
          </c:tx>
          <c:spPr>
            <a:ln w="28575" cap="rnd">
              <a:solidFill>
                <a:schemeClr val="accent1"/>
              </a:solidFill>
              <a:round/>
            </a:ln>
            <a:effectLst/>
          </c:spPr>
          <c:marker>
            <c:symbol val="none"/>
          </c:marker>
          <c:cat>
            <c:strRef>
              <c:f>'Ввод данных'!$B$109:$M$109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'Ввод данных'!$B$113:$M$113</c:f>
              <c:numCache>
                <c:formatCode>#,##0</c:formatCode>
                <c:ptCount val="12"/>
                <c:pt idx="0">
                  <c:v>68288.95</c:v>
                </c:pt>
                <c:pt idx="1">
                  <c:v>6287291.4238936165</c:v>
                </c:pt>
                <c:pt idx="2">
                  <c:v>7315696.3089702176</c:v>
                </c:pt>
                <c:pt idx="3">
                  <c:v>8802627.5289702173</c:v>
                </c:pt>
              </c:numCache>
            </c:numRef>
          </c:val>
          <c:smooth val="0"/>
          <c:extLst xmlns:c16r2="http://schemas.microsoft.com/office/drawing/2015/06/chart">
            <c:ext xmlns:c16="http://schemas.microsoft.com/office/drawing/2014/chart" uri="{C3380CC4-5D6E-409C-BE32-E72D297353CC}">
              <c16:uniqueId val="{00000000-1FDB-481B-AC85-C5C3ACCAC2F8}"/>
            </c:ext>
          </c:extLst>
        </c:ser>
        <c:ser>
          <c:idx val="1"/>
          <c:order val="1"/>
          <c:tx>
            <c:strRef>
              <c:f>'Ввод данных'!$A$114</c:f>
              <c:strCache>
                <c:ptCount val="1"/>
                <c:pt idx="0">
                  <c:v>Общий объем финансовых обязательств</c:v>
                </c:pt>
              </c:strCache>
            </c:strRef>
          </c:tx>
          <c:spPr>
            <a:ln w="28575" cap="rnd">
              <a:solidFill>
                <a:schemeClr val="accent2"/>
              </a:solidFill>
              <a:round/>
            </a:ln>
            <a:effectLst/>
          </c:spPr>
          <c:marker>
            <c:symbol val="none"/>
          </c:marker>
          <c:cat>
            <c:strRef>
              <c:f>'Ввод данных'!$B$109:$M$109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'Ввод данных'!$B$114:$M$114</c:f>
              <c:numCache>
                <c:formatCode>#,##0</c:formatCode>
                <c:ptCount val="12"/>
                <c:pt idx="0">
                  <c:v>3286506.8408695655</c:v>
                </c:pt>
                <c:pt idx="1">
                  <c:v>5577444.0008695647</c:v>
                </c:pt>
                <c:pt idx="2">
                  <c:v>378547.96</c:v>
                </c:pt>
                <c:pt idx="3">
                  <c:v>61875.05</c:v>
                </c:pt>
              </c:numCache>
            </c:numRef>
          </c:val>
          <c:smooth val="0"/>
          <c:extLst xmlns:c16r2="http://schemas.microsoft.com/office/drawing/2015/06/chart">
            <c:ext xmlns:c16="http://schemas.microsoft.com/office/drawing/2014/chart" uri="{C3380CC4-5D6E-409C-BE32-E72D297353CC}">
              <c16:uniqueId val="{00000001-1FDB-481B-AC85-C5C3ACCAC2F8}"/>
            </c:ext>
          </c:extLst>
        </c:ser>
        <c:ser>
          <c:idx val="2"/>
          <c:order val="2"/>
          <c:tx>
            <c:strRef>
              <c:f>'Ввод данных'!$A$115</c:f>
              <c:strCache>
                <c:ptCount val="1"/>
                <c:pt idx="0">
                  <c:v>Общий объем расходов</c:v>
                </c:pt>
              </c:strCache>
            </c:strRef>
          </c:tx>
          <c:spPr>
            <a:ln w="28575" cap="rnd">
              <a:solidFill>
                <a:schemeClr val="accent3"/>
              </a:solidFill>
              <a:round/>
            </a:ln>
            <a:effectLst/>
          </c:spPr>
          <c:marker>
            <c:symbol val="none"/>
          </c:marker>
          <c:cat>
            <c:strRef>
              <c:f>'Ввод данных'!$B$109:$M$109</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'Ввод данных'!$B$115:$M$115</c:f>
              <c:numCache>
                <c:formatCode>#,##0</c:formatCode>
                <c:ptCount val="12"/>
                <c:pt idx="0">
                  <c:v>68288.95</c:v>
                </c:pt>
                <c:pt idx="1">
                  <c:v>1791168.95</c:v>
                </c:pt>
                <c:pt idx="2">
                  <c:v>6628611.7073867591</c:v>
                </c:pt>
                <c:pt idx="3">
                  <c:v>7954155.337386759</c:v>
                </c:pt>
              </c:numCache>
            </c:numRef>
          </c:val>
          <c:smooth val="0"/>
          <c:extLst xmlns:c16r2="http://schemas.microsoft.com/office/drawing/2015/06/chart">
            <c:ext xmlns:c16="http://schemas.microsoft.com/office/drawing/2014/chart" uri="{C3380CC4-5D6E-409C-BE32-E72D297353CC}">
              <c16:uniqueId val="{00000002-1FDB-481B-AC85-C5C3ACCAC2F8}"/>
            </c:ext>
          </c:extLst>
        </c:ser>
        <c:dLbls>
          <c:showLegendKey val="0"/>
          <c:showVal val="0"/>
          <c:showCatName val="0"/>
          <c:showSerName val="0"/>
          <c:showPercent val="0"/>
          <c:showBubbleSize val="0"/>
        </c:dLbls>
        <c:smooth val="0"/>
        <c:axId val="735729696"/>
        <c:axId val="735728608"/>
      </c:lineChart>
      <c:catAx>
        <c:axId val="73572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5728608"/>
        <c:crosses val="autoZero"/>
        <c:auto val="1"/>
        <c:lblAlgn val="ctr"/>
        <c:lblOffset val="100"/>
        <c:tickLblSkip val="1"/>
        <c:tickMarkSkip val="1"/>
        <c:noMultiLvlLbl val="0"/>
      </c:catAx>
      <c:valAx>
        <c:axId val="7357286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57296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'[1]Ввод данных'!$A$89</c:f>
              <c:strCache>
                <c:ptCount val="1"/>
                <c:pt idx="0">
                  <c:v>Отдел управления проектом</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'[1]Ввод данных'!$B$89:$D$89</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274B-4005-864A-0DDDFC5C7C10}"/>
            </c:ext>
          </c:extLst>
        </c:ser>
        <c:ser>
          <c:idx val="2"/>
          <c:order val="1"/>
          <c:tx>
            <c:strRef>
              <c:f>'Ввод данных'!$A$90</c:f>
              <c:strCache>
                <c:ptCount val="1"/>
                <c:pt idx="0">
                  <c:v>ВИЧ/СПИД</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'Ввод данных'!$B$90:$D$90</c:f>
              <c:numCache>
                <c:formatCode>0</c:formatCode>
                <c:ptCount val="3"/>
                <c:pt idx="0">
                  <c:v>6</c:v>
                </c:pt>
                <c:pt idx="1">
                  <c:v>6</c:v>
                </c:pt>
                <c:pt idx="2">
                  <c:v>0</c:v>
                </c:pt>
              </c:numCache>
            </c:numRef>
          </c:val>
          <c:extLst xmlns:c16r2="http://schemas.microsoft.com/office/drawing/2015/06/chart">
            <c:ext xmlns:c16="http://schemas.microsoft.com/office/drawing/2014/chart" uri="{C3380CC4-5D6E-409C-BE32-E72D297353CC}">
              <c16:uniqueId val="{00000001-274B-4005-864A-0DDDFC5C7C10}"/>
            </c:ext>
          </c:extLst>
        </c:ser>
        <c:ser>
          <c:idx val="0"/>
          <c:order val="2"/>
          <c:tx>
            <c:strRef>
              <c:f>'Ввод данных'!$A$91</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val>
            <c:numRef>
              <c:f>'Ввод данных'!$B$91:$D$91</c:f>
              <c:numCache>
                <c:formatCode>General</c:formatCode>
                <c:ptCount val="3"/>
                <c:pt idx="0">
                  <c:v>4</c:v>
                </c:pt>
                <c:pt idx="1">
                  <c:v>4</c:v>
                </c:pt>
                <c:pt idx="2">
                  <c:v>0</c:v>
                </c:pt>
              </c:numCache>
            </c:numRef>
          </c:val>
          <c:extLst xmlns:c16r2="http://schemas.microsoft.com/office/drawing/2015/06/chart">
            <c:ext xmlns:c16="http://schemas.microsoft.com/office/drawing/2014/chart" uri="{C3380CC4-5D6E-409C-BE32-E72D297353CC}">
              <c16:uniqueId val="{00000002-274B-4005-864A-0DDDFC5C7C10}"/>
            </c:ext>
          </c:extLst>
        </c:ser>
        <c:dLbls>
          <c:showLegendKey val="0"/>
          <c:showVal val="1"/>
          <c:showCatName val="0"/>
          <c:showSerName val="0"/>
          <c:showPercent val="0"/>
          <c:showBubbleSize val="0"/>
        </c:dLbls>
        <c:gapWidth val="150"/>
        <c:overlap val="-25"/>
        <c:axId val="735731328"/>
        <c:axId val="735732416"/>
      </c:barChart>
      <c:catAx>
        <c:axId val="73573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5732416"/>
        <c:crosses val="autoZero"/>
        <c:auto val="1"/>
        <c:lblAlgn val="ctr"/>
        <c:lblOffset val="100"/>
        <c:noMultiLvlLbl val="0"/>
      </c:catAx>
      <c:valAx>
        <c:axId val="735732416"/>
        <c:scaling>
          <c:orientation val="minMax"/>
        </c:scaling>
        <c:delete val="1"/>
        <c:axPos val="l"/>
        <c:numFmt formatCode="General" sourceLinked="1"/>
        <c:majorTickMark val="none"/>
        <c:minorTickMark val="none"/>
        <c:tickLblPos val="nextTo"/>
        <c:crossAx val="7357313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'[1]Ввод данных'!$B$81:$B$84</c:f>
              <c:numCache>
                <c:formatCode>General</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0-9E67-4D7D-BE0E-C99C3E701244}"/>
            </c:ext>
          </c:extLst>
        </c:ser>
        <c:ser>
          <c:idx val="1"/>
          <c:order val="1"/>
          <c:tx>
            <c:strRef>
              <c:f>'Ввод данных'!$C$80</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данных'!$C$81:$C$84</c:f>
              <c:numCache>
                <c:formatCode>0</c:formatCode>
                <c:ptCount val="4"/>
                <c:pt idx="1">
                  <c:v>1</c:v>
                </c:pt>
                <c:pt idx="2">
                  <c:v>0</c:v>
                </c:pt>
                <c:pt idx="3">
                  <c:v>0</c:v>
                </c:pt>
              </c:numCache>
            </c:numRef>
          </c:val>
          <c:extLst xmlns:c16r2="http://schemas.microsoft.com/office/drawing/2015/06/chart">
            <c:ext xmlns:c16="http://schemas.microsoft.com/office/drawing/2014/chart" uri="{C3380CC4-5D6E-409C-BE32-E72D297353CC}">
              <c16:uniqueId val="{00000001-9E67-4D7D-BE0E-C99C3E701244}"/>
            </c:ext>
          </c:extLst>
        </c:ser>
        <c:ser>
          <c:idx val="2"/>
          <c:order val="2"/>
          <c:tx>
            <c:strRef>
              <c:f>'Ввод данных'!$D$80</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данных'!$D$81:$D$84</c:f>
              <c:numCache>
                <c:formatCode>0</c:formatCode>
                <c:ptCount val="4"/>
                <c:pt idx="1">
                  <c:v>0</c:v>
                </c:pt>
                <c:pt idx="2">
                  <c:v>0</c:v>
                </c:pt>
                <c:pt idx="3">
                  <c:v>0</c:v>
                </c:pt>
              </c:numCache>
            </c:numRef>
          </c:val>
          <c:extLst xmlns:c16r2="http://schemas.microsoft.com/office/drawing/2015/06/chart">
            <c:ext xmlns:c16="http://schemas.microsoft.com/office/drawing/2014/chart" uri="{C3380CC4-5D6E-409C-BE32-E72D297353CC}">
              <c16:uniqueId val="{00000002-9E67-4D7D-BE0E-C99C3E701244}"/>
            </c:ext>
          </c:extLst>
        </c:ser>
        <c:ser>
          <c:idx val="3"/>
          <c:order val="3"/>
          <c:tx>
            <c:strRef>
              <c:f>'[1]Ввод данных'!$E$80</c:f>
              <c:strCache>
                <c:ptCount val="1"/>
                <c:pt idx="0">
                  <c:v>Невыполненные и просроченные</c:v>
                </c:pt>
              </c:strCache>
            </c:strRef>
          </c:tx>
          <c:spPr>
            <a:solidFill>
              <a:schemeClr val="accent1">
                <a:lumMod val="60000"/>
              </a:schemeClr>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'[1]Ввод данных'!$E$81:$E$84</c:f>
              <c:numCache>
                <c:formatCode>General</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9E67-4D7D-BE0E-C99C3E701244}"/>
            </c:ext>
          </c:extLst>
        </c:ser>
        <c:dLbls>
          <c:showLegendKey val="0"/>
          <c:showVal val="0"/>
          <c:showCatName val="0"/>
          <c:showSerName val="0"/>
          <c:showPercent val="0"/>
          <c:showBubbleSize val="0"/>
        </c:dLbls>
        <c:gapWidth val="55"/>
        <c:overlap val="100"/>
        <c:axId val="735735136"/>
        <c:axId val="737521632"/>
      </c:barChart>
      <c:catAx>
        <c:axId val="735735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7521632"/>
        <c:crosses val="autoZero"/>
        <c:auto val="1"/>
        <c:lblAlgn val="ctr"/>
        <c:lblOffset val="100"/>
        <c:tickLblSkip val="1"/>
        <c:tickMarkSkip val="1"/>
        <c:noMultiLvlLbl val="0"/>
      </c:catAx>
      <c:valAx>
        <c:axId val="737521632"/>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735735136"/>
        <c:crosses val="autoZero"/>
        <c:crossBetween val="between"/>
      </c:valAx>
      <c:spPr>
        <a:noFill/>
        <a:ln>
          <a:noFill/>
        </a:ln>
        <a:effectLst/>
      </c:spPr>
    </c:plotArea>
    <c:legend>
      <c:legendPos val="r"/>
      <c:legendEntry>
        <c:idx val="0"/>
        <c:delete val="1"/>
      </c:legendEntry>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данных'!$B$95:$F$95</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данных'!$B$96:$F$96</c:f>
              <c:numCache>
                <c:formatCode>General</c:formatCode>
                <c:ptCount val="5"/>
                <c:pt idx="0">
                  <c:v>28</c:v>
                </c:pt>
                <c:pt idx="1">
                  <c:v>26</c:v>
                </c:pt>
                <c:pt idx="2">
                  <c:v>26</c:v>
                </c:pt>
                <c:pt idx="3">
                  <c:v>28</c:v>
                </c:pt>
                <c:pt idx="4">
                  <c:v>26</c:v>
                </c:pt>
              </c:numCache>
            </c:numRef>
          </c:val>
          <c:extLst xmlns:c16r2="http://schemas.microsoft.com/office/drawing/2015/06/chart">
            <c:ext xmlns:c16="http://schemas.microsoft.com/office/drawing/2014/chart" uri="{C3380CC4-5D6E-409C-BE32-E72D297353CC}">
              <c16:uniqueId val="{00000000-3C2F-4B91-B11C-0BA014ED291D}"/>
            </c:ext>
          </c:extLst>
        </c:ser>
        <c:ser>
          <c:idx val="1"/>
          <c:order val="1"/>
          <c:tx>
            <c:strRef>
              <c:f>'Ввод данных'!$A$91</c:f>
              <c:strCache>
                <c:ptCount val="1"/>
                <c:pt idx="0">
                  <c:v>ТБ</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данных'!$B$95:$F$95</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данных'!$B$97:$F$97</c:f>
              <c:numCache>
                <c:formatCode>General</c:formatCode>
                <c:ptCount val="5"/>
                <c:pt idx="0">
                  <c:v>10</c:v>
                </c:pt>
                <c:pt idx="1">
                  <c:v>10</c:v>
                </c:pt>
                <c:pt idx="2">
                  <c:v>10</c:v>
                </c:pt>
                <c:pt idx="3">
                  <c:v>10</c:v>
                </c:pt>
                <c:pt idx="4">
                  <c:v>10</c:v>
                </c:pt>
              </c:numCache>
            </c:numRef>
          </c:val>
          <c:extLst xmlns:c16r2="http://schemas.microsoft.com/office/drawing/2015/06/chart">
            <c:ext xmlns:c16="http://schemas.microsoft.com/office/drawing/2014/chart" uri="{C3380CC4-5D6E-409C-BE32-E72D297353CC}">
              <c16:uniqueId val="{00000001-3C2F-4B91-B11C-0BA014ED291D}"/>
            </c:ext>
          </c:extLst>
        </c:ser>
        <c:dLbls>
          <c:showLegendKey val="0"/>
          <c:showVal val="1"/>
          <c:showCatName val="0"/>
          <c:showSerName val="0"/>
          <c:showPercent val="0"/>
          <c:showBubbleSize val="0"/>
        </c:dLbls>
        <c:gapWidth val="150"/>
        <c:overlap val="-25"/>
        <c:axId val="737522176"/>
        <c:axId val="737522720"/>
      </c:barChart>
      <c:catAx>
        <c:axId val="737522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7522720"/>
        <c:crosses val="autoZero"/>
        <c:auto val="1"/>
        <c:lblAlgn val="ctr"/>
        <c:lblOffset val="100"/>
        <c:noMultiLvlLbl val="0"/>
      </c:catAx>
      <c:valAx>
        <c:axId val="737522720"/>
        <c:scaling>
          <c:orientation val="minMax"/>
        </c:scaling>
        <c:delete val="1"/>
        <c:axPos val="l"/>
        <c:numFmt formatCode="General" sourceLinked="1"/>
        <c:majorTickMark val="none"/>
        <c:minorTickMark val="none"/>
        <c:tickLblPos val="nextTo"/>
        <c:crossAx val="73752217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ЛУИН, охваченных программами по  профилактике ВИЧ</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данных'!$F$164</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данных'!$G$163:$J$163</c:f>
              <c:strCache>
                <c:ptCount val="4"/>
                <c:pt idx="0">
                  <c:v>P1</c:v>
                </c:pt>
                <c:pt idx="1">
                  <c:v>P2</c:v>
                </c:pt>
                <c:pt idx="2">
                  <c:v>P3</c:v>
                </c:pt>
                <c:pt idx="3">
                  <c:v>P4</c:v>
                </c:pt>
              </c:strCache>
            </c:strRef>
          </c:cat>
          <c:val>
            <c:numRef>
              <c:f>'Ввод данных'!$G$164:$J$164</c:f>
              <c:numCache>
                <c:formatCode>#,##0</c:formatCode>
                <c:ptCount val="4"/>
                <c:pt idx="0">
                  <c:v>13750</c:v>
                </c:pt>
                <c:pt idx="1">
                  <c:v>14375</c:v>
                </c:pt>
                <c:pt idx="2">
                  <c:v>15000</c:v>
                </c:pt>
                <c:pt idx="3">
                  <c:v>15625</c:v>
                </c:pt>
              </c:numCache>
            </c:numRef>
          </c:val>
          <c:extLst xmlns:c16r2="http://schemas.microsoft.com/office/drawing/2015/06/chart">
            <c:ext xmlns:c16="http://schemas.microsoft.com/office/drawing/2014/chart" uri="{C3380CC4-5D6E-409C-BE32-E72D297353CC}">
              <c16:uniqueId val="{00000000-F4FA-4784-8E5F-61D375F426FC}"/>
            </c:ext>
          </c:extLst>
        </c:ser>
        <c:ser>
          <c:idx val="1"/>
          <c:order val="1"/>
          <c:tx>
            <c:strRef>
              <c:f>'Ввод данных'!$F$165</c:f>
              <c:strCache>
                <c:ptCount val="1"/>
                <c:pt idx="0">
                  <c:v>Достигнуто на 101%</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данных'!$G$163:$J$163</c:f>
              <c:strCache>
                <c:ptCount val="4"/>
                <c:pt idx="0">
                  <c:v>P1</c:v>
                </c:pt>
                <c:pt idx="1">
                  <c:v>P2</c:v>
                </c:pt>
                <c:pt idx="2">
                  <c:v>P3</c:v>
                </c:pt>
                <c:pt idx="3">
                  <c:v>P4</c:v>
                </c:pt>
              </c:strCache>
            </c:strRef>
          </c:cat>
          <c:val>
            <c:numRef>
              <c:f>'Ввод данных'!$G$165:$J$165</c:f>
              <c:numCache>
                <c:formatCode>#,##0</c:formatCode>
                <c:ptCount val="4"/>
                <c:pt idx="0">
                  <c:v>14682</c:v>
                </c:pt>
                <c:pt idx="1">
                  <c:v>15859</c:v>
                </c:pt>
                <c:pt idx="2">
                  <c:v>16430</c:v>
                </c:pt>
                <c:pt idx="3">
                  <c:v>15828</c:v>
                </c:pt>
              </c:numCache>
            </c:numRef>
          </c:val>
          <c:extLst xmlns:c16r2="http://schemas.microsoft.com/office/drawing/2015/06/chart">
            <c:ext xmlns:c16="http://schemas.microsoft.com/office/drawing/2014/chart" uri="{C3380CC4-5D6E-409C-BE32-E72D297353CC}">
              <c16:uniqueId val="{00000001-F4FA-4784-8E5F-61D375F426FC}"/>
            </c:ext>
          </c:extLst>
        </c:ser>
        <c:dLbls>
          <c:showLegendKey val="0"/>
          <c:showVal val="1"/>
          <c:showCatName val="0"/>
          <c:showSerName val="0"/>
          <c:showPercent val="0"/>
          <c:showBubbleSize val="0"/>
        </c:dLbls>
        <c:gapWidth val="150"/>
        <c:overlap val="-25"/>
        <c:axId val="737525984"/>
        <c:axId val="737524352"/>
      </c:barChart>
      <c:catAx>
        <c:axId val="737525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737524352"/>
        <c:crosses val="autoZero"/>
        <c:auto val="1"/>
        <c:lblAlgn val="ctr"/>
        <c:lblOffset val="100"/>
        <c:noMultiLvlLbl val="0"/>
      </c:catAx>
      <c:valAx>
        <c:axId val="737524352"/>
        <c:scaling>
          <c:orientation val="minMax"/>
        </c:scaling>
        <c:delete val="1"/>
        <c:axPos val="l"/>
        <c:numFmt formatCode="#,##0" sourceLinked="1"/>
        <c:majorTickMark val="none"/>
        <c:minorTickMark val="none"/>
        <c:tickLblPos val="nextTo"/>
        <c:crossAx val="7375259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1052;&#1077;&#1085;&#1102;!A1"/><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9.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xdr:cNvPr>
        <xdr:cNvGrpSpPr>
          <a:grpSpLocks/>
        </xdr:cNvGrpSpPr>
      </xdr:nvGrpSpPr>
      <xdr:grpSpPr bwMode="auto">
        <a:xfrm>
          <a:off x="3260725" y="2398713"/>
          <a:ext cx="1285875" cy="409575"/>
          <a:chOff x="1200" y="1912"/>
          <a:chExt cx="3456" cy="774"/>
        </a:xfrm>
      </xdr:grpSpPr>
      <xdr:sp macro="" textlink="">
        <xdr:nvSpPr>
          <xdr:cNvPr id="393056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xdr:cNvGrpSpPr>
          <a:grpSpLocks/>
        </xdr:cNvGrpSpPr>
      </xdr:nvGrpSpPr>
      <xdr:grpSpPr bwMode="auto">
        <a:xfrm>
          <a:off x="3260725" y="3465513"/>
          <a:ext cx="1314450" cy="371475"/>
          <a:chOff x="1200" y="1912"/>
          <a:chExt cx="3456" cy="774"/>
        </a:xfrm>
      </xdr:grpSpPr>
      <xdr:sp macro="" textlink="">
        <xdr:nvSpPr>
          <xdr:cNvPr id="3930562"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xdr:cNvPr>
        <xdr:cNvGrpSpPr>
          <a:grpSpLocks/>
        </xdr:cNvGrpSpPr>
      </xdr:nvGrpSpPr>
      <xdr:grpSpPr bwMode="auto">
        <a:xfrm>
          <a:off x="3251200" y="2932113"/>
          <a:ext cx="1314450" cy="390525"/>
          <a:chOff x="1200" y="1912"/>
          <a:chExt cx="3456" cy="774"/>
        </a:xfrm>
      </xdr:grpSpPr>
      <xdr:sp macro="" textlink="">
        <xdr:nvSpPr>
          <xdr:cNvPr id="3930559"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xdr:cNvSpPr>
          <a:spLocks noChangeArrowheads="1"/>
        </xdr:cNvSpPr>
      </xdr:nvSpPr>
      <xdr:spPr bwMode="auto">
        <a:xfrm>
          <a:off x="2247900" y="1428750"/>
          <a:ext cx="3362325" cy="238125"/>
        </a:xfrm>
        <a:prstGeom prst="rect">
          <a:avLst/>
        </a:prstGeom>
        <a:noFill/>
        <a:ln>
          <a:noFill/>
        </a:ln>
        <a:extLst/>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xdr:cNvPr>
        <xdr:cNvGrpSpPr>
          <a:grpSpLocks/>
        </xdr:cNvGrpSpPr>
      </xdr:nvGrpSpPr>
      <xdr:grpSpPr bwMode="auto">
        <a:xfrm>
          <a:off x="5708650" y="2579688"/>
          <a:ext cx="1501775" cy="409575"/>
          <a:chOff x="599" y="262"/>
          <a:chExt cx="158" cy="43"/>
        </a:xfrm>
      </xdr:grpSpPr>
      <xdr:sp macro="" textlink="">
        <xdr:nvSpPr>
          <xdr:cNvPr id="3930555"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xdr:cNvGrpSpPr>
          <a:grpSpLocks/>
        </xdr:cNvGrpSpPr>
      </xdr:nvGrpSpPr>
      <xdr:grpSpPr bwMode="auto">
        <a:xfrm>
          <a:off x="327025" y="1903413"/>
          <a:ext cx="2143125" cy="2124075"/>
          <a:chOff x="32" y="188"/>
          <a:chExt cx="225" cy="225"/>
        </a:xfrm>
      </xdr:grpSpPr>
      <xdr:sp macro="" textlink="">
        <xdr:nvSpPr>
          <xdr:cNvPr id="3930553"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xdr:cNvGrpSpPr>
          <a:grpSpLocks/>
        </xdr:cNvGrpSpPr>
      </xdr:nvGrpSpPr>
      <xdr:grpSpPr bwMode="auto">
        <a:xfrm>
          <a:off x="5699125" y="3208338"/>
          <a:ext cx="1501775" cy="409575"/>
          <a:chOff x="578" y="328"/>
          <a:chExt cx="158" cy="43"/>
        </a:xfrm>
      </xdr:grpSpPr>
      <xdr:sp macro="" textlink="">
        <xdr:nvSpPr>
          <xdr:cNvPr id="3930549"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xdr:cNvGrpSpPr>
          <a:grpSpLocks/>
        </xdr:cNvGrpSpPr>
      </xdr:nvGrpSpPr>
      <xdr:grpSpPr bwMode="auto">
        <a:xfrm>
          <a:off x="593725" y="3475038"/>
          <a:ext cx="1504950" cy="342900"/>
          <a:chOff x="56" y="259"/>
          <a:chExt cx="158" cy="40"/>
        </a:xfrm>
      </xdr:grpSpPr>
      <xdr:sp macro="" textlink="">
        <xdr:nvSpPr>
          <xdr:cNvPr id="3930545"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xdr:cNvPr>
        <xdr:cNvGrpSpPr>
          <a:grpSpLocks/>
        </xdr:cNvGrpSpPr>
      </xdr:nvGrpSpPr>
      <xdr:grpSpPr bwMode="auto">
        <a:xfrm>
          <a:off x="593725" y="2417763"/>
          <a:ext cx="1504950" cy="371475"/>
          <a:chOff x="1343025" y="2428876"/>
          <a:chExt cx="3240982" cy="617274"/>
        </a:xfrm>
      </xdr:grpSpPr>
      <xdr:sp macro="" textlink="">
        <xdr:nvSpPr>
          <xdr:cNvPr id="3930541"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xdr:cNvPr>
        <xdr:cNvGrpSpPr>
          <a:grpSpLocks/>
        </xdr:cNvGrpSpPr>
      </xdr:nvGrpSpPr>
      <xdr:grpSpPr bwMode="auto">
        <a:xfrm>
          <a:off x="593725" y="2951163"/>
          <a:ext cx="1504950" cy="371475"/>
          <a:chOff x="1343025" y="2428876"/>
          <a:chExt cx="3240982" cy="617274"/>
        </a:xfrm>
      </xdr:grpSpPr>
      <xdr:sp macro="" textlink="">
        <xdr:nvSpPr>
          <xdr:cNvPr id="39305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55</xdr:row>
      <xdr:rowOff>144991</xdr:rowOff>
    </xdr:from>
    <xdr:to>
      <xdr:col>3</xdr:col>
      <xdr:colOff>885825</xdr:colOff>
      <xdr:row>55</xdr:row>
      <xdr:rowOff>144991</xdr:rowOff>
    </xdr:to>
    <xdr:cxnSp macro="">
      <xdr:nvCxnSpPr>
        <xdr:cNvPr id="7137" name="AutoShape 101"/>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55</xdr:row>
      <xdr:rowOff>10583</xdr:rowOff>
    </xdr:to>
    <xdr:cxnSp macro="">
      <xdr:nvCxnSpPr>
        <xdr:cNvPr id="7138" name="Straight Arrow Connector 9"/>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0</xdr:colOff>
      <xdr:row>23</xdr:row>
      <xdr:rowOff>0</xdr:rowOff>
    </xdr:from>
    <xdr:to>
      <xdr:col>6</xdr:col>
      <xdr:colOff>139211</xdr:colOff>
      <xdr:row>33</xdr:row>
      <xdr:rowOff>21981</xdr:rowOff>
    </xdr:to>
    <xdr:graphicFrame macro="">
      <xdr:nvGraphicFramePr>
        <xdr:cNvPr id="2854334"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xdr:cNvGrpSpPr>
          <a:grpSpLocks/>
        </xdr:cNvGrpSpPr>
      </xdr:nvGrpSpPr>
      <xdr:grpSpPr bwMode="auto">
        <a:xfrm>
          <a:off x="4776177" y="4362451"/>
          <a:ext cx="3408973" cy="162658"/>
          <a:chOff x="0" y="0"/>
          <a:chExt cx="37352" cy="2842"/>
        </a:xfrm>
      </xdr:grpSpPr>
      <xdr:sp macro="" textlink="">
        <xdr:nvSpPr>
          <xdr:cNvPr id="2854337" name="Rectangle 1"/>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18</xdr:row>
      <xdr:rowOff>1000125</xdr:rowOff>
    </xdr:from>
    <xdr:to>
      <xdr:col>12</xdr:col>
      <xdr:colOff>933450</xdr:colOff>
      <xdr:row>26</xdr:row>
      <xdr:rowOff>57151</xdr:rowOff>
    </xdr:to>
    <xdr:graphicFrame macro="">
      <xdr:nvGraphicFramePr>
        <xdr:cNvPr id="287084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9526</xdr:colOff>
      <xdr:row>29</xdr:row>
      <xdr:rowOff>9525</xdr:rowOff>
    </xdr:from>
    <xdr:to>
      <xdr:col>5</xdr:col>
      <xdr:colOff>1123951</xdr:colOff>
      <xdr:row>52</xdr:row>
      <xdr:rowOff>85725</xdr:rowOff>
    </xdr:to>
    <xdr:graphicFrame macro="">
      <xdr:nvGraphicFramePr>
        <xdr:cNvPr id="287084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3"/>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7</xdr:col>
      <xdr:colOff>247650</xdr:colOff>
      <xdr:row>8</xdr:row>
      <xdr:rowOff>9524</xdr:rowOff>
    </xdr:from>
    <xdr:to>
      <xdr:col>12</xdr:col>
      <xdr:colOff>933450</xdr:colOff>
      <xdr:row>16</xdr:row>
      <xdr:rowOff>476249</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219074</xdr:colOff>
      <xdr:row>8</xdr:row>
      <xdr:rowOff>0</xdr:rowOff>
    </xdr:from>
    <xdr:to>
      <xdr:col>5</xdr:col>
      <xdr:colOff>1123949</xdr:colOff>
      <xdr:row>16</xdr:row>
      <xdr:rowOff>504825</xdr:rowOff>
    </xdr:to>
    <xdr:graphicFrame macro="">
      <xdr:nvGraphicFramePr>
        <xdr:cNvPr id="1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19</xdr:row>
      <xdr:rowOff>0</xdr:rowOff>
    </xdr:from>
    <xdr:to>
      <xdr:col>5</xdr:col>
      <xdr:colOff>1123950</xdr:colOff>
      <xdr:row>26</xdr:row>
      <xdr:rowOff>76200</xdr:rowOff>
    </xdr:to>
    <xdr:graphicFrame macro="">
      <xdr:nvGraphicFramePr>
        <xdr:cNvPr id="1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212912</xdr:colOff>
      <xdr:row>9</xdr:row>
      <xdr:rowOff>0</xdr:rowOff>
    </xdr:from>
    <xdr:to>
      <xdr:col>4</xdr:col>
      <xdr:colOff>504265</xdr:colOff>
      <xdr:row>19</xdr:row>
      <xdr:rowOff>69971</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509869</xdr:colOff>
      <xdr:row>9</xdr:row>
      <xdr:rowOff>7325</xdr:rowOff>
    </xdr:from>
    <xdr:to>
      <xdr:col>11</xdr:col>
      <xdr:colOff>278869</xdr:colOff>
      <xdr:row>19</xdr:row>
      <xdr:rowOff>77296</xdr:rowOff>
    </xdr:to>
    <xdr:graphicFrame macro="">
      <xdr:nvGraphicFramePr>
        <xdr:cNvPr id="12" name="Диаграмма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284951</xdr:colOff>
      <xdr:row>9</xdr:row>
      <xdr:rowOff>11207</xdr:rowOff>
    </xdr:from>
    <xdr:to>
      <xdr:col>16</xdr:col>
      <xdr:colOff>1546412</xdr:colOff>
      <xdr:row>20</xdr:row>
      <xdr:rowOff>2737</xdr:rowOff>
    </xdr:to>
    <xdr:graphicFrame macro="">
      <xdr:nvGraphicFramePr>
        <xdr:cNvPr id="13" name="Диаграмма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22411</xdr:colOff>
      <xdr:row>42</xdr:row>
      <xdr:rowOff>11206</xdr:rowOff>
    </xdr:from>
    <xdr:to>
      <xdr:col>4</xdr:col>
      <xdr:colOff>504265</xdr:colOff>
      <xdr:row>52</xdr:row>
      <xdr:rowOff>67236</xdr:rowOff>
    </xdr:to>
    <xdr:graphicFrame macro="">
      <xdr:nvGraphicFramePr>
        <xdr:cNvPr id="14" name="Диаграмма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515471</xdr:colOff>
      <xdr:row>42</xdr:row>
      <xdr:rowOff>11206</xdr:rowOff>
    </xdr:from>
    <xdr:to>
      <xdr:col>11</xdr:col>
      <xdr:colOff>11207</xdr:colOff>
      <xdr:row>53</xdr:row>
      <xdr:rowOff>11207</xdr:rowOff>
    </xdr:to>
    <xdr:graphicFrame macro="">
      <xdr:nvGraphicFramePr>
        <xdr:cNvPr id="15" name="Диаграмма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8804</xdr:colOff>
      <xdr:row>42</xdr:row>
      <xdr:rowOff>12989</xdr:rowOff>
    </xdr:from>
    <xdr:to>
      <xdr:col>17</xdr:col>
      <xdr:colOff>0</xdr:colOff>
      <xdr:row>53</xdr:row>
      <xdr:rowOff>11206</xdr:rowOff>
    </xdr:to>
    <xdr:graphicFrame macro="">
      <xdr:nvGraphicFramePr>
        <xdr:cNvPr id="16" name="Диаграмма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xdr:cNvGrpSpPr>
          <a:grpSpLocks/>
        </xdr:cNvGrpSpPr>
      </xdr:nvGrpSpPr>
      <xdr:grpSpPr bwMode="auto">
        <a:xfrm>
          <a:off x="5556250" y="5577417"/>
          <a:ext cx="85725" cy="0"/>
          <a:chOff x="595" y="540"/>
          <a:chExt cx="9" cy="9"/>
        </a:xfrm>
      </xdr:grpSpPr>
      <xdr:sp macro="" textlink="">
        <xdr:nvSpPr>
          <xdr:cNvPr id="343514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xdr:cNvGrpSpPr>
          <a:grpSpLocks/>
        </xdr:cNvGrpSpPr>
      </xdr:nvGrpSpPr>
      <xdr:grpSpPr bwMode="auto">
        <a:xfrm>
          <a:off x="6537325" y="5577417"/>
          <a:ext cx="86783" cy="0"/>
          <a:chOff x="698" y="540"/>
          <a:chExt cx="9" cy="9"/>
        </a:xfrm>
      </xdr:grpSpPr>
      <xdr:sp macro="" textlink="">
        <xdr:nvSpPr>
          <xdr:cNvPr id="3435144"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xdr:cNvGrpSpPr>
          <a:grpSpLocks/>
        </xdr:cNvGrpSpPr>
      </xdr:nvGrpSpPr>
      <xdr:grpSpPr bwMode="auto">
        <a:xfrm>
          <a:off x="5183717" y="5577417"/>
          <a:ext cx="86783" cy="0"/>
          <a:chOff x="698" y="540"/>
          <a:chExt cx="9" cy="9"/>
        </a:xfrm>
      </xdr:grpSpPr>
      <xdr:sp macro="" textlink="">
        <xdr:nvSpPr>
          <xdr:cNvPr id="3435142"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xdr:cNvGrpSpPr>
          <a:grpSpLocks/>
        </xdr:cNvGrpSpPr>
      </xdr:nvGrpSpPr>
      <xdr:grpSpPr bwMode="auto">
        <a:xfrm>
          <a:off x="1439333" y="5577417"/>
          <a:ext cx="85725" cy="0"/>
          <a:chOff x="595" y="540"/>
          <a:chExt cx="9" cy="9"/>
        </a:xfrm>
      </xdr:grpSpPr>
      <xdr:sp macro="" textlink="">
        <xdr:nvSpPr>
          <xdr:cNvPr id="3435140"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shboard-P1-%20TB_HIV%20(3-4%20&#1082;&#1074;.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M/Dashboard/HIV/2017/CCM_Generic_Dashboard_ru_HIV_Jan_June_2017_draft%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
      <sheetName val="Показатели"/>
      <sheetName val="Ввод данных"/>
      <sheetName val="Сведения о гранте"/>
      <sheetName val="Финансирование"/>
      <sheetName val="Управление"/>
      <sheetName val="Программа"/>
      <sheetName val="Рекомендации"/>
      <sheetName val="Действия"/>
      <sheetName val="Установки"/>
      <sheetName val="Акронимы"/>
      <sheetName val="Лист1"/>
    </sheetNames>
    <sheetDataSet>
      <sheetData sheetId="0"/>
      <sheetData sheetId="1"/>
      <sheetData sheetId="2">
        <row r="80">
          <cell r="E80" t="str">
            <v>Невыполненные и просроченные</v>
          </cell>
        </row>
        <row r="81">
          <cell r="B81">
            <v>0</v>
          </cell>
          <cell r="E81">
            <v>0</v>
          </cell>
        </row>
        <row r="82">
          <cell r="B82">
            <v>0</v>
          </cell>
          <cell r="E82">
            <v>0</v>
          </cell>
        </row>
        <row r="83">
          <cell r="B83">
            <v>0</v>
          </cell>
          <cell r="E83">
            <v>0</v>
          </cell>
        </row>
        <row r="84">
          <cell r="B84">
            <v>0</v>
          </cell>
          <cell r="E84">
            <v>0</v>
          </cell>
        </row>
        <row r="89">
          <cell r="A89" t="str">
            <v>Отдел управления проектом</v>
          </cell>
          <cell r="B89" t="str">
            <v>Запланировано</v>
          </cell>
          <cell r="C89" t="str">
            <v>Заполнено</v>
          </cell>
          <cell r="D89" t="str">
            <v>Вакантно</v>
          </cell>
        </row>
      </sheetData>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
      <sheetName val="Показатели"/>
      <sheetName val="Ввод данных "/>
      <sheetName val="Сведения о гранте"/>
      <sheetName val="Финансирование"/>
      <sheetName val="Управление"/>
      <sheetName val="Программа"/>
      <sheetName val="Рекомендации"/>
      <sheetName val="Действия"/>
      <sheetName val="Установки"/>
      <sheetName val="Акроним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SingleCells1.xml><?xml version="1.0" encoding="utf-8"?>
<singleXmlCells xmlns="http://schemas.openxmlformats.org/spreadsheetml/2006/main">
  <singleXmlCell id="419" r="B4" connectionId="0">
    <xmlCellPr id="1" uniqueName="1">
      <xmlPr mapId="43" xpath="/ns1:Root/ns1:Country" xmlDataType="string"/>
    </xmlCellPr>
  </singleXmlCell>
  <singleXmlCell id="420" r="B6" connectionId="0">
    <xmlCellPr id="1" uniqueName="1">
      <xmlPr mapId="43" xpath="/ns1:Root/ns1:GrantNumber" xmlDataType="string"/>
    </xmlCellPr>
  </singleXmlCell>
  <singleXmlCell id="421" r="B8" connectionId="0">
    <xmlCellPr id="1" uniqueName="1">
      <xmlPr mapId="43" xpath="/ns1:Root/ns1:PR" xmlDataType="string"/>
    </xmlCellPr>
  </singleXmlCell>
  <singleXmlCell id="422" r="B10" connectionId="0">
    <xmlCellPr id="1" uniqueName="1">
      <xmlPr mapId="43" xpath="/ns1:Root/ns1:StartDate" xmlDataType="dateTime"/>
    </xmlCellPr>
  </singleXmlCell>
  <singleXmlCell id="423" r="B12" connectionId="0">
    <xmlCellPr id="1" uniqueName="1">
      <xmlPr mapId="43" xpath="/ns1:Root/ns1:LatestRating" xmlDataType="string"/>
    </xmlCellPr>
  </singleXmlCell>
  <singleXmlCell id="424" r="F4" connectionId="0">
    <xmlCellPr id="1" uniqueName="1">
      <xmlPr mapId="43" xpath="/ns1:Root/ns1:GranTitle" xmlDataType="string"/>
    </xmlCellPr>
  </singleXmlCell>
  <singleXmlCell id="425" r="F6" connectionId="0">
    <xmlCellPr id="1" uniqueName="1">
      <xmlPr mapId="43" xpath="/ns1:Root/ns1:Componenent" xmlDataType="string"/>
    </xmlCellPr>
  </singleXmlCell>
  <singleXmlCell id="426" r="H6" connectionId="0">
    <xmlCellPr id="1" uniqueName="1">
      <xmlPr mapId="43" xpath="/ns1:Root/ns1:TotalFunding" xmlDataType="double"/>
    </xmlCellPr>
  </singleXmlCell>
  <singleXmlCell id="427" r="F8" connectionId="0">
    <xmlCellPr id="1" uniqueName="1">
      <xmlPr mapId="43" xpath="/ns1:Root/ns1:Round" xmlDataType="string"/>
    </xmlCellPr>
  </singleXmlCell>
  <singleXmlCell id="428" r="H8" connectionId="0">
    <xmlCellPr id="1" uniqueName="1">
      <xmlPr mapId="43" xpath="/ns1:Root/ns1:Phase" xmlDataType="string"/>
    </xmlCellPr>
  </singleXmlCell>
  <singleXmlCell id="429" r="F10" connectionId="0">
    <xmlCellPr id="1" uniqueName="1">
      <xmlPr mapId="43" xpath="/ns1:Root/ns1:LFA" xmlDataType="string"/>
    </xmlCellPr>
  </singleXmlCell>
  <singleXmlCell id="430" r="F12" connectionId="0">
    <xmlCellPr id="1" uniqueName="1">
      <xmlPr mapId="43" xpath="/ns1:Root/ns1:FPM" xmlDataType="string"/>
    </xmlCellPr>
  </singleXmlCell>
  <singleXmlCell id="431" r="B16" connectionId="0">
    <xmlCellPr id="1" uniqueName="1">
      <xmlPr mapId="43" xpath="/ns1:Root/ns1:Period" xmlDataType="string"/>
    </xmlCellPr>
  </singleXmlCell>
  <singleXmlCell id="432" r="D16" connectionId="0">
    <xmlCellPr id="1" uniqueName="1">
      <xmlPr mapId="43" xpath="/ns1:Root/ns1:From" xmlDataType="dateTime"/>
    </xmlCellPr>
  </singleXmlCell>
  <singleXmlCell id="433" r="F16" connectionId="0">
    <xmlCellPr id="1" uniqueName="1">
      <xmlPr mapId="43" xpath="/ns1:Root/ns1:To" xmlDataType="dateTime"/>
    </xmlCellPr>
  </singleXmlCell>
  <singleXmlCell id="434" r="I16" connectionId="0">
    <xmlCellPr id="1" uniqueName="1">
      <xmlPr mapId="43" xpath="/ns1:Root/ns1:DataEntryDate" xmlDataType="dateTime"/>
    </xmlCellPr>
  </singleXmlCell>
  <singleXmlCell id="435" r="C18" connectionId="0">
    <xmlCellPr id="1" uniqueName="1">
      <xmlPr mapId="43" xpath="/ns1:Root/ns1:PreparedBy" xmlDataType="string"/>
    </xmlCellPr>
  </singleXmlCell>
  <singleXmlCell id="436" r="B31" connectionId="0">
    <xmlCellPr id="1" uniqueName="1">
      <xmlPr mapId="43" xpath="/ns1:Root/ns1:F1/ns1:Budget__in____P1" xmlDataType="double"/>
    </xmlCellPr>
  </singleXmlCell>
  <singleXmlCell id="437" r="C31" connectionId="0">
    <xmlCellPr id="1" uniqueName="1">
      <xmlPr mapId="43" xpath="/ns1:Root/ns1:F1/ns1:Budget__in____P2" xmlDataType="double"/>
    </xmlCellPr>
  </singleXmlCell>
  <singleXmlCell id="438" r="D31" connectionId="0">
    <xmlCellPr id="1" uniqueName="1">
      <xmlPr mapId="43" xpath="/ns1:Root/ns1:F1/ns1:Budget__in____P3" xmlDataType="string"/>
    </xmlCellPr>
  </singleXmlCell>
  <singleXmlCell id="439" r="E31" connectionId="0">
    <xmlCellPr id="1" uniqueName="1">
      <xmlPr mapId="43" xpath="/ns1:Root/ns1:F1/ns1:Budget__in____P4" xmlDataType="string"/>
    </xmlCellPr>
  </singleXmlCell>
  <singleXmlCell id="440" r="F31" connectionId="0">
    <xmlCellPr id="1" uniqueName="1">
      <xmlPr mapId="43" xpath="/ns1:Root/ns1:F1/ns1:Budget__in____P5" xmlDataType="string"/>
    </xmlCellPr>
  </singleXmlCell>
  <singleXmlCell id="441" r="G31" connectionId="0">
    <xmlCellPr id="1" uniqueName="1">
      <xmlPr mapId="43" xpath="/ns1:Root/ns1:F1/ns1:Budget__in____P6" xmlDataType="string"/>
    </xmlCellPr>
  </singleXmlCell>
  <singleXmlCell id="442" r="H31" connectionId="0">
    <xmlCellPr id="1" uniqueName="1">
      <xmlPr mapId="43" xpath="/ns1:Root/ns1:F1/ns1:Budget__in____P7" xmlDataType="string"/>
    </xmlCellPr>
  </singleXmlCell>
  <singleXmlCell id="443" r="I31" connectionId="0">
    <xmlCellPr id="1" uniqueName="1">
      <xmlPr mapId="43" xpath="/ns1:Root/ns1:F1/ns1:Budget__in____P8" xmlDataType="string"/>
    </xmlCellPr>
  </singleXmlCell>
  <singleXmlCell id="444" r="J31" connectionId="0">
    <xmlCellPr id="1" uniqueName="1">
      <xmlPr mapId="43" xpath="/ns1:Root/ns1:F1/ns1:Budget__in____P9" xmlDataType="string"/>
    </xmlCellPr>
  </singleXmlCell>
  <singleXmlCell id="445" r="K31" connectionId="0">
    <xmlCellPr id="1" uniqueName="1">
      <xmlPr mapId="43" xpath="/ns1:Root/ns1:F1/ns1:Budget__in____P10" xmlDataType="string"/>
    </xmlCellPr>
  </singleXmlCell>
  <singleXmlCell id="446" r="L31" connectionId="0">
    <xmlCellPr id="1" uniqueName="1">
      <xmlPr mapId="43" xpath="/ns1:Root/ns1:F1/ns1:Budget__in____P11" xmlDataType="string"/>
    </xmlCellPr>
  </singleXmlCell>
  <singleXmlCell id="447" r="M31" connectionId="0">
    <xmlCellPr id="1" uniqueName="1">
      <xmlPr mapId="43" xpath="/ns1:Root/ns1:F1/ns1:Budget__in____P12" xmlDataType="string"/>
    </xmlCellPr>
  </singleXmlCell>
  <singleXmlCell id="448" r="B32" connectionId="0">
    <xmlCellPr id="1" uniqueName="1">
      <xmlPr mapId="43" xpath="/ns1:Root/ns1:F1/ns1:Disbursements_by_GF__in____P1" xmlDataType="double"/>
    </xmlCellPr>
  </singleXmlCell>
  <singleXmlCell id="449" r="C32" connectionId="0">
    <xmlCellPr id="1" uniqueName="1">
      <xmlPr mapId="43" xpath="/ns1:Root/ns1:F1/ns1:Disbursements_by_GF__in____P2" xmlDataType="double"/>
    </xmlCellPr>
  </singleXmlCell>
  <singleXmlCell id="450" r="D32" connectionId="0">
    <xmlCellPr id="1" uniqueName="1">
      <xmlPr mapId="43" xpath="/ns1:Root/ns1:F1/ns1:Disbursements_by_GF__in____P3" xmlDataType="string"/>
    </xmlCellPr>
  </singleXmlCell>
  <singleXmlCell id="451" r="E32" connectionId="0">
    <xmlCellPr id="1" uniqueName="1">
      <xmlPr mapId="43" xpath="/ns1:Root/ns1:F1/ns1:Disbursements_by_GF__in____P4" xmlDataType="string"/>
    </xmlCellPr>
  </singleXmlCell>
  <singleXmlCell id="452" r="F32" connectionId="0">
    <xmlCellPr id="1" uniqueName="1">
      <xmlPr mapId="43" xpath="/ns1:Root/ns1:F1/ns1:Disbursements_by_GF__in____P5" xmlDataType="string"/>
    </xmlCellPr>
  </singleXmlCell>
  <singleXmlCell id="453" r="G32" connectionId="0">
    <xmlCellPr id="1" uniqueName="1">
      <xmlPr mapId="43" xpath="/ns1:Root/ns1:F1/ns1:Disbursements_by_GF__in____P6" xmlDataType="string"/>
    </xmlCellPr>
  </singleXmlCell>
  <singleXmlCell id="454" r="H32" connectionId="0">
    <xmlCellPr id="1" uniqueName="1">
      <xmlPr mapId="43" xpath="/ns1:Root/ns1:F1/ns1:Disbursements_by_GF__in____P7" xmlDataType="string"/>
    </xmlCellPr>
  </singleXmlCell>
  <singleXmlCell id="455" r="I32" connectionId="0">
    <xmlCellPr id="1" uniqueName="1">
      <xmlPr mapId="43" xpath="/ns1:Root/ns1:F1/ns1:Disbursements_by_GF__in____P8" xmlDataType="string"/>
    </xmlCellPr>
  </singleXmlCell>
  <singleXmlCell id="456" r="J32" connectionId="0">
    <xmlCellPr id="1" uniqueName="1">
      <xmlPr mapId="43" xpath="/ns1:Root/ns1:F1/ns1:Disbursements_by_GF__in____P9" xmlDataType="string"/>
    </xmlCellPr>
  </singleXmlCell>
  <singleXmlCell id="457" r="K32" connectionId="0">
    <xmlCellPr id="1" uniqueName="1">
      <xmlPr mapId="43" xpath="/ns1:Root/ns1:F1/ns1:Disbursements_by_GF__in____P10" xmlDataType="string"/>
    </xmlCellPr>
  </singleXmlCell>
  <singleXmlCell id="458" r="L32" connectionId="0">
    <xmlCellPr id="1" uniqueName="1">
      <xmlPr mapId="43" xpath="/ns1:Root/ns1:F1/ns1:Disbursements_by_GF__in____P11" xmlDataType="string"/>
    </xmlCellPr>
  </singleXmlCell>
  <singleXmlCell id="459" r="M32" connectionId="0">
    <xmlCellPr id="1" uniqueName="1">
      <xmlPr mapId="43" xpath="/ns1:Root/ns1:F1/ns1:Disbursements_by_GF__in____P12" xmlDataType="string"/>
    </xmlCellPr>
  </singleXmlCell>
  <singleXmlCell id="460" r="B39" connectionId="0">
    <xmlCellPr id="1" uniqueName="1">
      <xmlPr mapId="43" xpath="/ns1:Root/ns1:F2/ns1:TB__detect_and_treat_Cumulative_Budget__in___" xmlDataType="double"/>
    </xmlCellPr>
  </singleXmlCell>
  <singleXmlCell id="461" r="C39" connectionId="0">
    <xmlCellPr id="1" uniqueName="1">
      <xmlPr mapId="43" xpath="/ns1:Root/ns1:F2/ns1:TB__detect_and_treat_Cumulative_Expenditures__in___" xmlDataType="double"/>
    </xmlCellPr>
  </singleXmlCell>
  <singleXmlCell id="462" r="B54" connectionId="0">
    <xmlCellPr id="1" uniqueName="1">
      <xmlPr mapId="43" xpath="/ns1:Root/ns1:F2/ns1:TB__ID_cases_Cumulative_Budget__in___" xmlDataType="double"/>
    </xmlCellPr>
  </singleXmlCell>
  <singleXmlCell id="463" r="C54" connectionId="0">
    <xmlCellPr id="1" uniqueName="1">
      <xmlPr mapId="43" xpath="/ns1:Root/ns1:F2/ns1:TB__ID_cases_Cumulative_Expenditures__in___" xmlDataType="double"/>
    </xmlCellPr>
  </singleXmlCell>
  <singleXmlCell id="464" r="B55" connectionId="0">
    <xmlCellPr id="1" uniqueName="1">
      <xmlPr mapId="43" xpath="/ns1:Root/ns1:F2/ns1:TB_HIV__Cumulative_Budget__in___" xmlDataType="double"/>
    </xmlCellPr>
  </singleXmlCell>
  <singleXmlCell id="465" r="C55" connectionId="0">
    <xmlCellPr id="1" uniqueName="1">
      <xmlPr mapId="43" xpath="/ns1:Root/ns1:F2/ns1:TB_HIV__Cumulative_Expenditures__in___" xmlDataType="double"/>
    </xmlCellPr>
  </singleXmlCell>
  <singleXmlCell id="476" r="B61" connectionId="0">
    <xmlCellPr id="1" uniqueName="1">
      <xmlPr mapId="43" xpath="/ns1:Root/ns1:F3/ns1:Disbursed_by_Global_Fund_Prior_to_reporting_period__in___" xmlDataType="double"/>
    </xmlCellPr>
  </singleXmlCell>
  <singleXmlCell id="477" r="C61" connectionId="0">
    <xmlCellPr id="1" uniqueName="1">
      <xmlPr mapId="43" xpath="/ns1:Root/ns1:F3/ns1:Disbursed_by_Global_Fund_Reporting_period__in___" xmlDataType="double"/>
    </xmlCellPr>
  </singleXmlCell>
  <singleXmlCell id="478" r="B62" connectionId="0">
    <xmlCellPr id="1" uniqueName="1">
      <xmlPr mapId="43" xpath="/ns1:Root/ns1:F3/ns1:PR_expenditure_and_disbursement_Prior_to_reporting_period__in___" xmlDataType="double"/>
    </xmlCellPr>
  </singleXmlCell>
  <singleXmlCell id="479" r="C62" connectionId="0">
    <xmlCellPr id="1" uniqueName="1">
      <xmlPr mapId="43" xpath="/ns1:Root/ns1:F3/ns1:PR_expenditure_and_disbursement_Reporting_period__in___" xmlDataType="double"/>
    </xmlCellPr>
  </singleXmlCell>
  <singleXmlCell id="480" r="B63" connectionId="0">
    <xmlCellPr id="1" uniqueName="1">
      <xmlPr mapId="43" xpath="/ns1:Root/ns1:F3/ns1:Disbursed_to_SRs_Prior_to_reporting_period__in___" xmlDataType="double"/>
    </xmlCellPr>
  </singleXmlCell>
  <singleXmlCell id="481" r="C63" connectionId="0">
    <xmlCellPr id="1" uniqueName="1">
      <xmlPr mapId="43" xpath="/ns1:Root/ns1:F3/ns1:Disbursed_to_SRs_Reporting_period__in___" xmlDataType="double"/>
    </xmlCellPr>
  </singleXmlCell>
  <singleXmlCell id="482" r="B64" connectionId="0">
    <xmlCellPr id="1" uniqueName="1">
      <xmlPr mapId="43" xpath="/ns1:Root/ns1:F3/ns1:SR_expenditures_Prior_to_reporting_period__in___" xmlDataType="double"/>
    </xmlCellPr>
  </singleXmlCell>
  <singleXmlCell id="483" r="C64" connectionId="0">
    <xmlCellPr id="1" uniqueName="1">
      <xmlPr mapId="43" xpath="/ns1:Root/ns1:F3/ns1:SR_expenditures_Reporting_period__in___" xmlDataType="double"/>
    </xmlCellPr>
  </singleXmlCell>
  <singleXmlCell id="484" r="C71" connectionId="0">
    <xmlCellPr id="1" uniqueName="1">
      <xmlPr mapId="43" xpath="/ns1:Root/ns1:F4/ns1:Days_taken_to_submit_acceptable_PU_DR_to_LFA_Expected__days_" xmlDataType="double"/>
    </xmlCellPr>
  </singleXmlCell>
  <singleXmlCell id="485" r="D71" connectionId="0">
    <xmlCellPr id="1" uniqueName="1">
      <xmlPr mapId="43" xpath="/ns1:Root/ns1:F4/ns1:Days_taken_to_submit_acceptable_PU_DR_to_LFA_Actual__days_" xmlDataType="double"/>
    </xmlCellPr>
  </singleXmlCell>
  <singleXmlCell id="486" r="C72" connectionId="0">
    <xmlCellPr id="1" uniqueName="1">
      <xmlPr mapId="43" xpath="/ns1:Root/ns1:F4/ns1:Days_taken_for_disbursement_to_reach_PR_Expected__days_" xmlDataType="double"/>
    </xmlCellPr>
  </singleXmlCell>
  <singleXmlCell id="487" r="D72" connectionId="0">
    <xmlCellPr id="1" uniqueName="1">
      <xmlPr mapId="43" xpath="/ns1:Root/ns1:F4/ns1:Days_taken_for_disbursement_to_reach_PR_Actual__days_" xmlDataType="double"/>
    </xmlCellPr>
  </singleXmlCell>
  <singleXmlCell id="488" r="C73" connectionId="0">
    <xmlCellPr id="1" uniqueName="1">
      <xmlPr mapId="43" xpath="/ns1:Root/ns1:F4/ns1:Days_taken_for_disbursement_to_reach_SRs__Expected__days_" xmlDataType="double"/>
    </xmlCellPr>
  </singleXmlCell>
  <singleXmlCell id="489" r="D73" connectionId="0">
    <xmlCellPr id="1" uniqueName="1">
      <xmlPr mapId="43" xpath="/ns1:Root/ns1:F4/ns1:Days_taken_for_disbursement_to_reach_SRs__Actual__days_" xmlDataType="double"/>
    </xmlCellPr>
  </singleXmlCell>
  <singleXmlCell id="498" r="B91" connectionId="0">
    <xmlCellPr id="1" uniqueName="1">
      <xmlPr mapId="43" xpath="/ns1:Root/ns1:M2/ns1:PMU_Planned" xmlDataType="double"/>
    </xmlCellPr>
  </singleXmlCell>
  <singleXmlCell id="499" r="C91" connectionId="0">
    <xmlCellPr id="1" uniqueName="1">
      <xmlPr mapId="43" xpath="/ns1:Root/ns1:M2/ns1:PMU_Filled" xmlDataType="double"/>
    </xmlCellPr>
  </singleXmlCell>
  <singleXmlCell id="500" r="B97" connectionId="0">
    <xmlCellPr id="1" uniqueName="1">
      <xmlPr mapId="43" xpath="/ns1:Root/ns1:M3/ns1:SRs_Identified" xmlDataType="double"/>
    </xmlCellPr>
  </singleXmlCell>
  <singleXmlCell id="501" r="C97" connectionId="0">
    <xmlCellPr id="1" uniqueName="1">
      <xmlPr mapId="43" xpath="/ns1:Root/ns1:M3/ns1:SRs_Assessed" xmlDataType="double"/>
    </xmlCellPr>
  </singleXmlCell>
  <singleXmlCell id="502" r="D97" connectionId="0">
    <xmlCellPr id="1" uniqueName="1">
      <xmlPr mapId="43" xpath="/ns1:Root/ns1:M3/ns1:SRs_Approved" xmlDataType="double"/>
    </xmlCellPr>
  </singleXmlCell>
  <singleXmlCell id="503" r="E97" connectionId="0">
    <xmlCellPr id="1" uniqueName="1">
      <xmlPr mapId="43" xpath="/ns1:Root/ns1:M3/ns1:SRs_Signed" xmlDataType="double"/>
    </xmlCellPr>
  </singleXmlCell>
  <singleXmlCell id="504" r="F97" connectionId="0">
    <xmlCellPr id="1" uniqueName="1">
      <xmlPr mapId="43" xpath="/ns1:Root/ns1:M3/ns1:SRs_Receiving_Funding" xmlDataType="double"/>
    </xmlCellPr>
  </singleXmlCell>
  <singleXmlCell id="506" r="B104" connectionId="0">
    <xmlCellPr id="1" uniqueName="1">
      <xmlPr mapId="43" xpath="/ns1:Root/ns1:M4/ns1:SSR_to_SR__IR_____Expected" xmlDataType="string"/>
    </xmlCellPr>
  </singleXmlCell>
  <singleXmlCell id="507" r="C104" connectionId="0">
    <xmlCellPr id="1" uniqueName="1">
      <xmlPr mapId="43" xpath="/ns1:Root/ns1:M4/ns1:SSR_to_SR__IR____Received" xmlDataType="string"/>
    </xmlCellPr>
  </singleXmlCell>
  <singleXmlCell id="509" r="B105" connectionId="0">
    <xmlCellPr id="1" uniqueName="1">
      <xmlPr mapId="43" xpath="/ns1:Root/ns1:M4/ns1:SRs__IRs__to_PR____Expected" xmlDataType="double"/>
    </xmlCellPr>
  </singleXmlCell>
  <singleXmlCell id="510" r="C105" connectionId="0">
    <xmlCellPr id="1" uniqueName="1">
      <xmlPr mapId="43" xpath="/ns1:Root/ns1:M4/ns1:SRs__IRs__to_PR___Received" xmlDataType="double"/>
    </xmlCellPr>
  </singleXmlCell>
  <singleXmlCell id="511" r="B110" connectionId="0">
    <xmlCellPr id="1" uniqueName="1">
      <xmlPr mapId="43" xpath="/ns1:Root/ns1:M5/ns1:Budget_Approved__P1" xmlDataType="double"/>
    </xmlCellPr>
  </singleXmlCell>
  <singleXmlCell id="512" r="C110" connectionId="0">
    <xmlCellPr id="1" uniqueName="1">
      <xmlPr mapId="43" xpath="/ns1:Root/ns1:M5/ns1:Budget_Approved__P2" xmlDataType="double"/>
    </xmlCellPr>
  </singleXmlCell>
  <singleXmlCell id="513" r="D110" connectionId="0">
    <xmlCellPr id="1" uniqueName="1">
      <xmlPr mapId="43" xpath="/ns1:Root/ns1:M5/ns1:Budget_Approved__P3" xmlDataType="double"/>
    </xmlCellPr>
  </singleXmlCell>
  <singleXmlCell id="514" r="E110" connectionId="0">
    <xmlCellPr id="1" uniqueName="1">
      <xmlPr mapId="43" xpath="/ns1:Root/ns1:M5/ns1:Budget_Approved__P4" xmlDataType="double"/>
    </xmlCellPr>
  </singleXmlCell>
  <singleXmlCell id="515" r="F110" connectionId="0">
    <xmlCellPr id="1" uniqueName="1">
      <xmlPr mapId="43" xpath="/ns1:Root/ns1:M5/ns1:Budget_Approved__P5" xmlDataType="double"/>
    </xmlCellPr>
  </singleXmlCell>
  <singleXmlCell id="516" r="G110" connectionId="0">
    <xmlCellPr id="1" uniqueName="1">
      <xmlPr mapId="43" xpath="/ns1:Root/ns1:M5/ns1:Budget_Approved__P6" xmlDataType="double"/>
    </xmlCellPr>
  </singleXmlCell>
  <singleXmlCell id="517" r="H110" connectionId="0">
    <xmlCellPr id="1" uniqueName="1">
      <xmlPr mapId="43" xpath="/ns1:Root/ns1:M5/ns1:Budget_Approved__P7" xmlDataType="double"/>
    </xmlCellPr>
  </singleXmlCell>
  <singleXmlCell id="518" r="I110" connectionId="0">
    <xmlCellPr id="1" uniqueName="1">
      <xmlPr mapId="43" xpath="/ns1:Root/ns1:M5/ns1:Budget_Approved__P8" xmlDataType="double"/>
    </xmlCellPr>
  </singleXmlCell>
  <singleXmlCell id="519" r="J110" connectionId="0">
    <xmlCellPr id="1" uniqueName="1">
      <xmlPr mapId="43" xpath="/ns1:Root/ns1:M5/ns1:Budget_Approved__P9" xmlDataType="double"/>
    </xmlCellPr>
  </singleXmlCell>
  <singleXmlCell id="520" r="K110" connectionId="0">
    <xmlCellPr id="1" uniqueName="1">
      <xmlPr mapId="43" xpath="/ns1:Root/ns1:M5/ns1:Budget_Approved__P10" xmlDataType="double"/>
    </xmlCellPr>
  </singleXmlCell>
  <singleXmlCell id="521" r="L110" connectionId="0">
    <xmlCellPr id="1" uniqueName="1">
      <xmlPr mapId="43" xpath="/ns1:Root/ns1:M5/ns1:Budget_Approved__P11" xmlDataType="double"/>
    </xmlCellPr>
  </singleXmlCell>
  <singleXmlCell id="522" r="M110" connectionId="0">
    <xmlCellPr id="1" uniqueName="1">
      <xmlPr mapId="43" xpath="/ns1:Root/ns1:M5/ns1:Budget_Approved__P12" xmlDataType="double"/>
    </xmlCellPr>
  </singleXmlCell>
  <singleXmlCell id="523" r="B111" connectionId="0">
    <xmlCellPr id="1" uniqueName="1">
      <xmlPr mapId="43" xpath="/ns1:Root/ns1:M5/ns1:Obligations_P1" xmlDataType="double"/>
    </xmlCellPr>
  </singleXmlCell>
  <singleXmlCell id="524" r="C111" connectionId="0">
    <xmlCellPr id="1" uniqueName="1">
      <xmlPr mapId="43" xpath="/ns1:Root/ns1:M5/ns1:Obligations_P2" xmlDataType="double"/>
    </xmlCellPr>
  </singleXmlCell>
  <singleXmlCell id="525" r="D111" connectionId="0">
    <xmlCellPr id="1" uniqueName="1">
      <xmlPr mapId="43" xpath="/ns1:Root/ns1:M5/ns1:Obligations_P3" xmlDataType="double"/>
    </xmlCellPr>
  </singleXmlCell>
  <singleXmlCell id="526" r="E111" connectionId="0">
    <xmlCellPr id="1" uniqueName="1">
      <xmlPr mapId="43" xpath="/ns1:Root/ns1:M5/ns1:Obligations_P4" xmlDataType="double"/>
    </xmlCellPr>
  </singleXmlCell>
  <singleXmlCell id="527" r="F111" connectionId="0">
    <xmlCellPr id="1" uniqueName="1">
      <xmlPr mapId="43" xpath="/ns1:Root/ns1:M5/ns1:Obligations_P5" xmlDataType="double"/>
    </xmlCellPr>
  </singleXmlCell>
  <singleXmlCell id="528" r="G111" connectionId="0">
    <xmlCellPr id="1" uniqueName="1">
      <xmlPr mapId="43" xpath="/ns1:Root/ns1:M5/ns1:Obligations_P6" xmlDataType="double"/>
    </xmlCellPr>
  </singleXmlCell>
  <singleXmlCell id="529" r="H111" connectionId="0">
    <xmlCellPr id="1" uniqueName="1">
      <xmlPr mapId="43" xpath="/ns1:Root/ns1:M5/ns1:Obligations_P7" xmlDataType="double"/>
    </xmlCellPr>
  </singleXmlCell>
  <singleXmlCell id="530" r="I111" connectionId="0">
    <xmlCellPr id="1" uniqueName="1">
      <xmlPr mapId="43" xpath="/ns1:Root/ns1:M5/ns1:Obligations_P8" xmlDataType="double"/>
    </xmlCellPr>
  </singleXmlCell>
  <singleXmlCell id="531" r="J111" connectionId="0">
    <xmlCellPr id="1" uniqueName="1">
      <xmlPr mapId="43" xpath="/ns1:Root/ns1:M5/ns1:Obligations_P9" xmlDataType="double"/>
    </xmlCellPr>
  </singleXmlCell>
  <singleXmlCell id="532" r="K111" connectionId="0">
    <xmlCellPr id="1" uniqueName="1">
      <xmlPr mapId="43" xpath="/ns1:Root/ns1:M5/ns1:Obligations_P10" xmlDataType="double"/>
    </xmlCellPr>
  </singleXmlCell>
  <singleXmlCell id="533" r="L111" connectionId="0">
    <xmlCellPr id="1" uniqueName="1">
      <xmlPr mapId="43" xpath="/ns1:Root/ns1:M5/ns1:Obligations_P11" xmlDataType="double"/>
    </xmlCellPr>
  </singleXmlCell>
  <singleXmlCell id="534" r="M111" connectionId="0">
    <xmlCellPr id="1" uniqueName="1">
      <xmlPr mapId="43" xpath="/ns1:Root/ns1:M5/ns1:Obligations_P12" xmlDataType="double"/>
    </xmlCellPr>
  </singleXmlCell>
  <singleXmlCell id="535" r="B112" connectionId="0">
    <xmlCellPr id="1" uniqueName="1">
      <xmlPr mapId="43" xpath="/ns1:Root/ns1:M5/ns1:Expenditures_P1" xmlDataType="double"/>
    </xmlCellPr>
  </singleXmlCell>
  <singleXmlCell id="536" r="C112" connectionId="0">
    <xmlCellPr id="1" uniqueName="1">
      <xmlPr mapId="43" xpath="/ns1:Root/ns1:M5/ns1:Expenditures_P2" xmlDataType="double"/>
    </xmlCellPr>
  </singleXmlCell>
  <singleXmlCell id="537" r="D112" connectionId="0">
    <xmlCellPr id="1" uniqueName="1">
      <xmlPr mapId="43" xpath="/ns1:Root/ns1:M5/ns1:Expenditures_P3" xmlDataType="double"/>
    </xmlCellPr>
  </singleXmlCell>
  <singleXmlCell id="538" r="E112" connectionId="0">
    <xmlCellPr id="1" uniqueName="1">
      <xmlPr mapId="43" xpath="/ns1:Root/ns1:M5/ns1:Expenditures_P4" xmlDataType="double"/>
    </xmlCellPr>
  </singleXmlCell>
  <singleXmlCell id="539" r="F112" connectionId="0">
    <xmlCellPr id="1" uniqueName="1">
      <xmlPr mapId="43" xpath="/ns1:Root/ns1:M5/ns1:Expenditures_P5" xmlDataType="double"/>
    </xmlCellPr>
  </singleXmlCell>
  <singleXmlCell id="540" r="G112" connectionId="0">
    <xmlCellPr id="1" uniqueName="1">
      <xmlPr mapId="43" xpath="/ns1:Root/ns1:M5/ns1:Expenditures_P6" xmlDataType="double"/>
    </xmlCellPr>
  </singleXmlCell>
  <singleXmlCell id="541" r="H112" connectionId="0">
    <xmlCellPr id="1" uniqueName="1">
      <xmlPr mapId="43" xpath="/ns1:Root/ns1:M5/ns1:Expenditures_P7" xmlDataType="double"/>
    </xmlCellPr>
  </singleXmlCell>
  <singleXmlCell id="542" r="I112" connectionId="0">
    <xmlCellPr id="1" uniqueName="1">
      <xmlPr mapId="43" xpath="/ns1:Root/ns1:M5/ns1:Expenditures_P8" xmlDataType="double"/>
    </xmlCellPr>
  </singleXmlCell>
  <singleXmlCell id="543" r="J112" connectionId="0">
    <xmlCellPr id="1" uniqueName="1">
      <xmlPr mapId="43" xpath="/ns1:Root/ns1:M5/ns1:Expenditures_P9" xmlDataType="double"/>
    </xmlCellPr>
  </singleXmlCell>
  <singleXmlCell id="544" r="K112" connectionId="0">
    <xmlCellPr id="1" uniqueName="1">
      <xmlPr mapId="43" xpath="/ns1:Root/ns1:M5/ns1:Expenditures_P10" xmlDataType="double"/>
    </xmlCellPr>
  </singleXmlCell>
  <singleXmlCell id="545" r="L112" connectionId="0">
    <xmlCellPr id="1" uniqueName="1">
      <xmlPr mapId="43" xpath="/ns1:Root/ns1:M5/ns1:Expenditures_P11" xmlDataType="double"/>
    </xmlCellPr>
  </singleXmlCell>
  <singleXmlCell id="546" r="M112" connectionId="0">
    <xmlCellPr id="1" uniqueName="1">
      <xmlPr mapId="43" xpath="/ns1:Root/ns1:M5/ns1:Expenditures_P12" xmlDataType="double"/>
    </xmlCellPr>
  </singleXmlCell>
  <singleXmlCell id="567" r="G218" connectionId="0">
    <xmlCellPr id="1" uniqueName="1">
      <xmlPr mapId="43" xpath="/ns1:Root/ns1:Prog/ns1:Target_P1_1" xmlDataType="double"/>
    </xmlCellPr>
  </singleXmlCell>
  <singleXmlCell id="568" r="H218" connectionId="0">
    <xmlCellPr id="1" uniqueName="1">
      <xmlPr mapId="43" xpath="/ns1:Root/ns1:Prog/ns1:Target_P2_1" xmlDataType="double"/>
    </xmlCellPr>
  </singleXmlCell>
  <singleXmlCell id="569" r="I218" connectionId="0">
    <xmlCellPr id="1" uniqueName="1">
      <xmlPr mapId="43" xpath="/ns1:Root/ns1:Prog/ns1:Target_P3_1" xmlDataType="double"/>
    </xmlCellPr>
  </singleXmlCell>
  <singleXmlCell id="570" r="J218" connectionId="0">
    <xmlCellPr id="1" uniqueName="1">
      <xmlPr mapId="43" xpath="/ns1:Root/ns1:Prog/ns1:Target_P4_1" xmlDataType="double"/>
    </xmlCellPr>
  </singleXmlCell>
  <singleXmlCell id="571" r="K218" connectionId="0">
    <xmlCellPr id="1" uniqueName="1">
      <xmlPr mapId="43" xpath="/ns1:Root/ns1:Prog/ns1:Target_P5_1" xmlDataType="double"/>
    </xmlCellPr>
  </singleXmlCell>
  <singleXmlCell id="572" r="L218" connectionId="0">
    <xmlCellPr id="1" uniqueName="1">
      <xmlPr mapId="43" xpath="/ns1:Root/ns1:Prog/ns1:Target_P6_1" xmlDataType="double"/>
    </xmlCellPr>
  </singleXmlCell>
  <singleXmlCell id="573" r="M218" connectionId="0">
    <xmlCellPr id="1" uniqueName="1">
      <xmlPr mapId="43" xpath="/ns1:Root/ns1:Prog/ns1:Target_P7_1" xmlDataType="double"/>
    </xmlCellPr>
  </singleXmlCell>
  <singleXmlCell id="574" r="N218" connectionId="0">
    <xmlCellPr id="1" uniqueName="1">
      <xmlPr mapId="43" xpath="/ns1:Root/ns1:Prog/ns1:Target_P8_1" xmlDataType="double"/>
    </xmlCellPr>
  </singleXmlCell>
  <singleXmlCell id="575" r="O218" connectionId="0">
    <xmlCellPr id="1" uniqueName="1">
      <xmlPr mapId="43" xpath="/ns1:Root/ns1:Prog/ns1:Target_P9_1" xmlDataType="double"/>
    </xmlCellPr>
  </singleXmlCell>
  <singleXmlCell id="576" r="P218" connectionId="0">
    <xmlCellPr id="1" uniqueName="1">
      <xmlPr mapId="43" xpath="/ns1:Root/ns1:Prog/ns1:Target_P10_1" xmlDataType="double"/>
    </xmlCellPr>
  </singleXmlCell>
  <singleXmlCell id="577" r="Q218" connectionId="0">
    <xmlCellPr id="1" uniqueName="1">
      <xmlPr mapId="43" xpath="/ns1:Root/ns1:Prog/ns1:Target_P11_1" xmlDataType="double"/>
    </xmlCellPr>
  </singleXmlCell>
  <singleXmlCell id="579" r="G219" connectionId="0">
    <xmlCellPr id="1" uniqueName="1">
      <xmlPr mapId="43" xpath="/ns1:Root/ns1:Prog/ns1:Achieved__P1_1" xmlDataType="double"/>
    </xmlCellPr>
  </singleXmlCell>
  <singleXmlCell id="580" r="H219" connectionId="0">
    <xmlCellPr id="1" uniqueName="1">
      <xmlPr mapId="43" xpath="/ns1:Root/ns1:Prog/ns1:Achieved__P2_1" xmlDataType="double"/>
    </xmlCellPr>
  </singleXmlCell>
  <singleXmlCell id="581" r="I219" connectionId="0">
    <xmlCellPr id="1" uniqueName="1">
      <xmlPr mapId="43" xpath="/ns1:Root/ns1:Prog/ns1:Achieved__P3_1" xmlDataType="double"/>
    </xmlCellPr>
  </singleXmlCell>
  <singleXmlCell id="582" r="J219" connectionId="0">
    <xmlCellPr id="1" uniqueName="1">
      <xmlPr mapId="43" xpath="/ns1:Root/ns1:Prog/ns1:Achieved__P4_1" xmlDataType="double"/>
    </xmlCellPr>
  </singleXmlCell>
  <singleXmlCell id="583" r="K219" connectionId="0">
    <xmlCellPr id="1" uniqueName="1">
      <xmlPr mapId="43" xpath="/ns1:Root/ns1:Prog/ns1:Achieved__P5_1" xmlDataType="string"/>
    </xmlCellPr>
  </singleXmlCell>
  <singleXmlCell id="584" r="L219" connectionId="0">
    <xmlCellPr id="1" uniqueName="1">
      <xmlPr mapId="43" xpath="/ns1:Root/ns1:Prog/ns1:Achieved__P6_1" xmlDataType="string"/>
    </xmlCellPr>
  </singleXmlCell>
  <singleXmlCell id="585" r="M219" connectionId="0">
    <xmlCellPr id="1" uniqueName="1">
      <xmlPr mapId="43" xpath="/ns1:Root/ns1:Prog/ns1:Achieved__P7_1" xmlDataType="string"/>
    </xmlCellPr>
  </singleXmlCell>
  <singleXmlCell id="586" r="N219" connectionId="0">
    <xmlCellPr id="1" uniqueName="1">
      <xmlPr mapId="43" xpath="/ns1:Root/ns1:Prog/ns1:Achieved__P8_1" xmlDataType="string"/>
    </xmlCellPr>
  </singleXmlCell>
  <singleXmlCell id="587" r="O219" connectionId="0">
    <xmlCellPr id="1" uniqueName="1">
      <xmlPr mapId="43" xpath="/ns1:Root/ns1:Prog/ns1:Achieved__P9_1" xmlDataType="string"/>
    </xmlCellPr>
  </singleXmlCell>
  <singleXmlCell id="588" r="P219" connectionId="0">
    <xmlCellPr id="1" uniqueName="1">
      <xmlPr mapId="43" xpath="/ns1:Root/ns1:Prog/ns1:Achieved__P10_1" xmlDataType="string"/>
    </xmlCellPr>
  </singleXmlCell>
  <singleXmlCell id="589" r="Q219" connectionId="0">
    <xmlCellPr id="1" uniqueName="1">
      <xmlPr mapId="43" xpath="/ns1:Root/ns1:Prog/ns1:Achieved__P11_1" xmlDataType="string"/>
    </xmlCellPr>
  </singleXmlCell>
  <singleXmlCell id="591" r="G220" connectionId="0">
    <xmlCellPr id="1" uniqueName="1">
      <xmlPr mapId="43" xpath="/ns1:Root/ns1:Prog/ns1:Target_P1_2" xmlDataType="double"/>
    </xmlCellPr>
  </singleXmlCell>
  <singleXmlCell id="592" r="H220" connectionId="0">
    <xmlCellPr id="1" uniqueName="1">
      <xmlPr mapId="43" xpath="/ns1:Root/ns1:Prog/ns1:Target_P2_2" xmlDataType="double"/>
    </xmlCellPr>
  </singleXmlCell>
  <singleXmlCell id="593" r="I220" connectionId="0">
    <xmlCellPr id="1" uniqueName="1">
      <xmlPr mapId="43" xpath="/ns1:Root/ns1:Prog/ns1:Target_P3_2" xmlDataType="double"/>
    </xmlCellPr>
  </singleXmlCell>
  <singleXmlCell id="594" r="K220" connectionId="0">
    <xmlCellPr id="1" uniqueName="1">
      <xmlPr mapId="43" xpath="/ns1:Root/ns1:Prog/ns1:Target_P5_2" xmlDataType="double"/>
    </xmlCellPr>
  </singleXmlCell>
  <singleXmlCell id="595" r="L220" connectionId="0">
    <xmlCellPr id="1" uniqueName="1">
      <xmlPr mapId="43" xpath="/ns1:Root/ns1:Prog/ns1:Target_P6_2" xmlDataType="double"/>
    </xmlCellPr>
  </singleXmlCell>
  <singleXmlCell id="596" r="M220" connectionId="0">
    <xmlCellPr id="1" uniqueName="1">
      <xmlPr mapId="43" xpath="/ns1:Root/ns1:Prog/ns1:Target_P7_2" xmlDataType="double"/>
    </xmlCellPr>
  </singleXmlCell>
  <singleXmlCell id="597" r="N220" connectionId="0">
    <xmlCellPr id="1" uniqueName="1">
      <xmlPr mapId="43" xpath="/ns1:Root/ns1:Prog/ns1:Target_P8_2" xmlDataType="double"/>
    </xmlCellPr>
  </singleXmlCell>
  <singleXmlCell id="598" r="O220" connectionId="0">
    <xmlCellPr id="1" uniqueName="1">
      <xmlPr mapId="43" xpath="/ns1:Root/ns1:Prog/ns1:Target_P9_2" xmlDataType="double"/>
    </xmlCellPr>
  </singleXmlCell>
  <singleXmlCell id="599" r="P220" connectionId="0">
    <xmlCellPr id="1" uniqueName="1">
      <xmlPr mapId="43" xpath="/ns1:Root/ns1:Prog/ns1:Target_P10_2" xmlDataType="double"/>
    </xmlCellPr>
  </singleXmlCell>
  <singleXmlCell id="600" r="Q220" connectionId="0">
    <xmlCellPr id="1" uniqueName="1">
      <xmlPr mapId="43" xpath="/ns1:Root/ns1:Prog/ns1:Target_P11_2" xmlDataType="double"/>
    </xmlCellPr>
  </singleXmlCell>
  <singleXmlCell id="602" r="G221" connectionId="0">
    <xmlCellPr id="1" uniqueName="1">
      <xmlPr mapId="43" xpath="/ns1:Root/ns1:Prog/ns1:Achieved__P1_2" xmlDataType="double"/>
    </xmlCellPr>
  </singleXmlCell>
  <singleXmlCell id="603" r="H221" connectionId="0">
    <xmlCellPr id="1" uniqueName="1">
      <xmlPr mapId="43" xpath="/ns1:Root/ns1:Prog/ns1:Achieved__P2_2" xmlDataType="double"/>
    </xmlCellPr>
  </singleXmlCell>
  <singleXmlCell id="604" r="I221" connectionId="0">
    <xmlCellPr id="1" uniqueName="1">
      <xmlPr mapId="43" xpath="/ns1:Root/ns1:Prog/ns1:Achieved__P3_2" xmlDataType="double"/>
    </xmlCellPr>
  </singleXmlCell>
  <singleXmlCell id="605" r="J221" connectionId="0">
    <xmlCellPr id="1" uniqueName="1">
      <xmlPr mapId="43" xpath="/ns1:Root/ns1:Prog/ns1:Achieved__P4_2" xmlDataType="double"/>
    </xmlCellPr>
  </singleXmlCell>
  <singleXmlCell id="606" r="K221" connectionId="0">
    <xmlCellPr id="1" uniqueName="1">
      <xmlPr mapId="43" xpath="/ns1:Root/ns1:Prog/ns1:Achieved__P5_2" xmlDataType="string"/>
    </xmlCellPr>
  </singleXmlCell>
  <singleXmlCell id="607" r="L221" connectionId="0">
    <xmlCellPr id="1" uniqueName="1">
      <xmlPr mapId="43" xpath="/ns1:Root/ns1:Prog/ns1:Achieved__P6_2" xmlDataType="string"/>
    </xmlCellPr>
  </singleXmlCell>
  <singleXmlCell id="608" r="M221" connectionId="0">
    <xmlCellPr id="1" uniqueName="1">
      <xmlPr mapId="43" xpath="/ns1:Root/ns1:Prog/ns1:Achieved__P7_2" xmlDataType="string"/>
    </xmlCellPr>
  </singleXmlCell>
  <singleXmlCell id="609" r="N221" connectionId="0">
    <xmlCellPr id="1" uniqueName="1">
      <xmlPr mapId="43" xpath="/ns1:Root/ns1:Prog/ns1:Achieved__P8_2" xmlDataType="string"/>
    </xmlCellPr>
  </singleXmlCell>
  <singleXmlCell id="610" r="O221" connectionId="0">
    <xmlCellPr id="1" uniqueName="1">
      <xmlPr mapId="43" xpath="/ns1:Root/ns1:Prog/ns1:Achieved__P9_2" xmlDataType="string"/>
    </xmlCellPr>
  </singleXmlCell>
  <singleXmlCell id="611" r="P221" connectionId="0">
    <xmlCellPr id="1" uniqueName="1">
      <xmlPr mapId="43" xpath="/ns1:Root/ns1:Prog/ns1:Achieved__P10_2" xmlDataType="string"/>
    </xmlCellPr>
  </singleXmlCell>
  <singleXmlCell id="612" r="Q221" connectionId="0">
    <xmlCellPr id="1" uniqueName="1">
      <xmlPr mapId="43" xpath="/ns1:Root/ns1:Prog/ns1:Achieved__P11_2" xmlDataType="string"/>
    </xmlCellPr>
  </singleXmlCell>
  <singleXmlCell id="614" r="G222" connectionId="0">
    <xmlCellPr id="1" uniqueName="1">
      <xmlPr mapId="43" xpath="/ns1:Root/ns1:Prog/ns1:Target_P1_3" xmlDataType="double"/>
    </xmlCellPr>
  </singleXmlCell>
  <singleXmlCell id="615" r="H222" connectionId="0">
    <xmlCellPr id="1" uniqueName="1">
      <xmlPr mapId="43" xpath="/ns1:Root/ns1:Prog/ns1:Target_P2_3" xmlDataType="double"/>
    </xmlCellPr>
  </singleXmlCell>
  <singleXmlCell id="616" r="I222" connectionId="0">
    <xmlCellPr id="1" uniqueName="1">
      <xmlPr mapId="43" xpath="/ns1:Root/ns1:Prog/ns1:Target_P3_3" xmlDataType="double"/>
    </xmlCellPr>
  </singleXmlCell>
  <singleXmlCell id="617" r="J222" connectionId="0">
    <xmlCellPr id="1" uniqueName="1">
      <xmlPr mapId="43" xpath="/ns1:Root/ns1:Prog/ns1:Target_P4_3" xmlDataType="double"/>
    </xmlCellPr>
  </singleXmlCell>
  <singleXmlCell id="618" r="K222" connectionId="0">
    <xmlCellPr id="1" uniqueName="1">
      <xmlPr mapId="43" xpath="/ns1:Root/ns1:Prog/ns1:Target_P5_3" xmlDataType="double"/>
    </xmlCellPr>
  </singleXmlCell>
  <singleXmlCell id="619" r="L222" connectionId="0">
    <xmlCellPr id="1" uniqueName="1">
      <xmlPr mapId="43" xpath="/ns1:Root/ns1:Prog/ns1:Target_P6_3" xmlDataType="double"/>
    </xmlCellPr>
  </singleXmlCell>
  <singleXmlCell id="620" r="M222" connectionId="0">
    <xmlCellPr id="1" uniqueName="1">
      <xmlPr mapId="43" xpath="/ns1:Root/ns1:Prog/ns1:Target_P7_3" xmlDataType="double"/>
    </xmlCellPr>
  </singleXmlCell>
  <singleXmlCell id="621" r="N222" connectionId="0">
    <xmlCellPr id="1" uniqueName="1">
      <xmlPr mapId="43" xpath="/ns1:Root/ns1:Prog/ns1:Target_P8_3" xmlDataType="double"/>
    </xmlCellPr>
  </singleXmlCell>
  <singleXmlCell id="622" r="O222" connectionId="0">
    <xmlCellPr id="1" uniqueName="1">
      <xmlPr mapId="43" xpath="/ns1:Root/ns1:Prog/ns1:Target_P9_3" xmlDataType="double"/>
    </xmlCellPr>
  </singleXmlCell>
  <singleXmlCell id="623" r="P222" connectionId="0">
    <xmlCellPr id="1" uniqueName="1">
      <xmlPr mapId="43" xpath="/ns1:Root/ns1:Prog/ns1:Target_P10_3" xmlDataType="string"/>
    </xmlCellPr>
  </singleXmlCell>
  <singleXmlCell id="624" r="Q222" connectionId="0">
    <xmlCellPr id="1" uniqueName="1">
      <xmlPr mapId="43" xpath="/ns1:Root/ns1:Prog/ns1:Target_P11_3" xmlDataType="string"/>
    </xmlCellPr>
  </singleXmlCell>
  <singleXmlCell id="626" r="G223" connectionId="0">
    <xmlCellPr id="1" uniqueName="1">
      <xmlPr mapId="43" xpath="/ns1:Root/ns1:Prog/ns1:Achieved__P1_3" xmlDataType="string"/>
    </xmlCellPr>
  </singleXmlCell>
  <singleXmlCell id="627" r="H223" connectionId="0">
    <xmlCellPr id="1" uniqueName="1">
      <xmlPr mapId="43" xpath="/ns1:Root/ns1:Prog/ns1:Achieved__P2_3" xmlDataType="double"/>
    </xmlCellPr>
  </singleXmlCell>
  <singleXmlCell id="628" r="I223" connectionId="0">
    <xmlCellPr id="1" uniqueName="1">
      <xmlPr mapId="43" xpath="/ns1:Root/ns1:Prog/ns1:Achieved__P3_3" xmlDataType="string"/>
    </xmlCellPr>
  </singleXmlCell>
  <singleXmlCell id="629" r="J223" connectionId="0">
    <xmlCellPr id="1" uniqueName="1">
      <xmlPr mapId="43" xpath="/ns1:Root/ns1:Prog/ns1:Achieved__P4_3" xmlDataType="double"/>
    </xmlCellPr>
  </singleXmlCell>
  <singleXmlCell id="630" r="K223" connectionId="0">
    <xmlCellPr id="1" uniqueName="1">
      <xmlPr mapId="43" xpath="/ns1:Root/ns1:Prog/ns1:Achieved__P5_3" xmlDataType="string"/>
    </xmlCellPr>
  </singleXmlCell>
  <singleXmlCell id="631" r="L223" connectionId="0">
    <xmlCellPr id="1" uniqueName="1">
      <xmlPr mapId="43" xpath="/ns1:Root/ns1:Prog/ns1:Achieved__P6_3" xmlDataType="string"/>
    </xmlCellPr>
  </singleXmlCell>
  <singleXmlCell id="632" r="M223" connectionId="0">
    <xmlCellPr id="1" uniqueName="1">
      <xmlPr mapId="43" xpath="/ns1:Root/ns1:Prog/ns1:Achieved__P7_3" xmlDataType="string"/>
    </xmlCellPr>
  </singleXmlCell>
  <singleXmlCell id="633" r="N223" connectionId="0">
    <xmlCellPr id="1" uniqueName="1">
      <xmlPr mapId="43" xpath="/ns1:Root/ns1:Prog/ns1:Achieved__P8_3" xmlDataType="string"/>
    </xmlCellPr>
  </singleXmlCell>
  <singleXmlCell id="634" r="O223" connectionId="0">
    <xmlCellPr id="1" uniqueName="1">
      <xmlPr mapId="43" xpath="/ns1:Root/ns1:Prog/ns1:Achieved__P9_3" xmlDataType="string"/>
    </xmlCellPr>
  </singleXmlCell>
  <singleXmlCell id="635" r="P223" connectionId="0">
    <xmlCellPr id="1" uniqueName="1">
      <xmlPr mapId="43" xpath="/ns1:Root/ns1:Prog/ns1:Achieved__P10_3" xmlDataType="string"/>
    </xmlCellPr>
  </singleXmlCell>
  <singleXmlCell id="636" r="Q223" connectionId="0">
    <xmlCellPr id="1" uniqueName="1">
      <xmlPr mapId="43" xpath="/ns1:Root/ns1:Prog/ns1:Achieved__P11_3" xmlDataType="string"/>
    </xmlCellPr>
  </singleXmlCell>
  <singleXmlCell id="638" r="G224" connectionId="0">
    <xmlCellPr id="1" uniqueName="1">
      <xmlPr mapId="43" xpath="/ns1:Root/ns1:Prog/ns1:Target_P1_4" xmlDataType="string"/>
    </xmlCellPr>
  </singleXmlCell>
  <singleXmlCell id="639" r="H224" connectionId="0">
    <xmlCellPr id="1" uniqueName="1">
      <xmlPr mapId="43" xpath="/ns1:Root/ns1:Prog/ns1:Target_P2_4" xmlDataType="string"/>
    </xmlCellPr>
  </singleXmlCell>
  <singleXmlCell id="640" r="I224" connectionId="0">
    <xmlCellPr id="1" uniqueName="1">
      <xmlPr mapId="43" xpath="/ns1:Root/ns1:Prog/ns1:Target_P3_4" xmlDataType="string"/>
    </xmlCellPr>
  </singleXmlCell>
  <singleXmlCell id="641" r="J224" connectionId="0">
    <xmlCellPr id="1" uniqueName="1">
      <xmlPr mapId="43" xpath="/ns1:Root/ns1:Prog/ns1:Target_P4_4" xmlDataType="double"/>
    </xmlCellPr>
  </singleXmlCell>
  <singleXmlCell id="642" r="K224" connectionId="0">
    <xmlCellPr id="1" uniqueName="1">
      <xmlPr mapId="43" xpath="/ns1:Root/ns1:Prog/ns1:Target_P5_4" xmlDataType="string"/>
    </xmlCellPr>
  </singleXmlCell>
  <singleXmlCell id="643" r="L224" connectionId="0">
    <xmlCellPr id="1" uniqueName="1">
      <xmlPr mapId="43" xpath="/ns1:Root/ns1:Prog/ns1:Target_P6_4" xmlDataType="string"/>
    </xmlCellPr>
  </singleXmlCell>
  <singleXmlCell id="644" r="M224" connectionId="0">
    <xmlCellPr id="1" uniqueName="1">
      <xmlPr mapId="43" xpath="/ns1:Root/ns1:Prog/ns1:Target_P7_4" xmlDataType="string"/>
    </xmlCellPr>
  </singleXmlCell>
  <singleXmlCell id="645" r="N224" connectionId="0">
    <xmlCellPr id="1" uniqueName="1">
      <xmlPr mapId="43" xpath="/ns1:Root/ns1:Prog/ns1:Target_P8_4" xmlDataType="double"/>
    </xmlCellPr>
  </singleXmlCell>
  <singleXmlCell id="646" r="O224" connectionId="0">
    <xmlCellPr id="1" uniqueName="1">
      <xmlPr mapId="43" xpath="/ns1:Root/ns1:Prog/ns1:Target_P9_4" xmlDataType="string"/>
    </xmlCellPr>
  </singleXmlCell>
  <singleXmlCell id="647" r="P224" connectionId="0">
    <xmlCellPr id="1" uniqueName="1">
      <xmlPr mapId="43" xpath="/ns1:Root/ns1:Prog/ns1:Target_P10_4" xmlDataType="string"/>
    </xmlCellPr>
  </singleXmlCell>
  <singleXmlCell id="648" r="Q224" connectionId="0">
    <xmlCellPr id="1" uniqueName="1">
      <xmlPr mapId="43" xpath="/ns1:Root/ns1:Prog/ns1:Target_P11_4" xmlDataType="string"/>
    </xmlCellPr>
  </singleXmlCell>
  <singleXmlCell id="650" r="G225" connectionId="0">
    <xmlCellPr id="1" uniqueName="1">
      <xmlPr mapId="43" xpath="/ns1:Root/ns1:Prog/ns1:Achieved__P1_4" xmlDataType="string"/>
    </xmlCellPr>
  </singleXmlCell>
  <singleXmlCell id="651" r="H225" connectionId="0">
    <xmlCellPr id="1" uniqueName="1">
      <xmlPr mapId="43" xpath="/ns1:Root/ns1:Prog/ns1:Achieved__P2_4" xmlDataType="string"/>
    </xmlCellPr>
  </singleXmlCell>
  <singleXmlCell id="652" r="I225" connectionId="0">
    <xmlCellPr id="1" uniqueName="1">
      <xmlPr mapId="43" xpath="/ns1:Root/ns1:Prog/ns1:Achieved__P3_4" xmlDataType="string"/>
    </xmlCellPr>
  </singleXmlCell>
  <singleXmlCell id="653" r="J225" connectionId="0">
    <xmlCellPr id="1" uniqueName="1">
      <xmlPr mapId="43" xpath="/ns1:Root/ns1:Prog/ns1:Achieved__P4_4" xmlDataType="double"/>
    </xmlCellPr>
  </singleXmlCell>
  <singleXmlCell id="654" r="K225" connectionId="0">
    <xmlCellPr id="1" uniqueName="1">
      <xmlPr mapId="43" xpath="/ns1:Root/ns1:Prog/ns1:Achieved__P5_4" xmlDataType="string"/>
    </xmlCellPr>
  </singleXmlCell>
  <singleXmlCell id="655" r="L225" connectionId="0">
    <xmlCellPr id="1" uniqueName="1">
      <xmlPr mapId="43" xpath="/ns1:Root/ns1:Prog/ns1:Achieved__P6_4" xmlDataType="string"/>
    </xmlCellPr>
  </singleXmlCell>
  <singleXmlCell id="656" r="M225" connectionId="0">
    <xmlCellPr id="1" uniqueName="1">
      <xmlPr mapId="43" xpath="/ns1:Root/ns1:Prog/ns1:Achieved__P7_4" xmlDataType="string"/>
    </xmlCellPr>
  </singleXmlCell>
  <singleXmlCell id="657" r="N225" connectionId="0">
    <xmlCellPr id="1" uniqueName="1">
      <xmlPr mapId="43" xpath="/ns1:Root/ns1:Prog/ns1:Achieved__P8_4" xmlDataType="string"/>
    </xmlCellPr>
  </singleXmlCell>
  <singleXmlCell id="658" r="O225" connectionId="0">
    <xmlCellPr id="1" uniqueName="1">
      <xmlPr mapId="43" xpath="/ns1:Root/ns1:Prog/ns1:Achieved__P9_4" xmlDataType="string"/>
    </xmlCellPr>
  </singleXmlCell>
  <singleXmlCell id="659" r="P225" connectionId="0">
    <xmlCellPr id="1" uniqueName="1">
      <xmlPr mapId="43" xpath="/ns1:Root/ns1:Prog/ns1:Achieved__P10_4" xmlDataType="string"/>
    </xmlCellPr>
  </singleXmlCell>
  <singleXmlCell id="660" r="Q225" connectionId="0">
    <xmlCellPr id="1" uniqueName="1">
      <xmlPr mapId="43" xpath="/ns1:Root/ns1:Prog/ns1:Achieved__P11_4" xmlDataType="string"/>
    </xmlCellPr>
  </singleXmlCell>
  <singleXmlCell id="662" r="G226" connectionId="0">
    <xmlCellPr id="1" uniqueName="1">
      <xmlPr mapId="43" xpath="/ns1:Root/ns1:Prog/ns1:Target_P1_5" xmlDataType="double"/>
    </xmlCellPr>
  </singleXmlCell>
  <singleXmlCell id="663" r="H226" connectionId="0">
    <xmlCellPr id="1" uniqueName="1">
      <xmlPr mapId="43" xpath="/ns1:Root/ns1:Prog/ns1:Target_P2_5" xmlDataType="double"/>
    </xmlCellPr>
  </singleXmlCell>
  <singleXmlCell id="664" r="I226" connectionId="0">
    <xmlCellPr id="1" uniqueName="1">
      <xmlPr mapId="43" xpath="/ns1:Root/ns1:Prog/ns1:Target_P3_5" xmlDataType="double"/>
    </xmlCellPr>
  </singleXmlCell>
  <singleXmlCell id="665" r="J226" connectionId="0">
    <xmlCellPr id="1" uniqueName="1">
      <xmlPr mapId="43" xpath="/ns1:Root/ns1:Prog/ns1:Target_P4_5" xmlDataType="double"/>
    </xmlCellPr>
  </singleXmlCell>
  <singleXmlCell id="666" r="K226" connectionId="0">
    <xmlCellPr id="1" uniqueName="1">
      <xmlPr mapId="43" xpath="/ns1:Root/ns1:Prog/ns1:Target_P5_5" xmlDataType="double"/>
    </xmlCellPr>
  </singleXmlCell>
  <singleXmlCell id="667" r="L226" connectionId="0">
    <xmlCellPr id="1" uniqueName="1">
      <xmlPr mapId="43" xpath="/ns1:Root/ns1:Prog/ns1:Target_P6_5" xmlDataType="double"/>
    </xmlCellPr>
  </singleXmlCell>
  <singleXmlCell id="668" r="M226" connectionId="0">
    <xmlCellPr id="1" uniqueName="1">
      <xmlPr mapId="43" xpath="/ns1:Root/ns1:Prog/ns1:Target_P7_5" xmlDataType="double"/>
    </xmlCellPr>
  </singleXmlCell>
  <singleXmlCell id="669" r="N226" connectionId="0">
    <xmlCellPr id="1" uniqueName="1">
      <xmlPr mapId="43" xpath="/ns1:Root/ns1:Prog/ns1:Target_P8_5" xmlDataType="double"/>
    </xmlCellPr>
  </singleXmlCell>
  <singleXmlCell id="670" r="O226" connectionId="0">
    <xmlCellPr id="1" uniqueName="1">
      <xmlPr mapId="43" xpath="/ns1:Root/ns1:Prog/ns1:Target_P9_5" xmlDataType="double"/>
    </xmlCellPr>
  </singleXmlCell>
  <singleXmlCell id="671" r="P226" connectionId="0">
    <xmlCellPr id="1" uniqueName="1">
      <xmlPr mapId="43" xpath="/ns1:Root/ns1:Prog/ns1:Target_P10_5" xmlDataType="double"/>
    </xmlCellPr>
  </singleXmlCell>
  <singleXmlCell id="672" r="Q226" connectionId="0">
    <xmlCellPr id="1" uniqueName="1">
      <xmlPr mapId="43" xpath="/ns1:Root/ns1:Prog/ns1:Target_P11_5" xmlDataType="double"/>
    </xmlCellPr>
  </singleXmlCell>
  <singleXmlCell id="674" r="G227" connectionId="0">
    <xmlCellPr id="1" uniqueName="1">
      <xmlPr mapId="43" xpath="/ns1:Root/ns1:Prog/ns1:Achieved__P1_5" xmlDataType="double"/>
    </xmlCellPr>
  </singleXmlCell>
  <singleXmlCell id="675" r="H227" connectionId="0">
    <xmlCellPr id="1" uniqueName="1">
      <xmlPr mapId="43" xpath="/ns1:Root/ns1:Prog/ns1:Achieved__P2_5" xmlDataType="double"/>
    </xmlCellPr>
  </singleXmlCell>
  <singleXmlCell id="676" r="I227" connectionId="0">
    <xmlCellPr id="1" uniqueName="1">
      <xmlPr mapId="43" xpath="/ns1:Root/ns1:Prog/ns1:Achieved__P3_5" xmlDataType="double"/>
    </xmlCellPr>
  </singleXmlCell>
  <singleXmlCell id="677" r="J227" connectionId="0">
    <xmlCellPr id="1" uniqueName="1">
      <xmlPr mapId="43" xpath="/ns1:Root/ns1:Prog/ns1:Achieved__P4_5" xmlDataType="double"/>
    </xmlCellPr>
  </singleXmlCell>
  <singleXmlCell id="678" r="K227" connectionId="0">
    <xmlCellPr id="1" uniqueName="1">
      <xmlPr mapId="43" xpath="/ns1:Root/ns1:Prog/ns1:Achieved__P5_5" xmlDataType="string"/>
    </xmlCellPr>
  </singleXmlCell>
  <singleXmlCell id="679" r="L227" connectionId="0">
    <xmlCellPr id="1" uniqueName="1">
      <xmlPr mapId="43" xpath="/ns1:Root/ns1:Prog/ns1:Achieved__P6_5" xmlDataType="string"/>
    </xmlCellPr>
  </singleXmlCell>
  <singleXmlCell id="680" r="M227" connectionId="0">
    <xmlCellPr id="1" uniqueName="1">
      <xmlPr mapId="43" xpath="/ns1:Root/ns1:Prog/ns1:Achieved__P7_5" xmlDataType="string"/>
    </xmlCellPr>
  </singleXmlCell>
  <singleXmlCell id="681" r="N227" connectionId="0">
    <xmlCellPr id="1" uniqueName="1">
      <xmlPr mapId="43" xpath="/ns1:Root/ns1:Prog/ns1:Achieved__P8_5" xmlDataType="string"/>
    </xmlCellPr>
  </singleXmlCell>
  <singleXmlCell id="682" r="O227" connectionId="0">
    <xmlCellPr id="1" uniqueName="1">
      <xmlPr mapId="43" xpath="/ns1:Root/ns1:Prog/ns1:Achieved__P9_5" xmlDataType="string"/>
    </xmlCellPr>
  </singleXmlCell>
  <singleXmlCell id="683" r="P227" connectionId="0">
    <xmlCellPr id="1" uniqueName="1">
      <xmlPr mapId="43" xpath="/ns1:Root/ns1:Prog/ns1:Achieved__P10_5" xmlDataType="string"/>
    </xmlCellPr>
  </singleXmlCell>
  <singleXmlCell id="684" r="Q227" connectionId="0">
    <xmlCellPr id="1" uniqueName="1">
      <xmlPr mapId="43" xpath="/ns1:Root/ns1:Prog/ns1:Achieved__P11_5" xmlDataType="string"/>
    </xmlCellPr>
  </singleXmlCell>
  <singleXmlCell id="686" r="G228" connectionId="0">
    <xmlCellPr id="1" uniqueName="1">
      <xmlPr mapId="43" xpath="/ns1:Root/ns1:Prog/ns1:Target_P1_6" xmlDataType="double"/>
    </xmlCellPr>
  </singleXmlCell>
  <singleXmlCell id="687" r="H228" connectionId="0">
    <xmlCellPr id="1" uniqueName="1">
      <xmlPr mapId="43" xpath="/ns1:Root/ns1:Prog/ns1:Target_P2_6" xmlDataType="double"/>
    </xmlCellPr>
  </singleXmlCell>
  <singleXmlCell id="688" r="I228" connectionId="0">
    <xmlCellPr id="1" uniqueName="1">
      <xmlPr mapId="43" xpath="/ns1:Root/ns1:Prog/ns1:Target_P3_6" xmlDataType="double"/>
    </xmlCellPr>
  </singleXmlCell>
  <singleXmlCell id="689" r="J228" connectionId="0">
    <xmlCellPr id="1" uniqueName="1">
      <xmlPr mapId="43" xpath="/ns1:Root/ns1:Prog/ns1:Target_P4_6" xmlDataType="double"/>
    </xmlCellPr>
  </singleXmlCell>
  <singleXmlCell id="690" r="K228" connectionId="0">
    <xmlCellPr id="1" uniqueName="1">
      <xmlPr mapId="43" xpath="/ns1:Root/ns1:Prog/ns1:Target_P5_6" xmlDataType="double"/>
    </xmlCellPr>
  </singleXmlCell>
  <singleXmlCell id="691" r="L228" connectionId="0">
    <xmlCellPr id="1" uniqueName="1">
      <xmlPr mapId="43" xpath="/ns1:Root/ns1:Prog/ns1:Target_P6_6" xmlDataType="double"/>
    </xmlCellPr>
  </singleXmlCell>
  <singleXmlCell id="692" r="M228" connectionId="0">
    <xmlCellPr id="1" uniqueName="1">
      <xmlPr mapId="43" xpath="/ns1:Root/ns1:Prog/ns1:Target_P7_6" xmlDataType="double"/>
    </xmlCellPr>
  </singleXmlCell>
  <singleXmlCell id="693" r="N228" connectionId="0">
    <xmlCellPr id="1" uniqueName="1">
      <xmlPr mapId="43" xpath="/ns1:Root/ns1:Prog/ns1:Target_P8_6" xmlDataType="double"/>
    </xmlCellPr>
  </singleXmlCell>
  <singleXmlCell id="694" r="O228" connectionId="0">
    <xmlCellPr id="1" uniqueName="1">
      <xmlPr mapId="43" xpath="/ns1:Root/ns1:Prog/ns1:Target_P9_6" xmlDataType="double"/>
    </xmlCellPr>
  </singleXmlCell>
  <singleXmlCell id="695" r="P228" connectionId="0">
    <xmlCellPr id="1" uniqueName="1">
      <xmlPr mapId="43" xpath="/ns1:Root/ns1:Prog/ns1:Target_P10_6" xmlDataType="double"/>
    </xmlCellPr>
  </singleXmlCell>
  <singleXmlCell id="696" r="Q228" connectionId="0">
    <xmlCellPr id="1" uniqueName="1">
      <xmlPr mapId="43" xpath="/ns1:Root/ns1:Prog/ns1:Target_P11_6" xmlDataType="double"/>
    </xmlCellPr>
  </singleXmlCell>
  <singleXmlCell id="698" r="G229" connectionId="0">
    <xmlCellPr id="1" uniqueName="1">
      <xmlPr mapId="43" xpath="/ns1:Root/ns1:Prog/ns1:Achieved__P1_6" xmlDataType="double"/>
    </xmlCellPr>
  </singleXmlCell>
  <singleXmlCell id="699" r="H229" connectionId="0">
    <xmlCellPr id="1" uniqueName="1">
      <xmlPr mapId="43" xpath="/ns1:Root/ns1:Prog/ns1:Achieved__P2_6" xmlDataType="double"/>
    </xmlCellPr>
  </singleXmlCell>
  <singleXmlCell id="700" r="I229" connectionId="0">
    <xmlCellPr id="1" uniqueName="1">
      <xmlPr mapId="43" xpath="/ns1:Root/ns1:Prog/ns1:Achieved__P3_6" xmlDataType="double"/>
    </xmlCellPr>
  </singleXmlCell>
  <singleXmlCell id="701" r="J229" connectionId="0">
    <xmlCellPr id="1" uniqueName="1">
      <xmlPr mapId="43" xpath="/ns1:Root/ns1:Prog/ns1:Achieved__P4_6" xmlDataType="double"/>
    </xmlCellPr>
  </singleXmlCell>
  <singleXmlCell id="702" r="K229" connectionId="0">
    <xmlCellPr id="1" uniqueName="1">
      <xmlPr mapId="43" xpath="/ns1:Root/ns1:Prog/ns1:Achieved__P5_6" xmlDataType="string"/>
    </xmlCellPr>
  </singleXmlCell>
  <singleXmlCell id="703" r="L229" connectionId="0">
    <xmlCellPr id="1" uniqueName="1">
      <xmlPr mapId="43" xpath="/ns1:Root/ns1:Prog/ns1:Achieved__P6_6" xmlDataType="string"/>
    </xmlCellPr>
  </singleXmlCell>
  <singleXmlCell id="704" r="M229" connectionId="0">
    <xmlCellPr id="1" uniqueName="1">
      <xmlPr mapId="43" xpath="/ns1:Root/ns1:Prog/ns1:Achieved__P7_6" xmlDataType="string"/>
    </xmlCellPr>
  </singleXmlCell>
  <singleXmlCell id="705" r="N229" connectionId="0">
    <xmlCellPr id="1" uniqueName="1">
      <xmlPr mapId="43" xpath="/ns1:Root/ns1:Prog/ns1:Achieved__P8_6" xmlDataType="string"/>
    </xmlCellPr>
  </singleXmlCell>
  <singleXmlCell id="706" r="O229" connectionId="0">
    <xmlCellPr id="1" uniqueName="1">
      <xmlPr mapId="43" xpath="/ns1:Root/ns1:Prog/ns1:Achieved__P9_6" xmlDataType="string"/>
    </xmlCellPr>
  </singleXmlCell>
  <singleXmlCell id="707" r="P229" connectionId="0">
    <xmlCellPr id="1" uniqueName="1">
      <xmlPr mapId="43" xpath="/ns1:Root/ns1:Prog/ns1:Achieved__P10_6" xmlDataType="string"/>
    </xmlCellPr>
  </singleXmlCell>
  <singleXmlCell id="708" r="Q229" connectionId="0">
    <xmlCellPr id="1" uniqueName="1">
      <xmlPr mapId="43" xpath="/ns1:Root/ns1:Prog/ns1:Achieved__P11_6" xmlDataType="string"/>
    </xmlCellPr>
  </singleXmlCell>
  <singleXmlCell id="806" r="J220" connectionId="0">
    <xmlCellPr id="1" uniqueName="1">
      <xmlPr mapId="43" xpath="/ns1:Root/ns1:Prog/ns1:Target_P4_2" xmlDataType="double"/>
    </xmlCellPr>
  </singleXmlCell>
  <singleXmlCell id="837" r="C26" connectionId="0">
    <xmlCellPr id="1" uniqueName="1">
      <xmlPr mapId="43" xpath="/ns1:Root/ns1:Currency" xmlDataType="string"/>
    </xmlCellPr>
  </singleXmlCell>
  <singleXmlCell id="497" r="E84" connectionId="0">
    <xmlCellPr id="1" uniqueName="1">
      <xmlPr mapId="43" xpath="/ns1:Root/ns1:M1/ns1:Time_Bound_Actions__TBAs__Not_fulfilled__and_past_the_deadline" xmlDataType="double"/>
    </xmlCellPr>
  </singleXmlCell>
  <singleXmlCell id="496" r="D84" connectionId="0">
    <xmlCellPr id="1" uniqueName="1">
      <xmlPr mapId="43" xpath="/ns1:Root/ns1:M1/ns1:Time_Bound_Actions__TBAs__Not_fulfilled__but_within_deadline" xmlDataType="string"/>
    </xmlCellPr>
  </singleXmlCell>
  <singleXmlCell id="495" r="C84" connectionId="0">
    <xmlCellPr id="1" uniqueName="1">
      <xmlPr mapId="43" xpath="/ns1:Root/ns1:M1/ns1:Time_Bound_Actions__TBAs__Fulfilled" xmlDataType="double"/>
    </xmlCellPr>
  </singleXmlCell>
  <singleXmlCell id="494" r="A84" connectionId="0">
    <xmlCellPr id="1" uniqueName="1">
      <xmlPr mapId="43" xpath="/ns1:Root/ns1:M1/ns1:Time_Bound_Actions__TBAs__" xmlDataType="string"/>
    </xmlCellPr>
  </singleXmlCell>
  <singleXmlCell id="493" r="E83" connectionId="0">
    <xmlCellPr id="1" uniqueName="1">
      <xmlPr mapId="43" xpath="/ns1:Root/ns1:M1/ns1:Conditions_precedents__CPs__Not_fulfilled__and_past_the_deadline" xmlDataType="double"/>
    </xmlCellPr>
  </singleXmlCell>
  <singleXmlCell id="492" r="D83" connectionId="0">
    <xmlCellPr id="1" uniqueName="1">
      <xmlPr mapId="43" xpath="/ns1:Root/ns1:M1/ns1:Conditions_precedents__CPs__Not_fulfilled__but_within_deadline" xmlDataType="double"/>
    </xmlCellPr>
  </singleXmlCell>
  <singleXmlCell id="491" r="C83" connectionId="0">
    <xmlCellPr id="1" uniqueName="1">
      <xmlPr mapId="43" xpath="/ns1:Root/ns1:M1/ns1:Conditions_precedents__CPs__Fulfilled" xmlDataType="double"/>
    </xmlCellPr>
  </singleXmlCell>
  <singleXmlCell id="490" r="A83" connectionId="0">
    <xmlCellPr id="1" uniqueName="1">
      <xmlPr mapId="43" xpath="/ns1:Root/ns1:M1/ns1:Conditions_precedents__CPs__" xmlDataType="string"/>
    </xmlCellPr>
  </singleXmlCell>
  <singleXmlCell id="807" r="A218" connectionId="0">
    <xmlCellPr id="1" uniqueName="1">
      <xmlPr mapId="43" xpath="/ns1:Root/ns1:P1" xmlDataType="string"/>
    </xmlCellPr>
  </singleXmlCell>
  <singleXmlCell id="808" r="D218" connectionId="0">
    <xmlCellPr id="1" uniqueName="1">
      <xmlPr mapId="43" xpath="/ns1:Root/ns1:P1_Code" xmlDataType="double"/>
    </xmlCellPr>
  </singleXmlCell>
  <singleXmlCell id="809" r="E218" connectionId="0">
    <xmlCellPr id="1" uniqueName="1">
      <xmlPr mapId="43" xpath="/ns1:Root/ns1:P1_Tied" xmlDataType="string"/>
    </xmlCellPr>
  </singleXmlCell>
  <singleXmlCell id="810" r="A220" connectionId="0">
    <xmlCellPr id="1" uniqueName="1">
      <xmlPr mapId="43" xpath="/ns1:Root/ns1:P2" xmlDataType="string"/>
    </xmlCellPr>
  </singleXmlCell>
  <singleXmlCell id="811" r="D220" connectionId="0">
    <xmlCellPr id="1" uniqueName="1">
      <xmlPr mapId="43" xpath="/ns1:Root/ns1:P2_Code" xmlDataType="double"/>
    </xmlCellPr>
  </singleXmlCell>
  <singleXmlCell id="812" r="E220" connectionId="0">
    <xmlCellPr id="1" uniqueName="1">
      <xmlPr mapId="43" xpath="/ns1:Root/ns1:P2_Tied" xmlDataType="string"/>
    </xmlCellPr>
  </singleXmlCell>
  <singleXmlCell id="813" r="A222" connectionId="0">
    <xmlCellPr id="1" uniqueName="1">
      <xmlPr mapId="43" xpath="/ns1:Root/ns1:P3" xmlDataType="string"/>
    </xmlCellPr>
  </singleXmlCell>
  <singleXmlCell id="814" r="D222" connectionId="0">
    <xmlCellPr id="1" uniqueName="1">
      <xmlPr mapId="43" xpath="/ns1:Root/ns1:P3_Code" xmlDataType="double"/>
    </xmlCellPr>
  </singleXmlCell>
  <singleXmlCell id="815" r="E222" connectionId="0">
    <xmlCellPr id="1" uniqueName="1">
      <xmlPr mapId="43" xpath="/ns1:Root/ns1:P3_Tied" xmlDataType="string"/>
    </xmlCellPr>
  </singleXmlCell>
  <singleXmlCell id="816" r="A224" connectionId="0">
    <xmlCellPr id="1" uniqueName="1">
      <xmlPr mapId="43" xpath="/ns1:Root/ns1:P4" xmlDataType="string"/>
    </xmlCellPr>
  </singleXmlCell>
  <singleXmlCell id="817" r="D224" connectionId="0">
    <xmlCellPr id="1" uniqueName="1">
      <xmlPr mapId="43" xpath="/ns1:Root/ns1:P4_Code" xmlDataType="double"/>
    </xmlCellPr>
  </singleXmlCell>
  <singleXmlCell id="818" r="E224" connectionId="0">
    <xmlCellPr id="1" uniqueName="1">
      <xmlPr mapId="43" xpath="/ns1:Root/ns1:P4_Tied" xmlDataType="string"/>
    </xmlCellPr>
  </singleXmlCell>
  <singleXmlCell id="819" r="A226" connectionId="0">
    <xmlCellPr id="1" uniqueName="1">
      <xmlPr mapId="43" xpath="/ns1:Root/ns1:P5" xmlDataType="string"/>
    </xmlCellPr>
  </singleXmlCell>
  <singleXmlCell id="820" r="D226" connectionId="0">
    <xmlCellPr id="1" uniqueName="1">
      <xmlPr mapId="43" xpath="/ns1:Root/ns1:P5_Code" xmlDataType="double"/>
    </xmlCellPr>
  </singleXmlCell>
  <singleXmlCell id="821" r="E226" connectionId="0">
    <xmlCellPr id="1" uniqueName="1">
      <xmlPr mapId="43" xpath="/ns1:Root/ns1:P5_Tied" xmlDataType="string"/>
    </xmlCellPr>
  </singleXmlCell>
  <singleXmlCell id="822" r="A228" connectionId="0">
    <xmlCellPr id="1" uniqueName="1">
      <xmlPr mapId="43" xpath="/ns1:Root/ns1:P6" xmlDataType="string"/>
    </xmlCellPr>
  </singleXmlCell>
  <singleXmlCell id="823" r="D228" connectionId="0">
    <xmlCellPr id="1" uniqueName="1">
      <xmlPr mapId="43" xpath="/ns1:Root/ns1:P6_Code" xmlDataType="double"/>
    </xmlCellPr>
  </singleXmlCell>
  <singleXmlCell id="824" r="E228" connectionId="0">
    <xmlCellPr id="1" uniqueName="1">
      <xmlPr mapId="43" xpath="/ns1:Root/ns1:P6_Tied"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37" zoomScale="120" zoomScaleNormal="10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656" t="str">
        <f>+"Панель показателей:  "&amp;"  "&amp;IF(+'Ввод данных'!B4="Выберите","",'Ввод данных'!B4&amp;" - ")&amp;IF('Ввод данных'!F6="Выберите","",'Ввод данных'!F6)</f>
        <v>Панель показателей:    Кыргызстан - ВИЧ/СПИД/ТБ</v>
      </c>
      <c r="C2" s="656"/>
      <c r="D2" s="656"/>
      <c r="E2" s="656"/>
      <c r="F2" s="656"/>
      <c r="G2" s="656"/>
      <c r="H2" s="656"/>
      <c r="I2" s="656"/>
      <c r="J2" s="656"/>
      <c r="K2" s="656"/>
      <c r="L2" s="656"/>
      <c r="M2" s="656"/>
      <c r="N2" s="1"/>
      <c r="O2" s="1"/>
    </row>
    <row r="4" spans="2:15" ht="21">
      <c r="B4" s="652" t="str">
        <f>+IF('Ввод данных'!F6="Выберите", "",'Ввод данных'!F6) &amp;"  "&amp;+IF('Ввод данных'!F8="Выберите", "", 'Ввод данных'!F8&amp;",  ")&amp;+IF('Ввод данных'!H8="Выберите","",'Ввод данных'!H8)</f>
        <v xml:space="preserve">ВИЧ/СПИД/ТБ  ,  </v>
      </c>
      <c r="C4" s="652"/>
      <c r="D4" s="652"/>
      <c r="E4" s="653"/>
      <c r="F4" s="205"/>
      <c r="G4" s="205"/>
      <c r="H4" s="289" t="str">
        <f>+'Ввод данных'!A6&amp;" "&amp;+'Ввод данных'!B6</f>
        <v>Грант № KGZ-C-UNDP</v>
      </c>
      <c r="I4" s="289"/>
      <c r="J4" s="204"/>
      <c r="K4" s="205"/>
      <c r="L4" s="205"/>
    </row>
    <row r="22" spans="2:12" ht="26.25">
      <c r="B22" s="654" t="s">
        <v>86</v>
      </c>
      <c r="C22" s="655"/>
      <c r="D22" s="655"/>
      <c r="E22" s="655"/>
      <c r="F22" s="655"/>
      <c r="G22" s="655"/>
      <c r="H22" s="655"/>
      <c r="I22" s="655"/>
      <c r="J22" s="655"/>
      <c r="K22" s="655"/>
      <c r="L22" s="655"/>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A16" zoomScale="80" zoomScaleNormal="80" workbookViewId="0">
      <selection activeCell="I28" sqref="I28: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237" t="str">
        <f>'Сведения о гранте'!B3:J3</f>
        <v>Панель показателей:  Кыргызстан - ВИЧ/СПИД/ТБ</v>
      </c>
      <c r="C3" s="1237"/>
      <c r="D3" s="1237"/>
      <c r="E3" s="1237"/>
      <c r="F3" s="1237"/>
      <c r="G3" s="1237"/>
      <c r="H3" s="1237"/>
      <c r="I3" s="1"/>
    </row>
    <row r="6" spans="2:15" ht="18.75">
      <c r="B6" s="1238" t="s">
        <v>82</v>
      </c>
      <c r="C6" s="1238"/>
      <c r="D6" s="1238"/>
      <c r="E6" s="1238"/>
      <c r="F6" s="1238"/>
      <c r="G6" s="1238"/>
      <c r="H6" s="1238"/>
    </row>
    <row r="8" spans="2:15" ht="18.75">
      <c r="B8" s="61" t="s">
        <v>19</v>
      </c>
      <c r="C8" s="61" t="s">
        <v>20</v>
      </c>
      <c r="D8" s="61" t="s">
        <v>21</v>
      </c>
      <c r="E8" s="61" t="s">
        <v>22</v>
      </c>
      <c r="F8" s="61" t="s">
        <v>77</v>
      </c>
      <c r="G8" s="61" t="s">
        <v>75</v>
      </c>
      <c r="H8" s="61" t="s">
        <v>79</v>
      </c>
      <c r="I8" s="62" t="s">
        <v>48</v>
      </c>
      <c r="J8" s="62" t="s">
        <v>72</v>
      </c>
      <c r="M8" s="19"/>
      <c r="N8" s="19"/>
      <c r="O8" s="19"/>
    </row>
    <row r="9" spans="2:15">
      <c r="B9" s="341" t="s">
        <v>93</v>
      </c>
      <c r="C9" s="341" t="s">
        <v>93</v>
      </c>
      <c r="D9" s="341" t="s">
        <v>93</v>
      </c>
      <c r="E9" s="341" t="s">
        <v>93</v>
      </c>
      <c r="F9" s="341" t="s">
        <v>93</v>
      </c>
      <c r="G9" s="341" t="s">
        <v>93</v>
      </c>
      <c r="H9" s="341" t="s">
        <v>93</v>
      </c>
      <c r="I9" s="342" t="s">
        <v>93</v>
      </c>
      <c r="J9" s="341" t="s">
        <v>93</v>
      </c>
      <c r="M9" s="19"/>
      <c r="N9" s="19"/>
      <c r="O9" s="19"/>
    </row>
    <row r="10" spans="2:15">
      <c r="B10" s="56" t="s">
        <v>244</v>
      </c>
      <c r="C10" s="56" t="s">
        <v>17</v>
      </c>
      <c r="D10" s="56" t="s">
        <v>227</v>
      </c>
      <c r="E10" s="56" t="s">
        <v>237</v>
      </c>
      <c r="F10" s="56" t="s">
        <v>55</v>
      </c>
      <c r="G10" s="329" t="s">
        <v>24</v>
      </c>
      <c r="H10" s="59" t="s">
        <v>29</v>
      </c>
      <c r="I10" s="26" t="s">
        <v>239</v>
      </c>
      <c r="J10" s="341" t="s">
        <v>94</v>
      </c>
      <c r="M10" s="19"/>
      <c r="N10" s="19"/>
      <c r="O10" s="19"/>
    </row>
    <row r="11" spans="2:15">
      <c r="B11" s="56" t="s">
        <v>245</v>
      </c>
      <c r="C11" s="56" t="s">
        <v>16</v>
      </c>
      <c r="D11" s="56" t="s">
        <v>228</v>
      </c>
      <c r="E11" s="56" t="s">
        <v>238</v>
      </c>
      <c r="F11" s="56" t="s">
        <v>56</v>
      </c>
      <c r="G11" s="329" t="s">
        <v>25</v>
      </c>
      <c r="H11" s="59" t="s">
        <v>30</v>
      </c>
      <c r="I11" s="26" t="s">
        <v>240</v>
      </c>
      <c r="J11" s="341" t="s">
        <v>95</v>
      </c>
      <c r="M11" s="19"/>
      <c r="N11" s="19"/>
      <c r="O11" s="19"/>
    </row>
    <row r="12" spans="2:15">
      <c r="B12" s="56" t="s">
        <v>246</v>
      </c>
      <c r="D12" s="56" t="s">
        <v>229</v>
      </c>
      <c r="E12" s="56" t="s">
        <v>18</v>
      </c>
      <c r="F12" s="56" t="s">
        <v>57</v>
      </c>
      <c r="G12" s="329" t="s">
        <v>26</v>
      </c>
      <c r="H12" s="59" t="s">
        <v>31</v>
      </c>
      <c r="I12" s="26" t="s">
        <v>241</v>
      </c>
      <c r="J12" s="341" t="s">
        <v>96</v>
      </c>
      <c r="M12" s="178"/>
      <c r="N12" s="19"/>
      <c r="O12" s="19"/>
    </row>
    <row r="13" spans="2:15">
      <c r="B13" s="56" t="s">
        <v>247</v>
      </c>
      <c r="D13" s="56" t="s">
        <v>230</v>
      </c>
      <c r="E13" s="57"/>
      <c r="F13" s="56" t="s">
        <v>58</v>
      </c>
      <c r="G13" s="329" t="s">
        <v>27</v>
      </c>
      <c r="H13" s="59" t="s">
        <v>32</v>
      </c>
      <c r="I13" s="26" t="s">
        <v>242</v>
      </c>
      <c r="J13" s="341" t="s">
        <v>97</v>
      </c>
      <c r="M13" s="178"/>
      <c r="N13" s="19"/>
      <c r="O13" s="19"/>
    </row>
    <row r="14" spans="2:15">
      <c r="B14" s="56" t="s">
        <v>248</v>
      </c>
      <c r="D14" s="56" t="s">
        <v>231</v>
      </c>
      <c r="F14" s="56" t="s">
        <v>65</v>
      </c>
      <c r="G14" s="329" t="s">
        <v>28</v>
      </c>
      <c r="H14" s="59" t="s">
        <v>33</v>
      </c>
      <c r="I14" s="26" t="s">
        <v>76</v>
      </c>
      <c r="J14" s="341" t="s">
        <v>98</v>
      </c>
      <c r="M14" s="178"/>
      <c r="N14" s="19"/>
      <c r="O14" s="19"/>
    </row>
    <row r="15" spans="2:15">
      <c r="D15" s="56" t="s">
        <v>232</v>
      </c>
      <c r="F15" s="56" t="s">
        <v>66</v>
      </c>
      <c r="H15" s="59" t="s">
        <v>34</v>
      </c>
      <c r="I15" s="26" t="s">
        <v>39</v>
      </c>
      <c r="J15" s="341" t="s">
        <v>99</v>
      </c>
      <c r="M15" s="178"/>
      <c r="N15" s="19"/>
      <c r="O15" s="19"/>
    </row>
    <row r="16" spans="2:15">
      <c r="D16" s="56" t="s">
        <v>233</v>
      </c>
      <c r="F16" s="56" t="s">
        <v>67</v>
      </c>
      <c r="H16" s="59" t="s">
        <v>35</v>
      </c>
      <c r="I16" s="26" t="s">
        <v>40</v>
      </c>
      <c r="J16" s="341" t="s">
        <v>100</v>
      </c>
      <c r="M16" s="178"/>
      <c r="N16" s="19"/>
      <c r="O16" s="19"/>
    </row>
    <row r="17" spans="4:15">
      <c r="D17" s="56" t="s">
        <v>234</v>
      </c>
      <c r="F17" s="56" t="s">
        <v>68</v>
      </c>
      <c r="H17" s="59" t="s">
        <v>36</v>
      </c>
      <c r="I17" s="26" t="s">
        <v>41</v>
      </c>
      <c r="J17" s="341" t="s">
        <v>101</v>
      </c>
      <c r="M17" s="178"/>
      <c r="N17" s="19"/>
      <c r="O17" s="19"/>
    </row>
    <row r="18" spans="4:15">
      <c r="D18" s="56" t="s">
        <v>235</v>
      </c>
      <c r="F18" s="56" t="s">
        <v>69</v>
      </c>
      <c r="H18" s="59" t="s">
        <v>37</v>
      </c>
      <c r="I18" s="26" t="s">
        <v>42</v>
      </c>
      <c r="J18" s="341" t="s">
        <v>102</v>
      </c>
      <c r="M18" s="178"/>
      <c r="N18" s="19"/>
      <c r="O18" s="19"/>
    </row>
    <row r="19" spans="4:15">
      <c r="D19" s="56" t="s">
        <v>236</v>
      </c>
      <c r="F19" s="56" t="s">
        <v>70</v>
      </c>
      <c r="H19" s="59" t="s">
        <v>38</v>
      </c>
      <c r="I19" s="26" t="s">
        <v>43</v>
      </c>
      <c r="J19" s="341" t="s">
        <v>103</v>
      </c>
      <c r="M19" s="178"/>
      <c r="N19" s="19"/>
      <c r="O19" s="19"/>
    </row>
    <row r="20" spans="4:15">
      <c r="D20" s="58"/>
      <c r="F20" s="56" t="s">
        <v>71</v>
      </c>
      <c r="H20" s="59" t="s">
        <v>73</v>
      </c>
      <c r="I20" s="26" t="s">
        <v>44</v>
      </c>
      <c r="J20" s="341" t="s">
        <v>104</v>
      </c>
      <c r="M20" s="19"/>
      <c r="N20" s="19"/>
      <c r="O20" s="19"/>
    </row>
    <row r="21" spans="4:15">
      <c r="D21" s="60"/>
      <c r="F21" s="56" t="s">
        <v>78</v>
      </c>
      <c r="H21" s="60"/>
      <c r="I21" s="26" t="s">
        <v>46</v>
      </c>
      <c r="J21" s="341" t="s">
        <v>105</v>
      </c>
      <c r="M21" s="19"/>
      <c r="N21" s="19"/>
      <c r="O21" s="19"/>
    </row>
    <row r="22" spans="4:15">
      <c r="H22" s="60"/>
      <c r="I22" s="26" t="s">
        <v>47</v>
      </c>
      <c r="J22" s="341" t="s">
        <v>106</v>
      </c>
      <c r="M22" s="19"/>
      <c r="N22" s="19"/>
      <c r="O22" s="19"/>
    </row>
    <row r="23" spans="4:15">
      <c r="I23" s="26" t="s">
        <v>45</v>
      </c>
      <c r="J23" s="341" t="s">
        <v>107</v>
      </c>
      <c r="M23" s="19"/>
      <c r="N23" s="19"/>
      <c r="O23" s="19"/>
    </row>
    <row r="24" spans="4:15">
      <c r="I24" s="26" t="s">
        <v>81</v>
      </c>
      <c r="J24" s="341" t="s">
        <v>108</v>
      </c>
      <c r="M24" s="19"/>
      <c r="N24" s="19"/>
      <c r="O24" s="19"/>
    </row>
    <row r="25" spans="4:15">
      <c r="I25" s="44"/>
      <c r="J25" s="341" t="s">
        <v>109</v>
      </c>
    </row>
    <row r="26" spans="4:15">
      <c r="I26" s="26" t="s">
        <v>243</v>
      </c>
      <c r="J26" s="341" t="s">
        <v>110</v>
      </c>
    </row>
    <row r="27" spans="4:15">
      <c r="I27" s="26" t="s">
        <v>80</v>
      </c>
      <c r="J27" s="341" t="s">
        <v>111</v>
      </c>
    </row>
    <row r="28" spans="4:15">
      <c r="I28" s="44" t="s">
        <v>428</v>
      </c>
      <c r="J28" s="341" t="s">
        <v>112</v>
      </c>
    </row>
    <row r="29" spans="4:15">
      <c r="I29" s="44" t="s">
        <v>429</v>
      </c>
      <c r="J29" s="341" t="s">
        <v>113</v>
      </c>
    </row>
    <row r="30" spans="4:15">
      <c r="I30" s="44" t="s">
        <v>44</v>
      </c>
      <c r="J30" s="341" t="s">
        <v>114</v>
      </c>
    </row>
    <row r="31" spans="4:15">
      <c r="J31" s="341" t="s">
        <v>115</v>
      </c>
    </row>
    <row r="32" spans="4:15">
      <c r="J32" s="341" t="s">
        <v>116</v>
      </c>
    </row>
    <row r="33" spans="10:10">
      <c r="J33" s="341" t="s">
        <v>117</v>
      </c>
    </row>
    <row r="34" spans="10:10">
      <c r="J34" s="341" t="s">
        <v>118</v>
      </c>
    </row>
    <row r="35" spans="10:10">
      <c r="J35" s="341" t="s">
        <v>119</v>
      </c>
    </row>
    <row r="36" spans="10:10">
      <c r="J36" s="341" t="s">
        <v>119</v>
      </c>
    </row>
    <row r="37" spans="10:10">
      <c r="J37" s="341" t="s">
        <v>120</v>
      </c>
    </row>
    <row r="38" spans="10:10">
      <c r="J38" s="341" t="s">
        <v>121</v>
      </c>
    </row>
    <row r="39" spans="10:10">
      <c r="J39" s="341" t="s">
        <v>122</v>
      </c>
    </row>
    <row r="40" spans="10:10">
      <c r="J40" s="341" t="s">
        <v>123</v>
      </c>
    </row>
    <row r="41" spans="10:10">
      <c r="J41" s="341" t="s">
        <v>124</v>
      </c>
    </row>
    <row r="42" spans="10:10">
      <c r="J42" s="341" t="s">
        <v>125</v>
      </c>
    </row>
    <row r="43" spans="10:10">
      <c r="J43" s="341" t="s">
        <v>126</v>
      </c>
    </row>
    <row r="44" spans="10:10">
      <c r="J44" s="341" t="s">
        <v>127</v>
      </c>
    </row>
    <row r="45" spans="10:10">
      <c r="J45" s="341" t="s">
        <v>128</v>
      </c>
    </row>
    <row r="46" spans="10:10">
      <c r="J46" s="341" t="s">
        <v>129</v>
      </c>
    </row>
    <row r="47" spans="10:10">
      <c r="J47" s="341" t="s">
        <v>130</v>
      </c>
    </row>
    <row r="48" spans="10:10">
      <c r="J48" s="341" t="s">
        <v>131</v>
      </c>
    </row>
    <row r="49" spans="10:10">
      <c r="J49" s="341" t="s">
        <v>132</v>
      </c>
    </row>
    <row r="50" spans="10:10">
      <c r="J50" s="341" t="s">
        <v>133</v>
      </c>
    </row>
    <row r="51" spans="10:10">
      <c r="J51" s="341" t="s">
        <v>134</v>
      </c>
    </row>
    <row r="52" spans="10:10">
      <c r="J52" s="341" t="s">
        <v>135</v>
      </c>
    </row>
    <row r="53" spans="10:10">
      <c r="J53" s="341" t="s">
        <v>136</v>
      </c>
    </row>
    <row r="54" spans="10:10">
      <c r="J54" s="341" t="s">
        <v>137</v>
      </c>
    </row>
    <row r="55" spans="10:10">
      <c r="J55" s="341" t="s">
        <v>138</v>
      </c>
    </row>
    <row r="56" spans="10:10">
      <c r="J56" s="341" t="s">
        <v>139</v>
      </c>
    </row>
    <row r="57" spans="10:10">
      <c r="J57" s="341" t="s">
        <v>140</v>
      </c>
    </row>
    <row r="58" spans="10:10">
      <c r="J58" s="341" t="s">
        <v>141</v>
      </c>
    </row>
    <row r="59" spans="10:10">
      <c r="J59" s="341" t="s">
        <v>174</v>
      </c>
    </row>
    <row r="60" spans="10:10">
      <c r="J60" s="341" t="s">
        <v>142</v>
      </c>
    </row>
    <row r="61" spans="10:10">
      <c r="J61" s="341" t="s">
        <v>143</v>
      </c>
    </row>
    <row r="62" spans="10:10">
      <c r="J62" s="341" t="s">
        <v>144</v>
      </c>
    </row>
    <row r="63" spans="10:10">
      <c r="J63" s="341" t="s">
        <v>145</v>
      </c>
    </row>
    <row r="64" spans="10:10">
      <c r="J64" s="341" t="s">
        <v>146</v>
      </c>
    </row>
    <row r="65" spans="10:10">
      <c r="J65" s="341" t="s">
        <v>147</v>
      </c>
    </row>
    <row r="66" spans="10:10">
      <c r="J66" s="341" t="s">
        <v>148</v>
      </c>
    </row>
    <row r="67" spans="10:10">
      <c r="J67" s="341" t="s">
        <v>149</v>
      </c>
    </row>
    <row r="68" spans="10:10">
      <c r="J68" s="341" t="s">
        <v>150</v>
      </c>
    </row>
    <row r="69" spans="10:10">
      <c r="J69" s="341" t="s">
        <v>151</v>
      </c>
    </row>
    <row r="70" spans="10:10">
      <c r="J70" s="341" t="s">
        <v>152</v>
      </c>
    </row>
    <row r="71" spans="10:10">
      <c r="J71" s="341" t="s">
        <v>153</v>
      </c>
    </row>
    <row r="72" spans="10:10">
      <c r="J72" s="341" t="s">
        <v>154</v>
      </c>
    </row>
    <row r="73" spans="10:10">
      <c r="J73" s="341" t="s">
        <v>155</v>
      </c>
    </row>
    <row r="74" spans="10:10">
      <c r="J74" s="341" t="s">
        <v>156</v>
      </c>
    </row>
    <row r="75" spans="10:10">
      <c r="J75" s="341" t="s">
        <v>157</v>
      </c>
    </row>
    <row r="76" spans="10:10">
      <c r="J76" s="341" t="s">
        <v>158</v>
      </c>
    </row>
    <row r="77" spans="10:10">
      <c r="J77" s="341" t="s">
        <v>159</v>
      </c>
    </row>
    <row r="78" spans="10:10">
      <c r="J78" s="341" t="s">
        <v>160</v>
      </c>
    </row>
    <row r="79" spans="10:10">
      <c r="J79" s="341" t="s">
        <v>161</v>
      </c>
    </row>
    <row r="80" spans="10:10">
      <c r="J80" s="341" t="s">
        <v>162</v>
      </c>
    </row>
    <row r="81" spans="10:10">
      <c r="J81" s="341" t="s">
        <v>163</v>
      </c>
    </row>
    <row r="82" spans="10:10">
      <c r="J82" s="341" t="s">
        <v>164</v>
      </c>
    </row>
    <row r="83" spans="10:10">
      <c r="J83" s="341" t="s">
        <v>165</v>
      </c>
    </row>
    <row r="84" spans="10:10">
      <c r="J84" s="341" t="s">
        <v>166</v>
      </c>
    </row>
    <row r="85" spans="10:10">
      <c r="J85" s="341" t="s">
        <v>167</v>
      </c>
    </row>
    <row r="86" spans="10:10">
      <c r="J86" s="341" t="s">
        <v>168</v>
      </c>
    </row>
    <row r="87" spans="10:10">
      <c r="J87" s="341" t="s">
        <v>169</v>
      </c>
    </row>
    <row r="88" spans="10:10">
      <c r="J88" s="341" t="s">
        <v>170</v>
      </c>
    </row>
    <row r="89" spans="10:10">
      <c r="J89" s="341" t="s">
        <v>171</v>
      </c>
    </row>
    <row r="90" spans="10:10">
      <c r="J90" s="341" t="s">
        <v>172</v>
      </c>
    </row>
    <row r="91" spans="10:10">
      <c r="J91" s="341" t="s">
        <v>173</v>
      </c>
    </row>
    <row r="92" spans="10:10">
      <c r="J92" s="341" t="s">
        <v>175</v>
      </c>
    </row>
    <row r="93" spans="10:10">
      <c r="J93" s="341" t="s">
        <v>176</v>
      </c>
    </row>
    <row r="94" spans="10:10">
      <c r="J94" s="341" t="s">
        <v>177</v>
      </c>
    </row>
    <row r="95" spans="10:10">
      <c r="J95" s="341" t="s">
        <v>178</v>
      </c>
    </row>
    <row r="96" spans="10:10">
      <c r="J96" s="341" t="s">
        <v>179</v>
      </c>
    </row>
    <row r="97" spans="10:10">
      <c r="J97" s="341" t="s">
        <v>180</v>
      </c>
    </row>
    <row r="98" spans="10:10">
      <c r="J98" s="341" t="s">
        <v>181</v>
      </c>
    </row>
    <row r="99" spans="10:10">
      <c r="J99" s="341" t="s">
        <v>182</v>
      </c>
    </row>
    <row r="100" spans="10:10">
      <c r="J100" s="341" t="s">
        <v>183</v>
      </c>
    </row>
    <row r="101" spans="10:10">
      <c r="J101" s="341" t="s">
        <v>184</v>
      </c>
    </row>
    <row r="102" spans="10:10">
      <c r="J102" s="341" t="s">
        <v>185</v>
      </c>
    </row>
    <row r="103" spans="10:10">
      <c r="J103" s="341" t="s">
        <v>186</v>
      </c>
    </row>
    <row r="104" spans="10:10">
      <c r="J104" s="341" t="s">
        <v>187</v>
      </c>
    </row>
    <row r="105" spans="10:10">
      <c r="J105" s="341" t="s">
        <v>188</v>
      </c>
    </row>
    <row r="106" spans="10:10">
      <c r="J106" s="341" t="s">
        <v>189</v>
      </c>
    </row>
    <row r="107" spans="10:10">
      <c r="J107" s="341" t="s">
        <v>190</v>
      </c>
    </row>
    <row r="108" spans="10:10">
      <c r="J108" s="341" t="s">
        <v>191</v>
      </c>
    </row>
    <row r="109" spans="10:10">
      <c r="J109" s="341" t="s">
        <v>192</v>
      </c>
    </row>
    <row r="110" spans="10:10">
      <c r="J110" s="341" t="s">
        <v>193</v>
      </c>
    </row>
    <row r="111" spans="10:10">
      <c r="J111" s="341" t="s">
        <v>194</v>
      </c>
    </row>
    <row r="112" spans="10:10">
      <c r="J112" s="341" t="s">
        <v>195</v>
      </c>
    </row>
    <row r="113" spans="10:10">
      <c r="J113" s="341" t="s">
        <v>196</v>
      </c>
    </row>
    <row r="114" spans="10:10">
      <c r="J114" s="341" t="s">
        <v>197</v>
      </c>
    </row>
    <row r="115" spans="10:10">
      <c r="J115" s="341" t="s">
        <v>198</v>
      </c>
    </row>
    <row r="116" spans="10:10">
      <c r="J116" s="341" t="s">
        <v>199</v>
      </c>
    </row>
    <row r="117" spans="10:10">
      <c r="J117" s="341" t="s">
        <v>200</v>
      </c>
    </row>
    <row r="118" spans="10:10">
      <c r="J118" s="341" t="s">
        <v>201</v>
      </c>
    </row>
    <row r="119" spans="10:10">
      <c r="J119" s="341" t="s">
        <v>202</v>
      </c>
    </row>
    <row r="120" spans="10:10">
      <c r="J120" s="341" t="s">
        <v>203</v>
      </c>
    </row>
    <row r="121" spans="10:10">
      <c r="J121" s="341" t="s">
        <v>204</v>
      </c>
    </row>
    <row r="122" spans="10:10">
      <c r="J122" s="341" t="s">
        <v>205</v>
      </c>
    </row>
    <row r="123" spans="10:10">
      <c r="J123" s="341" t="s">
        <v>206</v>
      </c>
    </row>
    <row r="124" spans="10:10">
      <c r="J124" s="341" t="s">
        <v>207</v>
      </c>
    </row>
    <row r="125" spans="10:10">
      <c r="J125" s="341" t="s">
        <v>208</v>
      </c>
    </row>
    <row r="126" spans="10:10">
      <c r="J126" s="341" t="s">
        <v>209</v>
      </c>
    </row>
    <row r="127" spans="10:10">
      <c r="J127" s="341" t="s">
        <v>210</v>
      </c>
    </row>
    <row r="128" spans="10:10">
      <c r="J128" s="341" t="s">
        <v>211</v>
      </c>
    </row>
    <row r="129" spans="10:10">
      <c r="J129" s="341" t="s">
        <v>212</v>
      </c>
    </row>
    <row r="130" spans="10:10">
      <c r="J130" s="341" t="s">
        <v>213</v>
      </c>
    </row>
    <row r="131" spans="10:10">
      <c r="J131" s="341" t="s">
        <v>214</v>
      </c>
    </row>
    <row r="132" spans="10:10">
      <c r="J132" s="341" t="s">
        <v>215</v>
      </c>
    </row>
    <row r="133" spans="10:10">
      <c r="J133" s="341" t="s">
        <v>216</v>
      </c>
    </row>
    <row r="134" spans="10:10">
      <c r="J134" s="341" t="s">
        <v>217</v>
      </c>
    </row>
    <row r="135" spans="10:10">
      <c r="J135" s="341" t="s">
        <v>218</v>
      </c>
    </row>
    <row r="136" spans="10:10">
      <c r="J136" s="341" t="s">
        <v>219</v>
      </c>
    </row>
    <row r="137" spans="10:10">
      <c r="J137" s="341" t="s">
        <v>220</v>
      </c>
    </row>
    <row r="138" spans="10:10">
      <c r="J138" s="341" t="s">
        <v>221</v>
      </c>
    </row>
    <row r="139" spans="10:10">
      <c r="J139" s="341" t="s">
        <v>222</v>
      </c>
    </row>
    <row r="140" spans="10:10">
      <c r="J140" s="341" t="s">
        <v>223</v>
      </c>
    </row>
    <row r="141" spans="10:10">
      <c r="J141" s="341" t="s">
        <v>224</v>
      </c>
    </row>
    <row r="142" spans="10:10">
      <c r="J142" s="341" t="s">
        <v>225</v>
      </c>
    </row>
    <row r="143" spans="10:10">
      <c r="J143" s="341" t="s">
        <v>226</v>
      </c>
    </row>
    <row r="144" spans="10:10">
      <c r="J144" s="325"/>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activeCell="N19" sqref="N19"/>
    </sheetView>
  </sheetViews>
  <sheetFormatPr defaultRowHeight="15"/>
  <sheetData>
    <row r="1" spans="1:2">
      <c r="A1" s="364" t="s">
        <v>284</v>
      </c>
      <c r="B1" t="s">
        <v>285</v>
      </c>
    </row>
    <row r="2" spans="1:2">
      <c r="A2" s="364" t="s">
        <v>286</v>
      </c>
      <c r="B2" t="s">
        <v>287</v>
      </c>
    </row>
    <row r="3" spans="1:2">
      <c r="A3" s="364" t="s">
        <v>288</v>
      </c>
      <c r="B3" t="s">
        <v>289</v>
      </c>
    </row>
    <row r="4" spans="1:2">
      <c r="A4" s="364" t="s">
        <v>290</v>
      </c>
      <c r="B4" t="s">
        <v>291</v>
      </c>
    </row>
    <row r="5" spans="1:2">
      <c r="A5" s="364" t="s">
        <v>292</v>
      </c>
      <c r="B5" t="s">
        <v>293</v>
      </c>
    </row>
    <row r="6" spans="1:2">
      <c r="A6" s="364" t="s">
        <v>294</v>
      </c>
      <c r="B6" t="s">
        <v>295</v>
      </c>
    </row>
    <row r="7" spans="1:2">
      <c r="A7" s="364" t="s">
        <v>296</v>
      </c>
      <c r="B7" t="s">
        <v>297</v>
      </c>
    </row>
    <row r="8" spans="1:2">
      <c r="A8" s="364" t="s">
        <v>298</v>
      </c>
      <c r="B8" t="s">
        <v>299</v>
      </c>
    </row>
    <row r="9" spans="1:2">
      <c r="A9" s="364" t="s">
        <v>300</v>
      </c>
      <c r="B9" t="s">
        <v>311</v>
      </c>
    </row>
    <row r="10" spans="1:2">
      <c r="A10" s="364" t="s">
        <v>301</v>
      </c>
      <c r="B10" t="s">
        <v>302</v>
      </c>
    </row>
    <row r="11" spans="1:2">
      <c r="A11" s="364" t="s">
        <v>303</v>
      </c>
      <c r="B11" t="s">
        <v>304</v>
      </c>
    </row>
    <row r="12" spans="1:2">
      <c r="A12" s="364" t="s">
        <v>265</v>
      </c>
      <c r="B12" t="s">
        <v>305</v>
      </c>
    </row>
    <row r="13" spans="1:2">
      <c r="A13" s="364" t="s">
        <v>306</v>
      </c>
      <c r="B13" t="s">
        <v>307</v>
      </c>
    </row>
    <row r="14" spans="1:2">
      <c r="A14" s="364" t="s">
        <v>308</v>
      </c>
      <c r="B14" t="s">
        <v>309</v>
      </c>
    </row>
    <row r="15" spans="1:2">
      <c r="A15" s="364" t="s">
        <v>310</v>
      </c>
      <c r="B15" t="s">
        <v>312</v>
      </c>
    </row>
  </sheetData>
  <phoneticPr fontId="3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31"/>
  <sheetViews>
    <sheetView workbookViewId="0">
      <selection activeCell="D14" sqref="D14"/>
    </sheetView>
  </sheetViews>
  <sheetFormatPr defaultRowHeight="15"/>
  <cols>
    <col min="2" max="2" width="32.28515625" style="414" customWidth="1"/>
    <col min="3" max="3" width="11.28515625" customWidth="1"/>
    <col min="4" max="4" width="14.7109375" customWidth="1"/>
    <col min="6" max="6" width="14" customWidth="1"/>
    <col min="7" max="7" width="11.5703125" customWidth="1"/>
    <col min="9" max="9" width="27.28515625" customWidth="1"/>
    <col min="11" max="11" width="12" customWidth="1"/>
  </cols>
  <sheetData>
    <row r="3" spans="2:12" ht="23.25">
      <c r="B3" s="411" t="s">
        <v>432</v>
      </c>
      <c r="C3" s="316">
        <v>196425</v>
      </c>
      <c r="D3" s="319">
        <v>10086.190000000002</v>
      </c>
      <c r="I3" s="416"/>
      <c r="J3" s="417"/>
      <c r="K3" s="417"/>
      <c r="L3" s="417"/>
    </row>
    <row r="4" spans="2:12" ht="34.5">
      <c r="B4" s="411" t="s">
        <v>433</v>
      </c>
      <c r="C4" s="316">
        <v>2920215</v>
      </c>
      <c r="D4" s="319">
        <v>1283202.9400000002</v>
      </c>
      <c r="I4" s="418"/>
      <c r="J4" s="419"/>
      <c r="K4" s="419"/>
      <c r="L4" s="419"/>
    </row>
    <row r="5" spans="2:12">
      <c r="B5" s="412" t="s">
        <v>434</v>
      </c>
      <c r="C5" s="317">
        <v>343499</v>
      </c>
      <c r="D5" s="319">
        <v>304251.71999999997</v>
      </c>
    </row>
    <row r="6" spans="2:12" ht="15.75" thickBot="1">
      <c r="B6" s="413" t="s">
        <v>343</v>
      </c>
      <c r="C6" s="322">
        <f>SUM(C3:C5)</f>
        <v>3460139</v>
      </c>
      <c r="D6" s="323">
        <f>SUM(D3:D5)</f>
        <v>1597540.85</v>
      </c>
      <c r="I6" s="422"/>
      <c r="L6" s="423"/>
    </row>
    <row r="7" spans="2:12" ht="57">
      <c r="I7" s="420" t="s">
        <v>443</v>
      </c>
      <c r="L7" s="421"/>
    </row>
    <row r="8" spans="2:12" ht="34.5">
      <c r="I8" s="422" t="s">
        <v>444</v>
      </c>
      <c r="L8" s="427"/>
    </row>
    <row r="9" spans="2:12">
      <c r="I9" s="422" t="s">
        <v>445</v>
      </c>
      <c r="L9" s="423"/>
    </row>
    <row r="10" spans="2:12" ht="15.75" thickBot="1">
      <c r="B10" s="417"/>
      <c r="C10" s="44" t="s">
        <v>448</v>
      </c>
      <c r="D10" s="44" t="s">
        <v>449</v>
      </c>
      <c r="E10" s="44" t="s">
        <v>446</v>
      </c>
      <c r="F10" s="44" t="s">
        <v>447</v>
      </c>
      <c r="G10" s="44"/>
      <c r="I10" s="424"/>
      <c r="J10" s="425">
        <f>SUM(J6:J9)</f>
        <v>0</v>
      </c>
      <c r="K10" s="425">
        <f>SUM(K6:K9)</f>
        <v>0</v>
      </c>
      <c r="L10" s="426"/>
    </row>
    <row r="11" spans="2:12" ht="26.25">
      <c r="B11" s="433" t="s">
        <v>432</v>
      </c>
      <c r="C11" s="429">
        <v>78211</v>
      </c>
      <c r="D11" s="430">
        <f>445269.08+4207.73</f>
        <v>449476.81</v>
      </c>
      <c r="E11" s="431">
        <v>554706</v>
      </c>
      <c r="F11" s="431">
        <v>459562.80000000005</v>
      </c>
      <c r="G11" s="432"/>
    </row>
    <row r="12" spans="2:12" ht="39">
      <c r="B12" s="433" t="s">
        <v>433</v>
      </c>
      <c r="C12" s="429">
        <v>797425.72399999993</v>
      </c>
      <c r="D12" s="430">
        <f>1328985.16+10597.9</f>
        <v>1339583.0599999998</v>
      </c>
      <c r="E12" s="431">
        <v>4906100</v>
      </c>
      <c r="F12" s="431">
        <v>2622785.89</v>
      </c>
      <c r="G12" s="432"/>
    </row>
    <row r="13" spans="2:12">
      <c r="B13" s="434" t="s">
        <v>434</v>
      </c>
      <c r="C13" s="430">
        <v>282670.70082999999</v>
      </c>
      <c r="D13" s="430">
        <f>116992.65-1717</f>
        <v>115275.65</v>
      </c>
      <c r="E13" s="431">
        <v>659696</v>
      </c>
      <c r="F13" s="431">
        <v>419527.37</v>
      </c>
      <c r="G13" s="432"/>
    </row>
    <row r="14" spans="2:12">
      <c r="B14" s="435" t="s">
        <v>343</v>
      </c>
      <c r="C14" s="436">
        <f>SUM(C11:C13)</f>
        <v>1158307.4248299999</v>
      </c>
      <c r="D14" s="436">
        <f>SUM(D11:D13)</f>
        <v>1904335.5199999998</v>
      </c>
      <c r="E14" s="437">
        <f>SUM(E11:E13)</f>
        <v>6120502</v>
      </c>
      <c r="F14" s="437">
        <f>SUM(F11:F13)</f>
        <v>3501876.0600000005</v>
      </c>
      <c r="G14" s="437"/>
    </row>
    <row r="17" spans="2:9">
      <c r="D17" s="428"/>
    </row>
    <row r="18" spans="2:9">
      <c r="B18" s="414" t="s">
        <v>450</v>
      </c>
      <c r="C18">
        <v>1854771.0908137045</v>
      </c>
      <c r="D18">
        <v>1486069.9447738212</v>
      </c>
      <c r="E18">
        <f>SUM(C18:D18)</f>
        <v>3340841.0355875259</v>
      </c>
      <c r="F18">
        <v>1515782.6800000002</v>
      </c>
      <c r="G18">
        <f>F18-D18</f>
        <v>29712.735226179007</v>
      </c>
    </row>
    <row r="19" spans="2:9">
      <c r="B19" s="414" t="s">
        <v>451</v>
      </c>
      <c r="C19">
        <v>64356.800000000003</v>
      </c>
      <c r="D19">
        <v>96678.23</v>
      </c>
      <c r="E19">
        <f t="shared" ref="E19:E20" si="0">SUM(C19:D19)</f>
        <v>161035.03</v>
      </c>
      <c r="F19">
        <v>87839.17</v>
      </c>
      <c r="G19">
        <f>F19-D19</f>
        <v>-8839.0599999999977</v>
      </c>
    </row>
    <row r="20" spans="2:9">
      <c r="B20" s="414" t="s">
        <v>452</v>
      </c>
      <c r="C20">
        <v>1919127.8908137046</v>
      </c>
      <c r="D20">
        <v>1582748.1747738211</v>
      </c>
      <c r="E20">
        <f t="shared" si="0"/>
        <v>3501876.0655875257</v>
      </c>
      <c r="F20">
        <f>SUM(F18:F19)</f>
        <v>1603621.85</v>
      </c>
    </row>
    <row r="21" spans="2:9">
      <c r="D21">
        <v>1603622</v>
      </c>
    </row>
    <row r="22" spans="2:9">
      <c r="D22" s="438">
        <f>D21-D20</f>
        <v>20873.825226178858</v>
      </c>
      <c r="F22" s="428">
        <f>D14+F20</f>
        <v>3507957.37</v>
      </c>
    </row>
    <row r="25" spans="2:9" ht="45">
      <c r="E25" s="415" t="s">
        <v>453</v>
      </c>
      <c r="F25" t="s">
        <v>454</v>
      </c>
      <c r="H25" t="s">
        <v>455</v>
      </c>
    </row>
    <row r="26" spans="2:9">
      <c r="B26" s="414" t="s">
        <v>325</v>
      </c>
      <c r="C26">
        <v>5365504</v>
      </c>
      <c r="D26">
        <v>4274978</v>
      </c>
      <c r="E26">
        <v>9640482</v>
      </c>
      <c r="F26">
        <v>5365504</v>
      </c>
      <c r="G26">
        <f>E26-F26</f>
        <v>4274978</v>
      </c>
      <c r="H26">
        <v>4274978</v>
      </c>
    </row>
    <row r="27" spans="2:9">
      <c r="B27" s="414" t="s">
        <v>326</v>
      </c>
      <c r="C27">
        <v>2778659</v>
      </c>
      <c r="D27">
        <v>1515782.6</v>
      </c>
      <c r="E27">
        <v>4302570</v>
      </c>
      <c r="F27">
        <v>2778659</v>
      </c>
      <c r="G27">
        <f t="shared" ref="G27:G28" si="1">E27-F27</f>
        <v>1523911</v>
      </c>
      <c r="H27">
        <v>1515783</v>
      </c>
      <c r="I27">
        <f>E27-H27</f>
        <v>2786787</v>
      </c>
    </row>
    <row r="28" spans="2:9">
      <c r="B28" s="414" t="s">
        <v>327</v>
      </c>
      <c r="C28">
        <v>146899</v>
      </c>
      <c r="D28">
        <v>87839</v>
      </c>
      <c r="E28">
        <v>228574</v>
      </c>
      <c r="F28">
        <v>146899</v>
      </c>
      <c r="G28">
        <f t="shared" si="1"/>
        <v>81675</v>
      </c>
      <c r="H28">
        <v>87839</v>
      </c>
      <c r="I28">
        <f>E28-H28</f>
        <v>140735</v>
      </c>
    </row>
    <row r="29" spans="2:9">
      <c r="B29" s="414" t="s">
        <v>355</v>
      </c>
      <c r="C29">
        <v>127777.84</v>
      </c>
      <c r="D29">
        <v>93968.860000000015</v>
      </c>
      <c r="E29">
        <v>221747</v>
      </c>
      <c r="F29">
        <v>127777.84</v>
      </c>
      <c r="G29">
        <f>E29-H29</f>
        <v>140735</v>
      </c>
      <c r="H29">
        <v>81012</v>
      </c>
    </row>
    <row r="31" spans="2:9">
      <c r="G31">
        <f>G29-F29</f>
        <v>12957.160000000003</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sheetPr>
  <dimension ref="A1:V83"/>
  <sheetViews>
    <sheetView showGridLines="0" zoomScale="75" zoomScaleNormal="100" workbookViewId="0">
      <pane ySplit="2" topLeftCell="A57" activePane="bottomLeft" state="frozen"/>
      <selection activeCell="E22" sqref="E22"/>
      <selection pane="bottomLeft" activeCell="E11" sqref="E11:I11"/>
    </sheetView>
  </sheetViews>
  <sheetFormatPr defaultColWidth="11" defaultRowHeight="15"/>
  <cols>
    <col min="1" max="1" width="2.7109375" customWidth="1"/>
    <col min="2" max="2" width="21.42578125" customWidth="1"/>
    <col min="3" max="3" width="11.42578125" customWidth="1"/>
    <col min="4" max="4" width="22.57031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33.7109375" customWidth="1"/>
    <col min="13" max="13" width="49.42578125" customWidth="1"/>
    <col min="14" max="14" width="2.5703125" style="35"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743" t="str">
        <f>+"Панель показателей: "&amp;" "&amp;+IF('Ввод данных'!B4="Выберите","",'Ввод данных'!B4&amp;" - ")&amp;+IF('Ввод данных'!F6="Выберите","",'Ввод данных'!F6)</f>
        <v>Панель показателей:  Кыргызстан - ВИЧ/СПИД/ТБ</v>
      </c>
      <c r="C2" s="743"/>
      <c r="D2" s="743"/>
      <c r="E2" s="743"/>
      <c r="F2" s="743"/>
      <c r="G2" s="743"/>
      <c r="H2" s="743"/>
      <c r="I2" s="743"/>
      <c r="J2" s="743"/>
      <c r="K2" s="743"/>
      <c r="L2" s="743"/>
      <c r="M2" s="743"/>
    </row>
    <row r="3" spans="1:15" ht="15.75" customHeight="1">
      <c r="A3" s="3"/>
      <c r="B3" s="196"/>
      <c r="C3" s="196"/>
      <c r="D3" s="196"/>
      <c r="E3" s="196"/>
      <c r="F3" s="196"/>
      <c r="G3" s="196"/>
      <c r="H3" s="196"/>
      <c r="I3" s="196"/>
      <c r="J3" s="196"/>
      <c r="K3" s="197"/>
      <c r="L3" s="197"/>
      <c r="M3" s="3"/>
    </row>
    <row r="5" spans="1:15" ht="23.25">
      <c r="B5" s="744" t="s">
        <v>313</v>
      </c>
      <c r="C5" s="744"/>
      <c r="D5" s="744"/>
      <c r="E5" s="744"/>
      <c r="F5" s="744"/>
      <c r="G5" s="744"/>
      <c r="H5" s="744"/>
      <c r="I5" s="744"/>
      <c r="J5" s="744"/>
      <c r="K5" s="744"/>
      <c r="L5" s="744"/>
      <c r="M5" s="744"/>
      <c r="N5" s="744"/>
      <c r="O5" s="744"/>
    </row>
    <row r="7" spans="1:15" s="383" customFormat="1" ht="21">
      <c r="B7" s="745" t="s">
        <v>87</v>
      </c>
      <c r="C7" s="746"/>
      <c r="D7" s="747"/>
      <c r="E7" s="745" t="s">
        <v>88</v>
      </c>
      <c r="F7" s="746"/>
      <c r="G7" s="746"/>
      <c r="H7" s="746"/>
      <c r="I7" s="747"/>
      <c r="J7" s="745" t="s">
        <v>89</v>
      </c>
      <c r="K7" s="746"/>
      <c r="L7" s="747"/>
      <c r="M7" s="745" t="s">
        <v>9</v>
      </c>
      <c r="N7" s="746"/>
      <c r="O7" s="747"/>
    </row>
    <row r="8" spans="1:15" ht="117.75" customHeight="1">
      <c r="B8" s="704" t="str">
        <f>+'Ввод данных'!A27</f>
        <v>F1: Бюджет и выплаты Глобальным фондом</v>
      </c>
      <c r="C8" s="751"/>
      <c r="D8" s="752"/>
      <c r="E8" s="748" t="s">
        <v>419</v>
      </c>
      <c r="F8" s="749"/>
      <c r="G8" s="749"/>
      <c r="H8" s="749"/>
      <c r="I8" s="750"/>
      <c r="J8" s="731" t="s">
        <v>427</v>
      </c>
      <c r="K8" s="732"/>
      <c r="L8" s="733"/>
      <c r="M8" s="731" t="s">
        <v>12</v>
      </c>
      <c r="N8" s="732"/>
      <c r="O8" s="733"/>
    </row>
    <row r="9" spans="1:15" ht="117.75" customHeight="1">
      <c r="B9" s="710" t="str">
        <f>+'Ввод данных'!A36</f>
        <v>F2: Бюджет и фактические расходы согласно задачам гранта</v>
      </c>
      <c r="C9" s="734"/>
      <c r="D9" s="735"/>
      <c r="E9" s="698" t="s">
        <v>418</v>
      </c>
      <c r="F9" s="713"/>
      <c r="G9" s="713"/>
      <c r="H9" s="713"/>
      <c r="I9" s="714"/>
      <c r="J9" s="731" t="s">
        <v>426</v>
      </c>
      <c r="K9" s="732"/>
      <c r="L9" s="733"/>
      <c r="M9" s="731" t="s">
        <v>12</v>
      </c>
      <c r="N9" s="732"/>
      <c r="O9" s="733"/>
    </row>
    <row r="10" spans="1:15" ht="247.5" customHeight="1">
      <c r="B10" s="710" t="str">
        <f>+'Ввод данных'!A58</f>
        <v>F3: Выплаты и расходы</v>
      </c>
      <c r="C10" s="734"/>
      <c r="D10" s="735"/>
      <c r="E10" s="698" t="s">
        <v>417</v>
      </c>
      <c r="F10" s="713"/>
      <c r="G10" s="713"/>
      <c r="H10" s="713"/>
      <c r="I10" s="714"/>
      <c r="J10" s="731" t="s">
        <v>425</v>
      </c>
      <c r="K10" s="732"/>
      <c r="L10" s="733"/>
      <c r="M10" s="731" t="s">
        <v>5</v>
      </c>
      <c r="N10" s="732"/>
      <c r="O10" s="733"/>
    </row>
    <row r="11" spans="1:15" ht="252.75" customHeight="1">
      <c r="B11" s="710" t="str">
        <f>+'Ввод данных'!A67</f>
        <v>F4: Последний отчетный и платежный цикл ОР</v>
      </c>
      <c r="C11" s="711"/>
      <c r="D11" s="712"/>
      <c r="E11" s="698" t="s">
        <v>416</v>
      </c>
      <c r="F11" s="713"/>
      <c r="G11" s="713"/>
      <c r="H11" s="713"/>
      <c r="I11" s="714"/>
      <c r="J11" s="731" t="s">
        <v>358</v>
      </c>
      <c r="K11" s="732"/>
      <c r="L11" s="733"/>
      <c r="M11" s="731" t="s">
        <v>6</v>
      </c>
      <c r="N11" s="732"/>
      <c r="O11" s="733"/>
    </row>
    <row r="12" spans="1:15" s="19" customFormat="1">
      <c r="B12" s="738"/>
      <c r="C12" s="738"/>
      <c r="D12" s="738"/>
      <c r="E12" s="739"/>
      <c r="F12" s="739"/>
      <c r="G12" s="739"/>
      <c r="H12" s="739"/>
      <c r="I12" s="739"/>
      <c r="J12" s="739"/>
      <c r="K12" s="739"/>
      <c r="L12" s="739"/>
      <c r="M12" s="739"/>
      <c r="N12" s="739"/>
      <c r="O12" s="739"/>
    </row>
    <row r="13" spans="1:15" s="19" customFormat="1">
      <c r="B13" s="737"/>
      <c r="C13" s="737"/>
      <c r="D13" s="737"/>
      <c r="E13" s="736"/>
      <c r="F13" s="736"/>
      <c r="G13" s="736"/>
      <c r="H13" s="736"/>
      <c r="I13" s="736"/>
      <c r="J13" s="736"/>
      <c r="K13" s="736"/>
      <c r="L13" s="736"/>
      <c r="M13" s="736"/>
      <c r="N13" s="736"/>
      <c r="O13" s="736"/>
    </row>
    <row r="14" spans="1:15" s="19" customFormat="1">
      <c r="B14" s="737"/>
      <c r="C14" s="737"/>
      <c r="D14" s="737"/>
      <c r="E14" s="736"/>
      <c r="F14" s="736"/>
      <c r="G14" s="736"/>
      <c r="H14" s="736"/>
      <c r="I14" s="736"/>
      <c r="J14" s="736"/>
      <c r="K14" s="736"/>
      <c r="L14" s="736"/>
      <c r="M14" s="736"/>
      <c r="N14" s="736"/>
      <c r="O14" s="736"/>
    </row>
    <row r="15" spans="1:15" s="19" customFormat="1">
      <c r="B15" s="737"/>
      <c r="C15" s="737"/>
      <c r="D15" s="737"/>
      <c r="E15" s="736"/>
      <c r="F15" s="736"/>
      <c r="G15" s="736"/>
      <c r="H15" s="736"/>
      <c r="I15" s="736"/>
      <c r="J15" s="736"/>
      <c r="K15" s="736"/>
      <c r="L15" s="736"/>
      <c r="M15" s="736"/>
      <c r="N15" s="736"/>
      <c r="O15" s="736"/>
    </row>
    <row r="16" spans="1:15" ht="23.25">
      <c r="B16" s="744" t="s">
        <v>277</v>
      </c>
      <c r="C16" s="744"/>
      <c r="D16" s="744"/>
      <c r="E16" s="744"/>
      <c r="F16" s="744"/>
      <c r="G16" s="744"/>
      <c r="H16" s="744"/>
      <c r="I16" s="744"/>
      <c r="J16" s="744"/>
      <c r="K16" s="744"/>
      <c r="L16" s="744"/>
      <c r="M16" s="744"/>
      <c r="N16" s="744"/>
      <c r="O16" s="744"/>
    </row>
    <row r="18" spans="1:15" ht="21">
      <c r="B18" s="701" t="s">
        <v>87</v>
      </c>
      <c r="C18" s="702"/>
      <c r="D18" s="703"/>
      <c r="E18" s="701" t="s">
        <v>88</v>
      </c>
      <c r="F18" s="702"/>
      <c r="G18" s="702"/>
      <c r="H18" s="702"/>
      <c r="I18" s="703"/>
      <c r="J18" s="701" t="s">
        <v>89</v>
      </c>
      <c r="K18" s="702"/>
      <c r="L18" s="703"/>
      <c r="M18" s="701" t="s">
        <v>90</v>
      </c>
      <c r="N18" s="702"/>
      <c r="O18" s="703"/>
    </row>
    <row r="19" spans="1:15" ht="114" customHeight="1">
      <c r="B19" s="704" t="str">
        <f>+'Ввод данных'!A78</f>
        <v>M1: Статус Предварительных условий (ПУ) и Действий с установленным сроком исполнения (ДУС)</v>
      </c>
      <c r="C19" s="705"/>
      <c r="D19" s="706"/>
      <c r="E19" s="698" t="s">
        <v>2</v>
      </c>
      <c r="F19" s="699"/>
      <c r="G19" s="699"/>
      <c r="H19" s="699"/>
      <c r="I19" s="700"/>
      <c r="J19" s="707" t="s">
        <v>423</v>
      </c>
      <c r="K19" s="708"/>
      <c r="L19" s="709"/>
      <c r="M19" s="707" t="s">
        <v>424</v>
      </c>
      <c r="N19" s="708"/>
      <c r="O19" s="709"/>
    </row>
    <row r="20" spans="1:15" ht="102.75" customHeight="1">
      <c r="B20" s="710" t="str">
        <f>+'Ввод данных'!A87</f>
        <v>M2: Статус ключевых руководящих должностей в структуре ОР</v>
      </c>
      <c r="C20" s="711"/>
      <c r="D20" s="712"/>
      <c r="E20" s="698" t="s">
        <v>415</v>
      </c>
      <c r="F20" s="713"/>
      <c r="G20" s="713"/>
      <c r="H20" s="713"/>
      <c r="I20" s="714"/>
      <c r="J20" s="707" t="s">
        <v>422</v>
      </c>
      <c r="K20" s="708"/>
      <c r="L20" s="709"/>
      <c r="M20" s="707" t="s">
        <v>13</v>
      </c>
      <c r="N20" s="708"/>
      <c r="O20" s="709"/>
    </row>
    <row r="21" spans="1:15" ht="141.75" customHeight="1">
      <c r="B21" s="704" t="str">
        <f>+'Ввод данных'!A93</f>
        <v xml:space="preserve">M3: Контрактные соглашения (СР) </v>
      </c>
      <c r="C21" s="705"/>
      <c r="D21" s="706"/>
      <c r="E21" s="707" t="s">
        <v>411</v>
      </c>
      <c r="F21" s="713"/>
      <c r="G21" s="713"/>
      <c r="H21" s="713"/>
      <c r="I21" s="714"/>
      <c r="J21" s="774" t="s">
        <v>421</v>
      </c>
      <c r="K21" s="775"/>
      <c r="L21" s="776"/>
      <c r="M21" s="707" t="s">
        <v>15</v>
      </c>
      <c r="N21" s="708"/>
      <c r="O21" s="709"/>
    </row>
    <row r="22" spans="1:15" ht="96" customHeight="1">
      <c r="B22" s="704" t="str">
        <f>+'Ввод данных'!A99</f>
        <v>M4: Количество полных отчетов, полученных к установленному сроку</v>
      </c>
      <c r="C22" s="705"/>
      <c r="D22" s="706"/>
      <c r="E22" s="707" t="s">
        <v>409</v>
      </c>
      <c r="F22" s="708"/>
      <c r="G22" s="708"/>
      <c r="H22" s="708"/>
      <c r="I22" s="709"/>
      <c r="J22" s="707" t="s">
        <v>359</v>
      </c>
      <c r="K22" s="708"/>
      <c r="L22" s="709"/>
      <c r="M22" s="707" t="s">
        <v>14</v>
      </c>
      <c r="N22" s="708"/>
      <c r="O22" s="709"/>
    </row>
    <row r="23" spans="1:15" ht="187.5" customHeight="1">
      <c r="B23" s="721" t="str">
        <f>'Ввод данных'!A107</f>
        <v>M5: Бюджет и закупки товаров медицинского назначения, медицинского оборудования,  лекарственных средств и фармацевтических препаратов</v>
      </c>
      <c r="C23" s="722"/>
      <c r="D23" s="723"/>
      <c r="E23" s="753" t="s">
        <v>408</v>
      </c>
      <c r="F23" s="754"/>
      <c r="G23" s="754"/>
      <c r="H23" s="754"/>
      <c r="I23" s="755"/>
      <c r="J23" s="763" t="s">
        <v>10</v>
      </c>
      <c r="K23" s="764"/>
      <c r="L23" s="765"/>
      <c r="M23" s="763" t="s">
        <v>420</v>
      </c>
      <c r="N23" s="764"/>
      <c r="O23" s="765"/>
    </row>
    <row r="24" spans="1:15" ht="72.75" customHeight="1">
      <c r="B24" s="724"/>
      <c r="C24" s="725"/>
      <c r="D24" s="726"/>
      <c r="E24" s="718" t="s">
        <v>404</v>
      </c>
      <c r="F24" s="719"/>
      <c r="G24" s="719"/>
      <c r="H24" s="719"/>
      <c r="I24" s="720"/>
      <c r="J24" s="766"/>
      <c r="K24" s="767"/>
      <c r="L24" s="768"/>
      <c r="M24" s="766"/>
      <c r="N24" s="767"/>
      <c r="O24" s="768"/>
    </row>
    <row r="25" spans="1:15" ht="282.75" customHeight="1">
      <c r="B25" s="704" t="str">
        <f>+'Ввод данных'!A120</f>
        <v>M6: Разница между текущим и резервным запасами</v>
      </c>
      <c r="C25" s="705"/>
      <c r="D25" s="706"/>
      <c r="E25" s="715" t="s">
        <v>402</v>
      </c>
      <c r="F25" s="716"/>
      <c r="G25" s="716"/>
      <c r="H25" s="716"/>
      <c r="I25" s="717"/>
      <c r="J25" s="715" t="s">
        <v>11</v>
      </c>
      <c r="K25" s="772"/>
      <c r="L25" s="773"/>
      <c r="M25" s="769" t="s">
        <v>8</v>
      </c>
      <c r="N25" s="770"/>
      <c r="O25" s="771"/>
    </row>
    <row r="29" spans="1:15" ht="18.75">
      <c r="B29" s="226"/>
    </row>
    <row r="30" spans="1:15" ht="23.25">
      <c r="B30" s="744" t="s">
        <v>378</v>
      </c>
      <c r="C30" s="744"/>
      <c r="D30" s="744"/>
      <c r="E30" s="744"/>
      <c r="F30" s="744"/>
      <c r="G30" s="744"/>
      <c r="H30" s="744"/>
      <c r="I30" s="744"/>
      <c r="J30" s="744"/>
      <c r="K30" s="744"/>
      <c r="L30" s="744"/>
      <c r="M30" s="744"/>
      <c r="N30" s="744"/>
      <c r="O30" s="744"/>
    </row>
    <row r="32" spans="1:15" ht="28.5" customHeight="1">
      <c r="A32" s="223"/>
      <c r="B32" s="756" t="s">
        <v>555</v>
      </c>
      <c r="C32" s="757"/>
      <c r="D32" s="758"/>
      <c r="E32" s="759" t="s">
        <v>672</v>
      </c>
      <c r="F32" s="760"/>
      <c r="G32" s="760"/>
      <c r="H32" s="760"/>
      <c r="I32" s="761"/>
      <c r="J32" s="762" t="s">
        <v>89</v>
      </c>
      <c r="K32" s="760"/>
      <c r="L32" s="761"/>
      <c r="M32" s="762" t="s">
        <v>9</v>
      </c>
      <c r="N32" s="760"/>
      <c r="O32" s="761"/>
    </row>
    <row r="33" spans="1:15" ht="61.5" customHeight="1">
      <c r="A33" s="224"/>
      <c r="B33" s="690" t="s">
        <v>489</v>
      </c>
      <c r="C33" s="691"/>
      <c r="D33" s="692"/>
      <c r="E33" s="677" t="s">
        <v>490</v>
      </c>
      <c r="F33" s="688"/>
      <c r="G33" s="688"/>
      <c r="H33" s="688"/>
      <c r="I33" s="689"/>
      <c r="J33" s="663" t="s">
        <v>491</v>
      </c>
      <c r="K33" s="664"/>
      <c r="L33" s="665"/>
      <c r="M33" s="663" t="s">
        <v>492</v>
      </c>
      <c r="N33" s="664"/>
      <c r="O33" s="665"/>
    </row>
    <row r="34" spans="1:15" ht="61.5" customHeight="1">
      <c r="A34" s="224"/>
      <c r="B34" s="690" t="s">
        <v>493</v>
      </c>
      <c r="C34" s="691"/>
      <c r="D34" s="692"/>
      <c r="E34" s="677" t="s">
        <v>494</v>
      </c>
      <c r="F34" s="688"/>
      <c r="G34" s="688"/>
      <c r="H34" s="688"/>
      <c r="I34" s="689"/>
      <c r="J34" s="663" t="s">
        <v>495</v>
      </c>
      <c r="K34" s="664"/>
      <c r="L34" s="665"/>
      <c r="M34" s="663" t="s">
        <v>496</v>
      </c>
      <c r="N34" s="664"/>
      <c r="O34" s="665"/>
    </row>
    <row r="35" spans="1:15" ht="102.75" customHeight="1">
      <c r="A35" s="224"/>
      <c r="B35" s="690" t="s">
        <v>497</v>
      </c>
      <c r="C35" s="691"/>
      <c r="D35" s="692"/>
      <c r="E35" s="677" t="s">
        <v>655</v>
      </c>
      <c r="F35" s="688"/>
      <c r="G35" s="688"/>
      <c r="H35" s="688"/>
      <c r="I35" s="689"/>
      <c r="J35" s="663" t="s">
        <v>498</v>
      </c>
      <c r="K35" s="664"/>
      <c r="L35" s="665"/>
      <c r="M35" s="663" t="s">
        <v>496</v>
      </c>
      <c r="N35" s="664"/>
      <c r="O35" s="665"/>
    </row>
    <row r="36" spans="1:15" ht="141" customHeight="1">
      <c r="A36" s="224"/>
      <c r="B36" s="690" t="s">
        <v>499</v>
      </c>
      <c r="C36" s="691"/>
      <c r="D36" s="692"/>
      <c r="E36" s="677" t="s">
        <v>500</v>
      </c>
      <c r="F36" s="688"/>
      <c r="G36" s="688"/>
      <c r="H36" s="688"/>
      <c r="I36" s="689"/>
      <c r="J36" s="663" t="s">
        <v>501</v>
      </c>
      <c r="K36" s="664"/>
      <c r="L36" s="665"/>
      <c r="M36" s="663" t="s">
        <v>496</v>
      </c>
      <c r="N36" s="664"/>
      <c r="O36" s="665"/>
    </row>
    <row r="37" spans="1:15" ht="88.5" customHeight="1">
      <c r="A37" s="224"/>
      <c r="B37" s="690" t="s">
        <v>502</v>
      </c>
      <c r="C37" s="691"/>
      <c r="D37" s="692"/>
      <c r="E37" s="677" t="s">
        <v>503</v>
      </c>
      <c r="F37" s="688"/>
      <c r="G37" s="688"/>
      <c r="H37" s="688"/>
      <c r="I37" s="689"/>
      <c r="J37" s="663" t="s">
        <v>504</v>
      </c>
      <c r="K37" s="664"/>
      <c r="L37" s="665"/>
      <c r="M37" s="663" t="s">
        <v>496</v>
      </c>
      <c r="N37" s="664"/>
      <c r="O37" s="665"/>
    </row>
    <row r="38" spans="1:15" ht="74.25" customHeight="1">
      <c r="A38" s="224"/>
      <c r="B38" s="690" t="s">
        <v>505</v>
      </c>
      <c r="C38" s="691"/>
      <c r="D38" s="692"/>
      <c r="E38" s="663" t="s">
        <v>506</v>
      </c>
      <c r="F38" s="664"/>
      <c r="G38" s="664"/>
      <c r="H38" s="664"/>
      <c r="I38" s="665"/>
      <c r="J38" s="663" t="s">
        <v>507</v>
      </c>
      <c r="K38" s="664"/>
      <c r="L38" s="665"/>
      <c r="M38" s="663" t="s">
        <v>496</v>
      </c>
      <c r="N38" s="664"/>
      <c r="O38" s="665"/>
    </row>
    <row r="39" spans="1:15" ht="99.75" customHeight="1">
      <c r="A39" s="224"/>
      <c r="B39" s="690" t="s">
        <v>508</v>
      </c>
      <c r="C39" s="691"/>
      <c r="D39" s="692"/>
      <c r="E39" s="677" t="s">
        <v>509</v>
      </c>
      <c r="F39" s="696"/>
      <c r="G39" s="696"/>
      <c r="H39" s="696"/>
      <c r="I39" s="697"/>
      <c r="J39" s="663" t="s">
        <v>510</v>
      </c>
      <c r="K39" s="664"/>
      <c r="L39" s="665"/>
      <c r="M39" s="663" t="s">
        <v>496</v>
      </c>
      <c r="N39" s="664"/>
      <c r="O39" s="665"/>
    </row>
    <row r="40" spans="1:15" ht="85.5" customHeight="1">
      <c r="A40" s="224"/>
      <c r="B40" s="690" t="s">
        <v>511</v>
      </c>
      <c r="C40" s="691"/>
      <c r="D40" s="692"/>
      <c r="E40" s="677" t="s">
        <v>512</v>
      </c>
      <c r="F40" s="696"/>
      <c r="G40" s="696"/>
      <c r="H40" s="696"/>
      <c r="I40" s="697"/>
      <c r="J40" s="663" t="s">
        <v>513</v>
      </c>
      <c r="K40" s="664"/>
      <c r="L40" s="665"/>
      <c r="M40" s="663" t="s">
        <v>514</v>
      </c>
      <c r="N40" s="664"/>
      <c r="O40" s="665"/>
    </row>
    <row r="41" spans="1:15" ht="94.5" customHeight="1">
      <c r="A41" s="224"/>
      <c r="B41" s="690" t="s">
        <v>515</v>
      </c>
      <c r="C41" s="691"/>
      <c r="D41" s="692"/>
      <c r="E41" s="777" t="s">
        <v>516</v>
      </c>
      <c r="F41" s="778"/>
      <c r="G41" s="778"/>
      <c r="H41" s="778"/>
      <c r="I41" s="779"/>
      <c r="J41" s="663" t="s">
        <v>517</v>
      </c>
      <c r="K41" s="664"/>
      <c r="L41" s="665"/>
      <c r="M41" s="663" t="s">
        <v>518</v>
      </c>
      <c r="N41" s="664"/>
      <c r="O41" s="665"/>
    </row>
    <row r="42" spans="1:15" ht="103.5" customHeight="1">
      <c r="A42" s="224"/>
      <c r="B42" s="690" t="s">
        <v>519</v>
      </c>
      <c r="C42" s="691"/>
      <c r="D42" s="692"/>
      <c r="E42" s="677" t="s">
        <v>520</v>
      </c>
      <c r="F42" s="696"/>
      <c r="G42" s="696"/>
      <c r="H42" s="696"/>
      <c r="I42" s="697"/>
      <c r="J42" s="663" t="s">
        <v>521</v>
      </c>
      <c r="K42" s="664"/>
      <c r="L42" s="665"/>
      <c r="M42" s="663" t="s">
        <v>496</v>
      </c>
      <c r="N42" s="664"/>
      <c r="O42" s="665"/>
    </row>
    <row r="43" spans="1:15" ht="101.25" customHeight="1">
      <c r="A43" s="224"/>
      <c r="B43" s="690" t="s">
        <v>522</v>
      </c>
      <c r="C43" s="691"/>
      <c r="D43" s="692"/>
      <c r="E43" s="663" t="s">
        <v>523</v>
      </c>
      <c r="F43" s="664"/>
      <c r="G43" s="664"/>
      <c r="H43" s="664"/>
      <c r="I43" s="665"/>
      <c r="J43" s="663" t="s">
        <v>524</v>
      </c>
      <c r="K43" s="664"/>
      <c r="L43" s="665"/>
      <c r="M43" s="663" t="s">
        <v>496</v>
      </c>
      <c r="N43" s="664"/>
      <c r="O43" s="665"/>
    </row>
    <row r="44" spans="1:15" ht="94.5" customHeight="1">
      <c r="A44" s="224"/>
      <c r="B44" s="690" t="s">
        <v>525</v>
      </c>
      <c r="C44" s="691"/>
      <c r="D44" s="692"/>
      <c r="E44" s="677" t="s">
        <v>526</v>
      </c>
      <c r="F44" s="696"/>
      <c r="G44" s="696"/>
      <c r="H44" s="696"/>
      <c r="I44" s="697"/>
      <c r="J44" s="663" t="s">
        <v>527</v>
      </c>
      <c r="K44" s="664"/>
      <c r="L44" s="665"/>
      <c r="M44" s="663" t="s">
        <v>496</v>
      </c>
      <c r="N44" s="664"/>
      <c r="O44" s="665"/>
    </row>
    <row r="45" spans="1:15" ht="61.5" customHeight="1">
      <c r="A45" s="224"/>
      <c r="B45" s="690" t="s">
        <v>528</v>
      </c>
      <c r="C45" s="691"/>
      <c r="D45" s="692"/>
      <c r="E45" s="677" t="s">
        <v>529</v>
      </c>
      <c r="F45" s="688"/>
      <c r="G45" s="688"/>
      <c r="H45" s="688"/>
      <c r="I45" s="689"/>
      <c r="J45" s="663" t="s">
        <v>530</v>
      </c>
      <c r="K45" s="664"/>
      <c r="L45" s="665"/>
      <c r="M45" s="663" t="s">
        <v>531</v>
      </c>
      <c r="N45" s="664"/>
      <c r="O45" s="665"/>
    </row>
    <row r="46" spans="1:15" ht="84.75" customHeight="1">
      <c r="A46" s="224"/>
      <c r="B46" s="690" t="s">
        <v>532</v>
      </c>
      <c r="C46" s="691"/>
      <c r="D46" s="692"/>
      <c r="E46" s="677" t="s">
        <v>533</v>
      </c>
      <c r="F46" s="688"/>
      <c r="G46" s="688"/>
      <c r="H46" s="688"/>
      <c r="I46" s="689"/>
      <c r="J46" s="663" t="s">
        <v>534</v>
      </c>
      <c r="K46" s="664"/>
      <c r="L46" s="665"/>
      <c r="M46" s="663" t="s">
        <v>535</v>
      </c>
      <c r="N46" s="664"/>
      <c r="O46" s="665"/>
    </row>
    <row r="47" spans="1:15" ht="139.5" customHeight="1">
      <c r="A47" s="224"/>
      <c r="B47" s="690" t="s">
        <v>536</v>
      </c>
      <c r="C47" s="691"/>
      <c r="D47" s="692"/>
      <c r="E47" s="663" t="s">
        <v>537</v>
      </c>
      <c r="F47" s="664"/>
      <c r="G47" s="664"/>
      <c r="H47" s="664"/>
      <c r="I47" s="665"/>
      <c r="J47" s="663" t="s">
        <v>538</v>
      </c>
      <c r="K47" s="664"/>
      <c r="L47" s="665"/>
      <c r="M47" s="663" t="s">
        <v>535</v>
      </c>
      <c r="N47" s="664"/>
      <c r="O47" s="665"/>
    </row>
    <row r="48" spans="1:15" ht="94.5" customHeight="1">
      <c r="A48" s="224"/>
      <c r="B48" s="690" t="s">
        <v>539</v>
      </c>
      <c r="C48" s="691"/>
      <c r="D48" s="692"/>
      <c r="E48" s="663" t="s">
        <v>540</v>
      </c>
      <c r="F48" s="664"/>
      <c r="G48" s="664"/>
      <c r="H48" s="664"/>
      <c r="I48" s="665"/>
      <c r="J48" s="663" t="s">
        <v>541</v>
      </c>
      <c r="K48" s="664"/>
      <c r="L48" s="665"/>
      <c r="M48" s="599" t="s">
        <v>542</v>
      </c>
      <c r="N48" s="600"/>
      <c r="O48" s="601"/>
    </row>
    <row r="49" spans="1:15" ht="138.75" customHeight="1">
      <c r="A49" s="224"/>
      <c r="B49" s="690" t="s">
        <v>543</v>
      </c>
      <c r="C49" s="691"/>
      <c r="D49" s="692"/>
      <c r="E49" s="663" t="s">
        <v>544</v>
      </c>
      <c r="F49" s="664"/>
      <c r="G49" s="664"/>
      <c r="H49" s="664"/>
      <c r="I49" s="665"/>
      <c r="J49" s="663" t="s">
        <v>545</v>
      </c>
      <c r="K49" s="664"/>
      <c r="L49" s="665"/>
      <c r="M49" s="663" t="s">
        <v>542</v>
      </c>
      <c r="N49" s="664"/>
      <c r="O49" s="665"/>
    </row>
    <row r="50" spans="1:15" ht="61.5" customHeight="1">
      <c r="A50" s="224"/>
      <c r="B50" s="690" t="s">
        <v>546</v>
      </c>
      <c r="C50" s="691"/>
      <c r="D50" s="692"/>
      <c r="E50" s="677" t="s">
        <v>547</v>
      </c>
      <c r="F50" s="688"/>
      <c r="G50" s="688"/>
      <c r="H50" s="688"/>
      <c r="I50" s="689"/>
      <c r="J50" s="663" t="s">
        <v>548</v>
      </c>
      <c r="K50" s="664"/>
      <c r="L50" s="665"/>
      <c r="M50" s="663" t="s">
        <v>549</v>
      </c>
      <c r="N50" s="664"/>
      <c r="O50" s="665"/>
    </row>
    <row r="51" spans="1:15" ht="61.5" customHeight="1">
      <c r="A51" s="224"/>
      <c r="B51" s="690" t="s">
        <v>550</v>
      </c>
      <c r="C51" s="691"/>
      <c r="D51" s="692"/>
      <c r="E51" s="663" t="s">
        <v>551</v>
      </c>
      <c r="F51" s="664"/>
      <c r="G51" s="664"/>
      <c r="H51" s="664"/>
      <c r="I51" s="665"/>
      <c r="J51" s="663" t="s">
        <v>552</v>
      </c>
      <c r="K51" s="664"/>
      <c r="L51" s="665"/>
      <c r="M51" s="663" t="s">
        <v>553</v>
      </c>
      <c r="N51" s="664"/>
      <c r="O51" s="665"/>
    </row>
    <row r="52" spans="1:15" ht="61.5" customHeight="1">
      <c r="A52" s="224"/>
      <c r="B52" s="756" t="s">
        <v>554</v>
      </c>
      <c r="C52" s="757"/>
      <c r="D52" s="758"/>
      <c r="E52" s="759" t="s">
        <v>672</v>
      </c>
      <c r="F52" s="760"/>
      <c r="G52" s="760"/>
      <c r="H52" s="760"/>
      <c r="I52" s="761"/>
      <c r="J52" s="762" t="s">
        <v>89</v>
      </c>
      <c r="K52" s="760"/>
      <c r="L52" s="761"/>
      <c r="M52" s="762" t="s">
        <v>9</v>
      </c>
      <c r="N52" s="760"/>
      <c r="O52" s="761"/>
    </row>
    <row r="53" spans="1:15" ht="65.25" customHeight="1">
      <c r="A53" s="224"/>
      <c r="B53" s="693" t="s">
        <v>440</v>
      </c>
      <c r="C53" s="694"/>
      <c r="D53" s="695"/>
      <c r="E53" s="677" t="s">
        <v>458</v>
      </c>
      <c r="F53" s="688"/>
      <c r="G53" s="688"/>
      <c r="H53" s="688"/>
      <c r="I53" s="689"/>
      <c r="J53" s="663" t="s">
        <v>437</v>
      </c>
      <c r="K53" s="664"/>
      <c r="L53" s="665"/>
      <c r="M53" s="663" t="s">
        <v>436</v>
      </c>
      <c r="N53" s="664"/>
      <c r="O53" s="665"/>
    </row>
    <row r="54" spans="1:15" ht="99.75" customHeight="1">
      <c r="A54" s="224"/>
      <c r="B54" s="693" t="s">
        <v>459</v>
      </c>
      <c r="C54" s="694"/>
      <c r="D54" s="695"/>
      <c r="E54" s="677" t="s">
        <v>439</v>
      </c>
      <c r="F54" s="688"/>
      <c r="G54" s="688"/>
      <c r="H54" s="688"/>
      <c r="I54" s="689"/>
      <c r="J54" s="663" t="s">
        <v>437</v>
      </c>
      <c r="K54" s="664"/>
      <c r="L54" s="665"/>
      <c r="M54" s="663" t="s">
        <v>438</v>
      </c>
      <c r="N54" s="664"/>
      <c r="O54" s="665"/>
    </row>
    <row r="55" spans="1:15" ht="81.75" customHeight="1">
      <c r="A55" s="224"/>
      <c r="B55" s="693" t="s">
        <v>460</v>
      </c>
      <c r="C55" s="694"/>
      <c r="D55" s="695"/>
      <c r="E55" s="663" t="s">
        <v>628</v>
      </c>
      <c r="F55" s="664"/>
      <c r="G55" s="664"/>
      <c r="H55" s="664"/>
      <c r="I55" s="665"/>
      <c r="J55" s="663" t="s">
        <v>437</v>
      </c>
      <c r="K55" s="664"/>
      <c r="L55" s="665"/>
      <c r="M55" s="663" t="s">
        <v>629</v>
      </c>
      <c r="N55" s="664"/>
      <c r="O55" s="665"/>
    </row>
    <row r="56" spans="1:15" ht="66.75" customHeight="1">
      <c r="A56" s="224"/>
      <c r="B56" s="693" t="s">
        <v>462</v>
      </c>
      <c r="C56" s="694"/>
      <c r="D56" s="695"/>
      <c r="E56" s="663" t="s">
        <v>631</v>
      </c>
      <c r="F56" s="727"/>
      <c r="G56" s="727"/>
      <c r="H56" s="727"/>
      <c r="I56" s="728"/>
      <c r="J56" s="663" t="s">
        <v>632</v>
      </c>
      <c r="K56" s="664"/>
      <c r="L56" s="665"/>
      <c r="M56" s="663" t="s">
        <v>630</v>
      </c>
      <c r="N56" s="664"/>
      <c r="O56" s="665"/>
    </row>
    <row r="57" spans="1:15" ht="78" customHeight="1">
      <c r="A57" s="224"/>
      <c r="B57" s="693" t="s">
        <v>463</v>
      </c>
      <c r="C57" s="694"/>
      <c r="D57" s="695"/>
      <c r="E57" s="677" t="s">
        <v>634</v>
      </c>
      <c r="F57" s="688"/>
      <c r="G57" s="688"/>
      <c r="H57" s="688"/>
      <c r="I57" s="689"/>
      <c r="J57" s="663" t="s">
        <v>632</v>
      </c>
      <c r="K57" s="664"/>
      <c r="L57" s="665"/>
      <c r="M57" s="663" t="s">
        <v>633</v>
      </c>
      <c r="N57" s="664"/>
      <c r="O57" s="665"/>
    </row>
    <row r="58" spans="1:15" ht="133.5" customHeight="1">
      <c r="A58" s="224"/>
      <c r="B58" s="669" t="s">
        <v>465</v>
      </c>
      <c r="C58" s="670"/>
      <c r="D58" s="671"/>
      <c r="E58" s="663" t="s">
        <v>636</v>
      </c>
      <c r="F58" s="664"/>
      <c r="G58" s="664"/>
      <c r="H58" s="664"/>
      <c r="I58" s="665"/>
      <c r="J58" s="663" t="s">
        <v>635</v>
      </c>
      <c r="K58" s="664"/>
      <c r="L58" s="665"/>
      <c r="M58" s="663" t="s">
        <v>637</v>
      </c>
      <c r="N58" s="664"/>
      <c r="O58" s="665"/>
    </row>
    <row r="59" spans="1:15" ht="2.25" hidden="1" customHeight="1">
      <c r="A59" s="224"/>
      <c r="B59" s="672"/>
      <c r="C59" s="683"/>
      <c r="D59" s="684"/>
      <c r="E59" s="685"/>
      <c r="F59" s="686"/>
      <c r="G59" s="686"/>
      <c r="H59" s="686"/>
      <c r="I59" s="687"/>
      <c r="J59" s="663"/>
      <c r="K59" s="664"/>
      <c r="L59" s="665"/>
      <c r="M59" s="663"/>
      <c r="N59" s="664"/>
      <c r="O59" s="665"/>
    </row>
    <row r="60" spans="1:15" ht="3.75" customHeight="1">
      <c r="A60" s="224"/>
      <c r="B60" s="672"/>
      <c r="C60" s="683"/>
      <c r="D60" s="684"/>
      <c r="E60" s="677"/>
      <c r="F60" s="688"/>
      <c r="G60" s="688"/>
      <c r="H60" s="688"/>
      <c r="I60" s="689"/>
      <c r="J60" s="663"/>
      <c r="K60" s="664"/>
      <c r="L60" s="665"/>
      <c r="M60" s="663"/>
      <c r="N60" s="664"/>
      <c r="O60" s="665"/>
    </row>
    <row r="61" spans="1:15" ht="14.25" customHeight="1">
      <c r="A61" s="224"/>
      <c r="B61" s="672"/>
      <c r="C61" s="673"/>
      <c r="D61" s="674"/>
      <c r="E61" s="677"/>
      <c r="F61" s="678"/>
      <c r="G61" s="678"/>
      <c r="H61" s="678"/>
      <c r="I61" s="679"/>
      <c r="J61" s="663"/>
      <c r="K61" s="675"/>
      <c r="L61" s="676"/>
      <c r="M61" s="450"/>
      <c r="N61" s="451"/>
      <c r="O61" s="452"/>
    </row>
    <row r="62" spans="1:15" ht="119.25" hidden="1" customHeight="1">
      <c r="A62" s="224"/>
      <c r="B62" s="672"/>
      <c r="C62" s="673"/>
      <c r="D62" s="674"/>
      <c r="E62" s="740"/>
      <c r="F62" s="741"/>
      <c r="G62" s="741"/>
      <c r="H62" s="741"/>
      <c r="I62" s="742"/>
      <c r="J62" s="663"/>
      <c r="K62" s="675"/>
      <c r="L62" s="676"/>
      <c r="M62" s="663"/>
      <c r="N62" s="675"/>
      <c r="O62" s="676"/>
    </row>
    <row r="63" spans="1:15" ht="88.5" hidden="1" customHeight="1">
      <c r="A63" s="224"/>
      <c r="B63" s="672"/>
      <c r="C63" s="673"/>
      <c r="D63" s="674"/>
      <c r="E63" s="677"/>
      <c r="F63" s="729"/>
      <c r="G63" s="729"/>
      <c r="H63" s="729"/>
      <c r="I63" s="730"/>
      <c r="J63" s="663"/>
      <c r="K63" s="675"/>
      <c r="L63" s="676"/>
      <c r="M63" s="450"/>
      <c r="N63" s="451"/>
      <c r="O63" s="452"/>
    </row>
    <row r="64" spans="1:15" ht="30" customHeight="1">
      <c r="B64" s="666" t="s">
        <v>400</v>
      </c>
      <c r="C64" s="667"/>
      <c r="D64" s="668"/>
      <c r="E64" s="660" t="s">
        <v>88</v>
      </c>
      <c r="F64" s="661"/>
      <c r="G64" s="661"/>
      <c r="H64" s="661"/>
      <c r="I64" s="662"/>
      <c r="J64" s="660" t="s">
        <v>89</v>
      </c>
      <c r="K64" s="661"/>
      <c r="L64" s="662"/>
      <c r="M64" s="660" t="s">
        <v>9</v>
      </c>
      <c r="N64" s="661"/>
      <c r="O64" s="662"/>
    </row>
    <row r="65" spans="2:15" ht="33.75" customHeight="1">
      <c r="B65" s="218"/>
      <c r="C65" s="219"/>
      <c r="D65" s="219"/>
      <c r="E65" s="212"/>
      <c r="F65" s="214"/>
      <c r="G65" s="214"/>
      <c r="H65" s="214"/>
      <c r="I65" s="214"/>
      <c r="J65" s="212"/>
      <c r="K65" s="212"/>
      <c r="L65" s="213"/>
      <c r="M65" s="211"/>
      <c r="N65" s="212"/>
      <c r="O65" s="213"/>
    </row>
    <row r="66" spans="2:15" ht="15.75" customHeight="1">
      <c r="B66" s="680" t="s">
        <v>399</v>
      </c>
      <c r="C66" s="681"/>
      <c r="D66" s="681"/>
      <c r="E66" s="681"/>
      <c r="F66" s="681"/>
      <c r="G66" s="681"/>
      <c r="H66" s="681"/>
      <c r="I66" s="681"/>
      <c r="J66" s="681"/>
      <c r="K66" s="681"/>
      <c r="L66" s="682"/>
      <c r="M66" s="657" t="s">
        <v>401</v>
      </c>
      <c r="N66" s="658"/>
      <c r="O66" s="659"/>
    </row>
    <row r="67" spans="2:15">
      <c r="D67" s="198"/>
    </row>
    <row r="69" spans="2:15">
      <c r="D69" s="198"/>
    </row>
    <row r="70" spans="2:15">
      <c r="D70" s="198"/>
    </row>
    <row r="83" spans="1:1">
      <c r="A83" s="201"/>
    </row>
  </sheetData>
  <mergeCells count="200">
    <mergeCell ref="M51:O51"/>
    <mergeCell ref="B52:D52"/>
    <mergeCell ref="E52:I52"/>
    <mergeCell ref="J52:L52"/>
    <mergeCell ref="M52:O52"/>
    <mergeCell ref="B48:D48"/>
    <mergeCell ref="E48:I48"/>
    <mergeCell ref="J48:L48"/>
    <mergeCell ref="B49:D49"/>
    <mergeCell ref="E49:I49"/>
    <mergeCell ref="J49:L49"/>
    <mergeCell ref="M49:O49"/>
    <mergeCell ref="B50:D50"/>
    <mergeCell ref="E50:I50"/>
    <mergeCell ref="J50:L50"/>
    <mergeCell ref="M50:O50"/>
    <mergeCell ref="M45:O45"/>
    <mergeCell ref="B46:D46"/>
    <mergeCell ref="E46:I46"/>
    <mergeCell ref="J46:L46"/>
    <mergeCell ref="M46:O46"/>
    <mergeCell ref="B47:D47"/>
    <mergeCell ref="E47:I47"/>
    <mergeCell ref="J47:L47"/>
    <mergeCell ref="M47:O47"/>
    <mergeCell ref="M42:O42"/>
    <mergeCell ref="B43:D43"/>
    <mergeCell ref="E43:I43"/>
    <mergeCell ref="J43:L43"/>
    <mergeCell ref="M43:O43"/>
    <mergeCell ref="B44:D44"/>
    <mergeCell ref="E44:I44"/>
    <mergeCell ref="J44:L44"/>
    <mergeCell ref="M44:O44"/>
    <mergeCell ref="M39:O39"/>
    <mergeCell ref="B40:D40"/>
    <mergeCell ref="E40:I40"/>
    <mergeCell ref="J40:L40"/>
    <mergeCell ref="M40:O40"/>
    <mergeCell ref="B41:D41"/>
    <mergeCell ref="E41:I41"/>
    <mergeCell ref="J41:L41"/>
    <mergeCell ref="M41:O41"/>
    <mergeCell ref="M53:O53"/>
    <mergeCell ref="B34:D34"/>
    <mergeCell ref="E34:I34"/>
    <mergeCell ref="J34:L34"/>
    <mergeCell ref="M34:O34"/>
    <mergeCell ref="B35:D35"/>
    <mergeCell ref="E35:I35"/>
    <mergeCell ref="J35:L35"/>
    <mergeCell ref="M35:O35"/>
    <mergeCell ref="B36:D36"/>
    <mergeCell ref="E36:I36"/>
    <mergeCell ref="J36:L36"/>
    <mergeCell ref="M36:O36"/>
    <mergeCell ref="B37:D37"/>
    <mergeCell ref="E37:I37"/>
    <mergeCell ref="J37:L37"/>
    <mergeCell ref="M37:O37"/>
    <mergeCell ref="B38:D38"/>
    <mergeCell ref="E38:I38"/>
    <mergeCell ref="J38:L38"/>
    <mergeCell ref="M38:O38"/>
    <mergeCell ref="B39:D39"/>
    <mergeCell ref="E39:I39"/>
    <mergeCell ref="J39:L39"/>
    <mergeCell ref="M18:O18"/>
    <mergeCell ref="M14:O14"/>
    <mergeCell ref="J18:L18"/>
    <mergeCell ref="B16:O16"/>
    <mergeCell ref="J13:L13"/>
    <mergeCell ref="J33:L33"/>
    <mergeCell ref="M19:O19"/>
    <mergeCell ref="J23:L24"/>
    <mergeCell ref="J20:L20"/>
    <mergeCell ref="M20:O20"/>
    <mergeCell ref="M25:O25"/>
    <mergeCell ref="J25:L25"/>
    <mergeCell ref="J21:L21"/>
    <mergeCell ref="E18:I18"/>
    <mergeCell ref="J15:L15"/>
    <mergeCell ref="E13:I13"/>
    <mergeCell ref="B14:D14"/>
    <mergeCell ref="E14:I14"/>
    <mergeCell ref="M23:O24"/>
    <mergeCell ref="B25:D25"/>
    <mergeCell ref="M21:O21"/>
    <mergeCell ref="M22:O22"/>
    <mergeCell ref="B21:D21"/>
    <mergeCell ref="E21:I21"/>
    <mergeCell ref="M15:O15"/>
    <mergeCell ref="M13:O13"/>
    <mergeCell ref="J14:L14"/>
    <mergeCell ref="M54:O54"/>
    <mergeCell ref="B2:M2"/>
    <mergeCell ref="B5:O5"/>
    <mergeCell ref="M8:O8"/>
    <mergeCell ref="J8:L8"/>
    <mergeCell ref="E7:I7"/>
    <mergeCell ref="B7:D7"/>
    <mergeCell ref="E8:I8"/>
    <mergeCell ref="J7:L7"/>
    <mergeCell ref="M7:O7"/>
    <mergeCell ref="B8:D8"/>
    <mergeCell ref="E23:I23"/>
    <mergeCell ref="E22:I22"/>
    <mergeCell ref="M33:O33"/>
    <mergeCell ref="B30:O30"/>
    <mergeCell ref="B32:D32"/>
    <mergeCell ref="E32:I32"/>
    <mergeCell ref="J32:L32"/>
    <mergeCell ref="M32:O32"/>
    <mergeCell ref="E33:I33"/>
    <mergeCell ref="E54:I54"/>
    <mergeCell ref="B11:D11"/>
    <mergeCell ref="E11:I11"/>
    <mergeCell ref="J58:L58"/>
    <mergeCell ref="B54:D54"/>
    <mergeCell ref="E63:I63"/>
    <mergeCell ref="M9:O9"/>
    <mergeCell ref="B9:D9"/>
    <mergeCell ref="E9:I9"/>
    <mergeCell ref="J9:L9"/>
    <mergeCell ref="J10:L10"/>
    <mergeCell ref="E10:I10"/>
    <mergeCell ref="M10:O10"/>
    <mergeCell ref="B10:D10"/>
    <mergeCell ref="E15:I15"/>
    <mergeCell ref="B15:D15"/>
    <mergeCell ref="B13:D13"/>
    <mergeCell ref="B12:D12"/>
    <mergeCell ref="J11:L11"/>
    <mergeCell ref="M11:O11"/>
    <mergeCell ref="J12:L12"/>
    <mergeCell ref="M12:O12"/>
    <mergeCell ref="E12:I12"/>
    <mergeCell ref="M62:O62"/>
    <mergeCell ref="E62:I62"/>
    <mergeCell ref="J55:L55"/>
    <mergeCell ref="B57:D57"/>
    <mergeCell ref="J56:L56"/>
    <mergeCell ref="M56:O56"/>
    <mergeCell ref="M58:O58"/>
    <mergeCell ref="B55:D55"/>
    <mergeCell ref="E55:I55"/>
    <mergeCell ref="M57:O57"/>
    <mergeCell ref="B56:D56"/>
    <mergeCell ref="M55:O55"/>
    <mergeCell ref="E57:I57"/>
    <mergeCell ref="J57:L57"/>
    <mergeCell ref="E56:I56"/>
    <mergeCell ref="E58:I58"/>
    <mergeCell ref="E19:I19"/>
    <mergeCell ref="B18:D18"/>
    <mergeCell ref="B19:D19"/>
    <mergeCell ref="J22:L22"/>
    <mergeCell ref="B20:D20"/>
    <mergeCell ref="E20:I20"/>
    <mergeCell ref="E25:I25"/>
    <mergeCell ref="E24:I24"/>
    <mergeCell ref="J19:L19"/>
    <mergeCell ref="B22:D22"/>
    <mergeCell ref="B23:D24"/>
    <mergeCell ref="B33:D33"/>
    <mergeCell ref="J54:L54"/>
    <mergeCell ref="B53:D53"/>
    <mergeCell ref="E53:I53"/>
    <mergeCell ref="J53:L53"/>
    <mergeCell ref="B42:D42"/>
    <mergeCell ref="E42:I42"/>
    <mergeCell ref="J42:L42"/>
    <mergeCell ref="B45:D45"/>
    <mergeCell ref="E45:I45"/>
    <mergeCell ref="J45:L45"/>
    <mergeCell ref="B51:D51"/>
    <mergeCell ref="E51:I51"/>
    <mergeCell ref="J51:L51"/>
    <mergeCell ref="M66:O66"/>
    <mergeCell ref="M64:O64"/>
    <mergeCell ref="J60:L60"/>
    <mergeCell ref="M59:O59"/>
    <mergeCell ref="J59:L59"/>
    <mergeCell ref="B64:D64"/>
    <mergeCell ref="B58:D58"/>
    <mergeCell ref="M60:O60"/>
    <mergeCell ref="E64:I64"/>
    <mergeCell ref="J64:L64"/>
    <mergeCell ref="B61:D61"/>
    <mergeCell ref="B62:D62"/>
    <mergeCell ref="B63:D63"/>
    <mergeCell ref="J63:L63"/>
    <mergeCell ref="E61:I61"/>
    <mergeCell ref="J61:L61"/>
    <mergeCell ref="J62:L62"/>
    <mergeCell ref="B66:L66"/>
    <mergeCell ref="B60:D60"/>
    <mergeCell ref="B59:D59"/>
    <mergeCell ref="E59:I59"/>
    <mergeCell ref="E60:I60"/>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I244"/>
  <sheetViews>
    <sheetView showGridLines="0" topLeftCell="A220" zoomScale="90" zoomScaleNormal="90" workbookViewId="0">
      <selection activeCell="C82" sqref="C82"/>
    </sheetView>
  </sheetViews>
  <sheetFormatPr defaultColWidth="11" defaultRowHeight="15"/>
  <cols>
    <col min="1" max="1" width="58.7109375" customWidth="1"/>
    <col min="2" max="2" width="22" customWidth="1"/>
    <col min="3" max="3" width="20" customWidth="1"/>
    <col min="4" max="4" width="17.42578125" customWidth="1"/>
    <col min="5" max="5" width="16.42578125" customWidth="1"/>
    <col min="6" max="6" width="23.85546875" customWidth="1"/>
    <col min="7" max="7" width="12.42578125" customWidth="1"/>
    <col min="8" max="8" width="16.85546875" customWidth="1"/>
    <col min="9" max="9" width="13.5703125" customWidth="1"/>
    <col min="10" max="10" width="14.42578125" customWidth="1"/>
    <col min="11" max="11" width="11.28515625" customWidth="1"/>
    <col min="12" max="12" width="13.42578125" customWidth="1"/>
    <col min="13" max="13" width="11.42578125" style="35" customWidth="1"/>
    <col min="14" max="14" width="15.7109375" style="35" customWidth="1"/>
    <col min="15" max="15" width="15.5703125" customWidth="1"/>
    <col min="16" max="16" width="16.140625" customWidth="1"/>
    <col min="17" max="17" width="13.7109375" customWidth="1"/>
    <col min="18" max="18" width="14.85546875" customWidth="1"/>
    <col min="19" max="19" width="16" customWidth="1"/>
    <col min="20" max="20" width="11.42578125" hidden="1" customWidth="1"/>
    <col min="21" max="21" width="15.5703125" customWidth="1"/>
    <col min="22" max="22" width="11.42578125" customWidth="1"/>
    <col min="23" max="23" width="2.28515625" customWidth="1"/>
    <col min="24" max="24" width="1.140625" customWidth="1"/>
    <col min="25" max="25" width="3.28515625" customWidth="1"/>
    <col min="26" max="26" width="17" customWidth="1"/>
    <col min="27" max="27" width="15" customWidth="1"/>
    <col min="28" max="28" width="11.42578125" customWidth="1"/>
    <col min="29" max="29" width="13.5703125" customWidth="1"/>
    <col min="30" max="30" width="16.85546875" customWidth="1"/>
    <col min="31" max="31" width="11.42578125" customWidth="1"/>
    <col min="32" max="32" width="2" style="35" customWidth="1"/>
    <col min="33" max="33" width="3.28515625" style="35" customWidth="1"/>
    <col min="34" max="34" width="2.28515625" style="35" customWidth="1"/>
    <col min="35" max="35" width="40.7109375" customWidth="1"/>
    <col min="36" max="36" width="15.42578125" customWidth="1"/>
  </cols>
  <sheetData>
    <row r="1" spans="1:12" ht="29.25" customHeight="1">
      <c r="A1" s="3"/>
      <c r="B1" s="780"/>
      <c r="C1" s="780"/>
      <c r="D1" s="3"/>
      <c r="E1" s="3"/>
      <c r="F1" s="3"/>
      <c r="G1" s="3"/>
      <c r="H1" s="3"/>
      <c r="I1" s="3"/>
      <c r="J1" s="3"/>
      <c r="K1" s="3"/>
      <c r="L1" s="3"/>
    </row>
    <row r="2" spans="1:12" ht="15.75" customHeight="1">
      <c r="A2" s="783" t="s">
        <v>314</v>
      </c>
      <c r="B2" s="783"/>
      <c r="C2" s="783"/>
      <c r="D2" s="783"/>
      <c r="E2" s="783"/>
      <c r="F2" s="783"/>
      <c r="G2" s="783"/>
      <c r="H2" s="783"/>
      <c r="I2" s="783"/>
      <c r="J2" s="249"/>
      <c r="K2" s="249"/>
      <c r="L2" s="249"/>
    </row>
    <row r="3" spans="1:12" ht="4.5" customHeight="1">
      <c r="A3" s="3"/>
      <c r="B3" s="3"/>
      <c r="C3" s="3"/>
      <c r="D3" s="3"/>
      <c r="E3" s="3"/>
      <c r="F3" s="3"/>
      <c r="G3" s="3"/>
      <c r="H3" s="3"/>
      <c r="I3" s="3"/>
      <c r="J3" s="3"/>
      <c r="K3" s="3"/>
      <c r="L3" s="3"/>
    </row>
    <row r="4" spans="1:12">
      <c r="A4" s="247" t="s">
        <v>92</v>
      </c>
      <c r="B4" s="781" t="s">
        <v>158</v>
      </c>
      <c r="C4" s="782"/>
      <c r="D4" s="784" t="s">
        <v>317</v>
      </c>
      <c r="E4" s="784"/>
      <c r="F4" s="602" t="s">
        <v>673</v>
      </c>
      <c r="G4" s="604"/>
      <c r="H4" s="604"/>
      <c r="I4" s="603"/>
      <c r="J4" s="3"/>
      <c r="K4" s="3"/>
      <c r="L4" s="3"/>
    </row>
    <row r="5" spans="1:12" ht="3" customHeight="1">
      <c r="A5" s="247"/>
      <c r="B5" s="3"/>
      <c r="C5" s="3"/>
      <c r="D5" s="250"/>
      <c r="E5" s="250"/>
      <c r="F5" s="3"/>
      <c r="G5" s="3"/>
      <c r="H5" s="3"/>
      <c r="I5" s="3"/>
      <c r="J5" s="3"/>
      <c r="K5" s="3"/>
      <c r="L5" s="3"/>
    </row>
    <row r="6" spans="1:12">
      <c r="A6" s="247" t="s">
        <v>91</v>
      </c>
      <c r="B6" s="781" t="s">
        <v>473</v>
      </c>
      <c r="C6" s="782"/>
      <c r="D6" s="784" t="s">
        <v>249</v>
      </c>
      <c r="E6" s="784"/>
      <c r="F6" s="271" t="s">
        <v>247</v>
      </c>
      <c r="G6" s="247" t="s">
        <v>349</v>
      </c>
      <c r="H6" s="785">
        <v>24341578.491344798</v>
      </c>
      <c r="I6" s="786"/>
      <c r="J6" s="3"/>
      <c r="K6" s="3"/>
      <c r="L6" s="3"/>
    </row>
    <row r="7" spans="1:12" ht="3" customHeight="1">
      <c r="A7" s="247"/>
      <c r="B7" s="3"/>
      <c r="C7" s="3"/>
      <c r="D7" s="250"/>
      <c r="E7" s="250"/>
      <c r="F7" s="3"/>
      <c r="G7" s="247"/>
      <c r="H7" s="3"/>
      <c r="I7" s="3"/>
      <c r="J7" s="3"/>
      <c r="K7" s="3"/>
      <c r="L7" s="3"/>
    </row>
    <row r="8" spans="1:12">
      <c r="A8" s="247" t="s">
        <v>315</v>
      </c>
      <c r="B8" s="781" t="s">
        <v>430</v>
      </c>
      <c r="C8" s="782"/>
      <c r="D8" s="251"/>
      <c r="E8" s="246" t="s">
        <v>250</v>
      </c>
      <c r="F8" s="324"/>
      <c r="G8" s="246" t="s">
        <v>256</v>
      </c>
      <c r="H8" s="781"/>
      <c r="I8" s="782"/>
      <c r="J8" s="3"/>
      <c r="K8" s="3"/>
      <c r="L8" s="3"/>
    </row>
    <row r="9" spans="1:12" ht="3" customHeight="1">
      <c r="A9" s="250"/>
      <c r="B9" s="3"/>
      <c r="C9" s="3"/>
      <c r="D9" s="250"/>
      <c r="E9" s="250"/>
      <c r="F9" s="3"/>
      <c r="G9" s="3"/>
      <c r="H9" s="3"/>
      <c r="I9" s="3"/>
      <c r="J9" s="3"/>
      <c r="K9" s="3"/>
      <c r="L9" s="3"/>
    </row>
    <row r="10" spans="1:12">
      <c r="A10" s="247" t="s">
        <v>316</v>
      </c>
      <c r="B10" s="787">
        <v>42552</v>
      </c>
      <c r="C10" s="788"/>
      <c r="D10" s="789" t="s">
        <v>318</v>
      </c>
      <c r="E10" s="793"/>
      <c r="F10" s="781" t="s">
        <v>73</v>
      </c>
      <c r="G10" s="791"/>
      <c r="H10" s="791"/>
      <c r="I10" s="782"/>
      <c r="J10" s="3"/>
      <c r="K10" s="3"/>
      <c r="L10" s="3"/>
    </row>
    <row r="11" spans="1:12" ht="5.25" customHeight="1">
      <c r="A11" s="3"/>
      <c r="B11" s="3"/>
      <c r="C11" s="3"/>
      <c r="D11" s="3"/>
      <c r="E11" s="3"/>
      <c r="F11" s="3"/>
      <c r="G11" s="3"/>
      <c r="H11" s="3"/>
      <c r="I11" s="3"/>
      <c r="J11" s="3"/>
      <c r="K11" s="3"/>
      <c r="L11" s="3"/>
    </row>
    <row r="12" spans="1:12" ht="15" customHeight="1">
      <c r="A12" s="247" t="s">
        <v>396</v>
      </c>
      <c r="B12" s="794" t="s">
        <v>24</v>
      </c>
      <c r="C12" s="794"/>
      <c r="D12" s="789" t="s">
        <v>319</v>
      </c>
      <c r="E12" s="784"/>
      <c r="F12" s="790" t="s">
        <v>467</v>
      </c>
      <c r="G12" s="790"/>
      <c r="H12" s="790"/>
      <c r="I12" s="790"/>
      <c r="J12" s="3"/>
      <c r="K12" s="3"/>
      <c r="L12" s="3"/>
    </row>
    <row r="13" spans="1:12" ht="5.25" customHeight="1">
      <c r="A13" s="3"/>
      <c r="B13" s="3"/>
      <c r="C13" s="3"/>
      <c r="D13" s="3"/>
      <c r="E13" s="3"/>
      <c r="F13" s="3"/>
      <c r="G13" s="3"/>
      <c r="H13" s="3"/>
      <c r="I13" s="3"/>
      <c r="J13" s="3"/>
      <c r="K13" s="3"/>
      <c r="L13" s="3"/>
    </row>
    <row r="14" spans="1:12" ht="15.75" customHeight="1">
      <c r="A14" s="783" t="s">
        <v>251</v>
      </c>
      <c r="B14" s="783"/>
      <c r="C14" s="783"/>
      <c r="D14" s="783"/>
      <c r="E14" s="783"/>
      <c r="F14" s="783"/>
      <c r="G14" s="783"/>
      <c r="H14" s="783"/>
      <c r="I14" s="783"/>
      <c r="J14" s="3"/>
      <c r="K14" s="3"/>
      <c r="L14" s="3"/>
    </row>
    <row r="15" spans="1:12" ht="3" customHeight="1">
      <c r="A15" s="3"/>
      <c r="B15" s="3"/>
      <c r="C15" s="3"/>
      <c r="D15" s="3"/>
      <c r="E15" s="3"/>
      <c r="F15" s="3"/>
      <c r="G15" s="3"/>
      <c r="H15" s="3"/>
      <c r="I15" s="3"/>
      <c r="J15" s="3"/>
      <c r="K15" s="3"/>
      <c r="L15" s="3"/>
    </row>
    <row r="16" spans="1:12">
      <c r="A16" s="247" t="s">
        <v>252</v>
      </c>
      <c r="B16" s="324" t="s">
        <v>58</v>
      </c>
      <c r="C16" s="246" t="s">
        <v>272</v>
      </c>
      <c r="D16" s="408">
        <v>43101</v>
      </c>
      <c r="E16" s="248" t="s">
        <v>348</v>
      </c>
      <c r="F16" s="408">
        <v>43281</v>
      </c>
      <c r="G16" s="789" t="s">
        <v>253</v>
      </c>
      <c r="H16" s="793"/>
      <c r="I16" s="399">
        <v>43329</v>
      </c>
      <c r="J16" s="3"/>
      <c r="K16" s="3"/>
      <c r="L16" s="3"/>
    </row>
    <row r="17" spans="1:33" ht="3" customHeight="1">
      <c r="A17" s="3"/>
      <c r="B17" s="3"/>
      <c r="C17" s="3"/>
      <c r="D17" s="3"/>
      <c r="E17" s="3"/>
      <c r="F17" s="3"/>
      <c r="G17" s="3"/>
      <c r="H17" s="3"/>
      <c r="I17" s="3"/>
      <c r="J17" s="3"/>
      <c r="K17" s="3"/>
      <c r="L17" s="3"/>
    </row>
    <row r="18" spans="1:33">
      <c r="A18" s="792" t="s">
        <v>254</v>
      </c>
      <c r="B18" s="793"/>
      <c r="C18" s="825" t="s">
        <v>430</v>
      </c>
      <c r="D18" s="825"/>
      <c r="E18" s="825"/>
      <c r="F18" s="252"/>
      <c r="G18" s="252"/>
      <c r="H18" s="252"/>
      <c r="I18" s="252"/>
      <c r="J18" s="3"/>
      <c r="K18" s="3"/>
      <c r="L18" s="3"/>
    </row>
    <row r="19" spans="1:33" ht="3" customHeight="1">
      <c r="A19" s="3"/>
      <c r="B19" s="3"/>
      <c r="C19" s="3"/>
      <c r="D19" s="3"/>
      <c r="E19" s="3"/>
      <c r="F19" s="3"/>
      <c r="G19" s="3"/>
      <c r="H19" s="3"/>
      <c r="I19" s="3"/>
      <c r="J19" s="3"/>
      <c r="K19" s="3"/>
      <c r="L19" s="3"/>
    </row>
    <row r="20" spans="1:33" ht="5.25" customHeight="1">
      <c r="A20" s="3"/>
      <c r="B20" s="3"/>
      <c r="C20" s="3"/>
      <c r="D20" s="3"/>
      <c r="E20" s="3"/>
      <c r="F20" s="3"/>
      <c r="G20" s="3"/>
      <c r="H20" s="3"/>
      <c r="I20" s="3"/>
      <c r="J20" s="3"/>
      <c r="K20" s="3"/>
      <c r="L20" s="3"/>
    </row>
    <row r="21" spans="1:33" ht="15.75" customHeight="1">
      <c r="A21" s="783" t="s">
        <v>255</v>
      </c>
      <c r="B21" s="783"/>
      <c r="C21" s="783"/>
      <c r="D21" s="783"/>
      <c r="E21" s="783"/>
      <c r="F21" s="783"/>
      <c r="G21" s="783"/>
      <c r="H21" s="783"/>
      <c r="I21" s="783"/>
      <c r="J21" s="3"/>
      <c r="K21" s="3"/>
      <c r="L21" s="3"/>
    </row>
    <row r="22" spans="1:33">
      <c r="A22" s="250" t="s">
        <v>321</v>
      </c>
      <c r="B22" s="3"/>
      <c r="C22" s="3"/>
      <c r="D22" s="253"/>
      <c r="E22" s="253"/>
      <c r="F22" s="3"/>
      <c r="G22" s="3"/>
      <c r="H22" s="253"/>
      <c r="I22" s="253"/>
      <c r="J22" s="3"/>
      <c r="K22" s="3"/>
      <c r="L22" s="3"/>
    </row>
    <row r="23" spans="1:33" ht="3" customHeight="1">
      <c r="A23" s="3"/>
      <c r="B23" s="3"/>
      <c r="C23" s="3"/>
      <c r="D23" s="3"/>
      <c r="E23" s="3"/>
      <c r="F23" s="3"/>
      <c r="G23" s="3"/>
      <c r="H23" s="3"/>
      <c r="I23" s="3"/>
      <c r="J23" s="3"/>
      <c r="K23" s="3"/>
      <c r="L23" s="3"/>
    </row>
    <row r="24" spans="1:33" ht="15.75" thickBot="1">
      <c r="A24" s="247" t="s">
        <v>351</v>
      </c>
      <c r="B24" s="314"/>
      <c r="C24" s="784" t="s">
        <v>324</v>
      </c>
      <c r="D24" s="784"/>
      <c r="E24" s="315"/>
      <c r="F24" s="784" t="s">
        <v>320</v>
      </c>
      <c r="G24" s="784"/>
      <c r="H24" s="823"/>
      <c r="I24" s="824"/>
      <c r="J24" s="3"/>
      <c r="K24" s="3"/>
      <c r="L24" s="3"/>
      <c r="M24" s="20"/>
    </row>
    <row r="25" spans="1:33" ht="19.5" thickBot="1">
      <c r="A25" s="84" t="s">
        <v>351</v>
      </c>
      <c r="B25" s="85"/>
      <c r="C25" s="85"/>
      <c r="D25" s="85"/>
      <c r="E25" s="85"/>
      <c r="F25" s="85"/>
      <c r="G25" s="235"/>
      <c r="H25" s="86"/>
      <c r="I25" s="86"/>
      <c r="J25" s="378" t="s">
        <v>0</v>
      </c>
      <c r="K25" s="379"/>
      <c r="L25" s="379"/>
      <c r="M25" s="379"/>
      <c r="N25" s="380"/>
      <c r="AG25" s="43"/>
    </row>
    <row r="26" spans="1:33">
      <c r="A26" s="803" t="s">
        <v>344</v>
      </c>
      <c r="B26" s="804"/>
      <c r="C26" s="328" t="s">
        <v>17</v>
      </c>
      <c r="D26" s="88"/>
      <c r="E26" s="88"/>
      <c r="F26" s="88"/>
      <c r="G26" s="88"/>
      <c r="H26" s="88"/>
      <c r="I26" s="89"/>
      <c r="J26" s="88"/>
      <c r="K26" s="88"/>
      <c r="L26" s="88"/>
      <c r="M26" s="39"/>
      <c r="N26" s="39"/>
      <c r="AG26" s="43"/>
    </row>
    <row r="27" spans="1:33" ht="18.75">
      <c r="A27" s="87" t="s">
        <v>397</v>
      </c>
      <c r="B27" s="88"/>
      <c r="C27" s="88"/>
      <c r="D27" s="88"/>
      <c r="E27" s="88"/>
      <c r="F27" s="88"/>
      <c r="G27" s="88"/>
      <c r="H27" s="88"/>
      <c r="I27" s="89"/>
      <c r="J27" s="88"/>
      <c r="K27" s="88"/>
      <c r="L27" s="88"/>
      <c r="M27" s="39"/>
      <c r="N27" s="39"/>
      <c r="AG27" s="43"/>
    </row>
    <row r="28" spans="1:33" ht="15.75" thickBot="1">
      <c r="A28" s="3"/>
      <c r="B28" s="3"/>
      <c r="C28" s="3"/>
      <c r="D28" s="3"/>
      <c r="E28" s="3"/>
      <c r="F28" s="3"/>
      <c r="G28" s="3"/>
      <c r="H28" s="3"/>
      <c r="I28" s="3"/>
      <c r="J28" s="3"/>
      <c r="K28" s="3"/>
      <c r="L28" s="3"/>
    </row>
    <row r="29" spans="1:33" ht="15.75" thickBot="1">
      <c r="A29" s="812" t="s">
        <v>342</v>
      </c>
      <c r="B29" s="813"/>
      <c r="C29" s="813"/>
      <c r="D29" s="813"/>
      <c r="E29" s="813"/>
      <c r="F29" s="813"/>
      <c r="G29" s="813"/>
      <c r="H29" s="813"/>
      <c r="I29" s="813"/>
      <c r="J29" s="813"/>
      <c r="K29" s="813"/>
      <c r="L29" s="813"/>
      <c r="M29" s="814"/>
      <c r="O29" s="189"/>
      <c r="P29" s="190"/>
      <c r="Q29" s="191">
        <f>+B33</f>
        <v>2675489.2999999998</v>
      </c>
    </row>
    <row r="30" spans="1:33">
      <c r="A30" s="90" t="s">
        <v>252</v>
      </c>
      <c r="B30" s="300" t="s">
        <v>55</v>
      </c>
      <c r="C30" s="300" t="s">
        <v>56</v>
      </c>
      <c r="D30" s="300" t="s">
        <v>57</v>
      </c>
      <c r="E30" s="300" t="s">
        <v>58</v>
      </c>
      <c r="F30" s="300" t="s">
        <v>65</v>
      </c>
      <c r="G30" s="300" t="s">
        <v>66</v>
      </c>
      <c r="H30" s="300" t="s">
        <v>67</v>
      </c>
      <c r="I30" s="300" t="s">
        <v>68</v>
      </c>
      <c r="J30" s="300" t="s">
        <v>69</v>
      </c>
      <c r="K30" s="300" t="s">
        <v>70</v>
      </c>
      <c r="L30" s="300" t="s">
        <v>71</v>
      </c>
      <c r="M30" s="301" t="s">
        <v>78</v>
      </c>
      <c r="N30" s="302" t="s">
        <v>346</v>
      </c>
      <c r="O30" s="189"/>
      <c r="P30" s="190"/>
      <c r="Q30" s="191">
        <f>+C33</f>
        <v>14534177.495320581</v>
      </c>
    </row>
    <row r="31" spans="1:33">
      <c r="A31" s="244" t="s">
        <v>441</v>
      </c>
      <c r="B31" s="310">
        <v>2675489.2999999998</v>
      </c>
      <c r="C31" s="309">
        <v>11858688.195320582</v>
      </c>
      <c r="D31" s="309">
        <v>6298137.3016707487</v>
      </c>
      <c r="E31" s="472">
        <v>3509263.6943534473</v>
      </c>
      <c r="F31" s="472"/>
      <c r="G31" s="472"/>
      <c r="H31" s="473"/>
      <c r="I31" s="472"/>
      <c r="J31" s="472"/>
      <c r="K31" s="309"/>
      <c r="L31" s="474"/>
      <c r="M31" s="309"/>
      <c r="N31" s="871"/>
      <c r="O31" s="189"/>
      <c r="P31" s="190"/>
      <c r="Q31" s="191">
        <f>+D33</f>
        <v>20832314.79699133</v>
      </c>
    </row>
    <row r="32" spans="1:33">
      <c r="A32" s="90" t="str">
        <f>CONCATENATE("Выплаты ГФ (в ", $C$26,")")</f>
        <v>Выплаты ГФ (в $)</v>
      </c>
      <c r="B32" s="310">
        <f>7773936+2214860</f>
        <v>9988796</v>
      </c>
      <c r="C32" s="310">
        <v>6937211</v>
      </c>
      <c r="D32" s="310">
        <v>3664360</v>
      </c>
      <c r="E32" s="310">
        <v>3509263</v>
      </c>
      <c r="F32" s="310"/>
      <c r="G32" s="310"/>
      <c r="H32" s="459"/>
      <c r="I32" s="309"/>
      <c r="J32" s="309"/>
      <c r="K32" s="309"/>
      <c r="L32" s="309"/>
      <c r="M32" s="309"/>
      <c r="N32" s="872"/>
      <c r="O32" s="189"/>
      <c r="P32" s="190"/>
      <c r="Q32" s="191">
        <f>+E33</f>
        <v>24341578.491344776</v>
      </c>
    </row>
    <row r="33" spans="1:33">
      <c r="A33" s="91" t="s">
        <v>322</v>
      </c>
      <c r="B33" s="311">
        <f>+B31</f>
        <v>2675489.2999999998</v>
      </c>
      <c r="C33" s="311">
        <f>IF(AND(C31=0,C32=0),0,+B33+C31)</f>
        <v>14534177.495320581</v>
      </c>
      <c r="D33" s="311">
        <f>IF(AND(D31=0,D32=0),0,+C33+D31)</f>
        <v>20832314.79699133</v>
      </c>
      <c r="E33" s="311">
        <f>IF(AND(E31=0,E32=0),0,+D33+E31)</f>
        <v>24341578.491344776</v>
      </c>
      <c r="F33" s="470"/>
      <c r="G33" s="470"/>
      <c r="H33" s="470"/>
      <c r="I33" s="470"/>
      <c r="J33" s="470"/>
      <c r="K33" s="470"/>
      <c r="L33" s="475"/>
      <c r="M33" s="311"/>
      <c r="N33" s="872"/>
      <c r="O33" s="297"/>
      <c r="P33" s="190"/>
      <c r="Q33" s="191">
        <f>+F33</f>
        <v>0</v>
      </c>
    </row>
    <row r="34" spans="1:33" ht="15.75" thickBot="1">
      <c r="A34" s="92" t="s">
        <v>323</v>
      </c>
      <c r="B34" s="312">
        <f>+B32</f>
        <v>9988796</v>
      </c>
      <c r="C34" s="312">
        <f>IF(AND(C31=0,C32=0),0,+B34+C32)</f>
        <v>16926007</v>
      </c>
      <c r="D34" s="312">
        <f>IF(AND(D31=0,D32=0),0,+C34+D32)</f>
        <v>20590367</v>
      </c>
      <c r="E34" s="312">
        <f>IF(AND(E31=0,E32=0),0,+D34+E32)</f>
        <v>24099630</v>
      </c>
      <c r="F34" s="471"/>
      <c r="G34" s="471"/>
      <c r="H34" s="471"/>
      <c r="I34" s="471"/>
      <c r="J34" s="471"/>
      <c r="K34" s="471"/>
      <c r="L34" s="476"/>
      <c r="M34" s="312"/>
      <c r="N34" s="873"/>
      <c r="O34" s="297"/>
      <c r="P34" s="190"/>
      <c r="Q34" s="191">
        <f>+G33</f>
        <v>0</v>
      </c>
    </row>
    <row r="35" spans="1:33">
      <c r="A35" s="3"/>
      <c r="B35" s="284">
        <f>+IF(AND(B30=$B$16,B33&lt;&gt;0),B34/B33,0)</f>
        <v>0</v>
      </c>
      <c r="C35" s="284">
        <f t="shared" ref="C35:M35" si="0">+IF(AND(C30=$B$16,C33&lt;&gt;0),C34/C33,0)</f>
        <v>0</v>
      </c>
      <c r="D35" s="284">
        <f t="shared" si="0"/>
        <v>0</v>
      </c>
      <c r="E35" s="284">
        <f>+IF(AND(E30=$B$16,E33&lt;&gt;0),E34/E33,0)</f>
        <v>0.99006027931053009</v>
      </c>
      <c r="F35" s="284">
        <f t="shared" si="0"/>
        <v>0</v>
      </c>
      <c r="G35" s="284">
        <f t="shared" si="0"/>
        <v>0</v>
      </c>
      <c r="H35" s="284">
        <f t="shared" si="0"/>
        <v>0</v>
      </c>
      <c r="I35" s="284">
        <f t="shared" si="0"/>
        <v>0</v>
      </c>
      <c r="J35" s="284">
        <f t="shared" si="0"/>
        <v>0</v>
      </c>
      <c r="K35" s="284">
        <f t="shared" si="0"/>
        <v>0</v>
      </c>
      <c r="L35" s="284">
        <f t="shared" si="0"/>
        <v>0</v>
      </c>
      <c r="M35" s="284">
        <f t="shared" si="0"/>
        <v>0</v>
      </c>
      <c r="N35" s="254"/>
      <c r="O35" s="192"/>
      <c r="P35" s="193"/>
      <c r="Q35" s="191">
        <f>+H33</f>
        <v>0</v>
      </c>
    </row>
    <row r="36" spans="1:33" ht="18.75">
      <c r="A36" s="87" t="s">
        <v>363</v>
      </c>
      <c r="B36" s="3"/>
      <c r="C36" s="3"/>
      <c r="D36" s="292"/>
      <c r="E36" s="3"/>
      <c r="F36" s="232"/>
      <c r="G36" s="3"/>
      <c r="H36" s="3"/>
      <c r="I36" s="3"/>
      <c r="J36" s="3"/>
      <c r="K36" s="3"/>
      <c r="L36" s="3"/>
      <c r="M36" s="40"/>
      <c r="N36" s="40"/>
      <c r="AG36" s="20"/>
    </row>
    <row r="37" spans="1:33" ht="15.75" thickBot="1">
      <c r="A37" s="3"/>
      <c r="B37" s="3"/>
      <c r="C37" s="3"/>
      <c r="D37" s="3"/>
      <c r="E37" s="3"/>
      <c r="F37" s="3"/>
      <c r="G37" s="3"/>
      <c r="H37" s="3"/>
      <c r="I37" s="3"/>
      <c r="J37" s="3"/>
      <c r="K37" s="3"/>
      <c r="L37" s="3"/>
      <c r="M37" s="38"/>
      <c r="N37" s="38"/>
    </row>
    <row r="38" spans="1:33" ht="30" customHeight="1">
      <c r="A38" s="353"/>
      <c r="B38" s="354" t="str">
        <f>CONCATENATE("Общий бюджет (в ",'Ввод данных'!$C$26,")")</f>
        <v>Общий бюджет (в $)</v>
      </c>
      <c r="C38" s="355" t="str">
        <f>CONCATENATE("Общие расходы (в ",'Ввод данных'!$C$26,")")</f>
        <v>Общие расходы (в $)</v>
      </c>
      <c r="D38" s="241"/>
      <c r="E38" s="241" t="s">
        <v>770</v>
      </c>
      <c r="F38" s="3"/>
      <c r="G38" s="3"/>
      <c r="H38" s="3"/>
      <c r="I38" s="98"/>
      <c r="J38" s="41"/>
      <c r="M38"/>
      <c r="N38"/>
      <c r="AC38" s="20"/>
      <c r="AD38" s="35"/>
    </row>
    <row r="39" spans="1:33">
      <c r="A39" s="485" t="s">
        <v>474</v>
      </c>
      <c r="B39" s="316">
        <v>6278809.2197592426</v>
      </c>
      <c r="C39" s="319">
        <v>5738863.8473999994</v>
      </c>
      <c r="D39" s="15"/>
      <c r="E39" s="15" t="s">
        <v>773</v>
      </c>
      <c r="F39" s="299"/>
      <c r="G39" s="3"/>
      <c r="H39" s="3"/>
      <c r="I39" s="99"/>
      <c r="J39" s="42"/>
      <c r="M39"/>
      <c r="N39"/>
      <c r="AC39" s="20"/>
      <c r="AD39" s="35"/>
    </row>
    <row r="40" spans="1:33">
      <c r="A40" s="485" t="s">
        <v>475</v>
      </c>
      <c r="B40" s="316">
        <v>2926084.3703791345</v>
      </c>
      <c r="C40" s="319">
        <v>2615179.6788368011</v>
      </c>
      <c r="D40" s="15"/>
      <c r="E40" s="15" t="s">
        <v>774</v>
      </c>
      <c r="F40" s="299"/>
      <c r="G40" s="3"/>
      <c r="H40" s="3"/>
      <c r="I40" s="99"/>
      <c r="J40" s="42"/>
      <c r="M40"/>
      <c r="N40"/>
      <c r="AC40" s="20"/>
      <c r="AD40" s="35"/>
    </row>
    <row r="41" spans="1:33">
      <c r="A41" s="485" t="s">
        <v>476</v>
      </c>
      <c r="B41" s="316">
        <v>731687.90596694732</v>
      </c>
      <c r="C41" s="319">
        <v>714426.45000000007</v>
      </c>
      <c r="D41" s="15"/>
      <c r="E41" s="15" t="s">
        <v>776</v>
      </c>
      <c r="F41" s="299"/>
      <c r="G41" s="3"/>
      <c r="H41" s="3"/>
      <c r="I41" s="99"/>
      <c r="J41" s="42"/>
      <c r="M41"/>
      <c r="N41"/>
      <c r="AC41" s="20"/>
      <c r="AD41" s="35"/>
    </row>
    <row r="42" spans="1:33">
      <c r="A42" s="318" t="s">
        <v>477</v>
      </c>
      <c r="B42" s="316">
        <v>465984.09313467797</v>
      </c>
      <c r="C42" s="319">
        <v>458873.82000000007</v>
      </c>
      <c r="D42" s="15"/>
      <c r="E42" s="15" t="s">
        <v>775</v>
      </c>
      <c r="F42" s="299"/>
      <c r="G42" s="3"/>
      <c r="H42" s="3"/>
      <c r="I42" s="99"/>
      <c r="J42" s="42"/>
      <c r="M42"/>
      <c r="N42"/>
      <c r="AC42" s="20"/>
      <c r="AD42" s="35"/>
    </row>
    <row r="43" spans="1:33">
      <c r="A43" s="485" t="s">
        <v>478</v>
      </c>
      <c r="B43" s="316">
        <v>118579.00739639475</v>
      </c>
      <c r="C43" s="319">
        <v>104064.91999999998</v>
      </c>
      <c r="D43" s="15"/>
      <c r="E43" s="15" t="s">
        <v>777</v>
      </c>
      <c r="F43" s="299"/>
      <c r="G43" s="3"/>
      <c r="H43" s="3"/>
      <c r="I43" s="99"/>
      <c r="J43" s="42"/>
      <c r="M43"/>
      <c r="N43"/>
      <c r="AC43" s="20"/>
      <c r="AD43" s="35"/>
    </row>
    <row r="44" spans="1:33" ht="30">
      <c r="A44" s="486" t="s">
        <v>479</v>
      </c>
      <c r="B44" s="316">
        <v>2672558.5136298249</v>
      </c>
      <c r="C44" s="319">
        <v>2246388.59</v>
      </c>
      <c r="D44" s="15"/>
      <c r="E44" s="15" t="s">
        <v>778</v>
      </c>
      <c r="F44" s="299"/>
      <c r="G44" s="3"/>
      <c r="H44" s="3"/>
      <c r="I44" s="99"/>
      <c r="J44" s="42"/>
      <c r="M44"/>
      <c r="N44"/>
      <c r="AC44" s="20"/>
      <c r="AD44" s="35"/>
    </row>
    <row r="45" spans="1:33">
      <c r="A45" s="318" t="s">
        <v>480</v>
      </c>
      <c r="B45" s="316">
        <v>137964.81331944445</v>
      </c>
      <c r="C45" s="319">
        <v>119765.82999999999</v>
      </c>
      <c r="D45" s="15"/>
      <c r="E45" s="15" t="s">
        <v>779</v>
      </c>
      <c r="F45" s="299"/>
      <c r="G45" s="3"/>
      <c r="H45" s="3"/>
      <c r="I45" s="99"/>
      <c r="J45" s="42"/>
      <c r="M45"/>
      <c r="N45"/>
      <c r="AC45" s="20"/>
      <c r="AD45" s="35"/>
    </row>
    <row r="46" spans="1:33">
      <c r="A46" s="318" t="s">
        <v>481</v>
      </c>
      <c r="B46" s="316">
        <v>270247.71354999125</v>
      </c>
      <c r="C46" s="319">
        <v>257024.38000000003</v>
      </c>
      <c r="D46" s="15"/>
      <c r="E46" s="15" t="s">
        <v>780</v>
      </c>
      <c r="F46" s="299"/>
      <c r="G46" s="3"/>
      <c r="H46" s="3"/>
      <c r="I46" s="99"/>
      <c r="J46" s="42"/>
      <c r="M46"/>
      <c r="N46"/>
      <c r="AC46" s="20"/>
      <c r="AD46" s="35"/>
    </row>
    <row r="47" spans="1:33">
      <c r="A47" s="318" t="s">
        <v>482</v>
      </c>
      <c r="B47" s="317">
        <v>650650.34947741497</v>
      </c>
      <c r="C47" s="319">
        <v>556917.70000000007</v>
      </c>
      <c r="D47" s="15"/>
      <c r="E47" s="15" t="s">
        <v>781</v>
      </c>
      <c r="F47" s="299"/>
      <c r="G47" s="3"/>
      <c r="H47" s="3"/>
      <c r="I47" s="99"/>
      <c r="J47" s="42"/>
      <c r="M47"/>
      <c r="N47"/>
      <c r="AC47" s="20"/>
      <c r="AD47" s="35"/>
    </row>
    <row r="48" spans="1:33">
      <c r="A48" s="318" t="s">
        <v>483</v>
      </c>
      <c r="B48" s="316">
        <v>36228.885999999999</v>
      </c>
      <c r="C48" s="319">
        <v>12499.159802554585</v>
      </c>
      <c r="D48" s="15"/>
      <c r="E48" s="15" t="s">
        <v>782</v>
      </c>
      <c r="F48" s="299"/>
      <c r="G48" s="3"/>
      <c r="H48" s="3"/>
      <c r="I48" s="99"/>
      <c r="J48" s="42"/>
      <c r="M48"/>
      <c r="N48"/>
      <c r="AC48" s="20"/>
      <c r="AD48" s="35"/>
    </row>
    <row r="49" spans="1:32">
      <c r="A49" s="318" t="s">
        <v>484</v>
      </c>
      <c r="B49" s="316">
        <v>9748558.2101391014</v>
      </c>
      <c r="C49" s="319">
        <v>8569477.5399999991</v>
      </c>
      <c r="D49" s="15"/>
      <c r="E49" s="15" t="s">
        <v>783</v>
      </c>
      <c r="F49" s="299"/>
      <c r="G49" s="3"/>
      <c r="H49" s="3"/>
      <c r="I49" s="99"/>
      <c r="J49" s="42"/>
      <c r="M49"/>
      <c r="N49"/>
      <c r="AC49" s="20"/>
      <c r="AD49" s="35"/>
    </row>
    <row r="50" spans="1:32">
      <c r="A50" s="318" t="s">
        <v>485</v>
      </c>
      <c r="B50" s="316">
        <v>162495.40859260003</v>
      </c>
      <c r="C50" s="319">
        <v>162360.82000000004</v>
      </c>
      <c r="D50" s="15"/>
      <c r="E50" s="15" t="s">
        <v>784</v>
      </c>
      <c r="F50" s="299"/>
      <c r="G50" s="3"/>
      <c r="H50" s="3"/>
      <c r="I50" s="99"/>
      <c r="J50" s="42"/>
      <c r="M50"/>
      <c r="N50"/>
      <c r="AC50" s="20"/>
      <c r="AD50" s="35"/>
    </row>
    <row r="51" spans="1:32">
      <c r="A51" s="320" t="s">
        <v>486</v>
      </c>
      <c r="B51" s="317">
        <v>141730</v>
      </c>
      <c r="C51" s="319">
        <v>115886.93999999999</v>
      </c>
      <c r="D51" s="15"/>
      <c r="E51" s="299" t="s">
        <v>785</v>
      </c>
      <c r="F51" s="299"/>
      <c r="G51" s="3"/>
      <c r="H51" s="3"/>
      <c r="I51" s="99"/>
      <c r="J51" s="42"/>
      <c r="M51"/>
      <c r="N51"/>
      <c r="AC51" s="20"/>
      <c r="AD51" s="35"/>
    </row>
    <row r="52" spans="1:32" ht="30">
      <c r="A52" s="486" t="s">
        <v>487</v>
      </c>
      <c r="B52" s="317"/>
      <c r="C52" s="319"/>
      <c r="D52" s="15"/>
      <c r="E52" s="298"/>
      <c r="F52" s="299"/>
      <c r="G52" s="3"/>
      <c r="H52" s="3"/>
      <c r="I52" s="99"/>
      <c r="J52" s="42"/>
      <c r="M52"/>
      <c r="N52"/>
      <c r="AC52" s="20"/>
      <c r="AD52" s="35"/>
    </row>
    <row r="53" spans="1:32">
      <c r="A53" s="318"/>
      <c r="B53" s="460"/>
      <c r="C53" s="319"/>
      <c r="D53" s="15"/>
      <c r="E53" s="298"/>
      <c r="F53" s="299"/>
      <c r="G53" s="3"/>
      <c r="H53" s="3"/>
      <c r="I53" s="99"/>
      <c r="J53" s="42"/>
      <c r="M53"/>
      <c r="N53"/>
      <c r="AC53" s="20"/>
      <c r="AD53" s="35"/>
    </row>
    <row r="54" spans="1:32">
      <c r="A54" s="318"/>
      <c r="B54" s="460"/>
      <c r="C54" s="319"/>
      <c r="D54" s="254"/>
      <c r="E54" s="298"/>
      <c r="F54" s="299"/>
      <c r="G54" s="3"/>
      <c r="H54" s="3"/>
      <c r="I54" s="3"/>
      <c r="J54" s="42"/>
      <c r="M54"/>
      <c r="N54"/>
      <c r="AC54" s="20"/>
      <c r="AD54" s="35"/>
    </row>
    <row r="55" spans="1:32" ht="15.75" thickBot="1">
      <c r="A55" s="320"/>
      <c r="B55" s="461"/>
      <c r="C55" s="468"/>
      <c r="D55" s="238"/>
      <c r="E55" s="298"/>
      <c r="F55" s="3"/>
      <c r="G55" s="3"/>
      <c r="H55" s="3"/>
      <c r="I55" s="3"/>
      <c r="J55" s="42"/>
      <c r="M55"/>
      <c r="N55"/>
      <c r="AC55" s="20"/>
      <c r="AD55" s="35"/>
    </row>
    <row r="56" spans="1:32" ht="15.75" thickBot="1">
      <c r="A56" s="321" t="s">
        <v>343</v>
      </c>
      <c r="B56" s="536">
        <f>SUM(B39:B55)</f>
        <v>24341578.491344776</v>
      </c>
      <c r="C56" s="537">
        <f>SUM(C39:C55)</f>
        <v>21671729.676039357</v>
      </c>
      <c r="D56" s="3"/>
      <c r="E56" s="874" t="str">
        <f ca="1">+IF((ROUND(B56,0)=ROUND(OFFSET(A33,0,RIGHT('Ввод данных'!$B$16,LEN('Ввод данных'!$B$16)-1),1,1),0)),"Все правильно: данные верны","Предупреждение: данные не совпадают")</f>
        <v>Все правильно: данные верны</v>
      </c>
      <c r="F56" s="875"/>
      <c r="G56" s="875"/>
      <c r="H56" s="876"/>
      <c r="I56" s="184"/>
      <c r="J56" s="184"/>
      <c r="K56" s="184"/>
      <c r="L56" s="192"/>
      <c r="M56" s="193"/>
      <c r="N56" s="191"/>
      <c r="O56" s="189"/>
      <c r="AC56" s="35"/>
      <c r="AD56" s="35"/>
    </row>
    <row r="57" spans="1:32">
      <c r="A57" s="3"/>
      <c r="B57" s="184"/>
      <c r="C57" s="184"/>
      <c r="E57" s="184"/>
      <c r="F57" s="184"/>
      <c r="G57" s="184"/>
      <c r="H57" s="184"/>
      <c r="I57" s="184"/>
      <c r="J57" s="184"/>
      <c r="K57" s="184"/>
      <c r="L57" s="184"/>
      <c r="M57" s="184"/>
      <c r="N57" s="184"/>
      <c r="O57" s="192"/>
      <c r="P57" s="193"/>
      <c r="Q57" s="191"/>
    </row>
    <row r="58" spans="1:32" ht="18.75">
      <c r="A58" s="87" t="s">
        <v>341</v>
      </c>
      <c r="B58" s="3"/>
      <c r="C58" s="184"/>
      <c r="D58" s="428"/>
      <c r="E58" s="3"/>
      <c r="F58" s="3"/>
      <c r="G58" s="3"/>
      <c r="H58" s="3"/>
      <c r="I58" s="3"/>
      <c r="J58" s="3"/>
      <c r="K58" s="3"/>
      <c r="L58" s="3"/>
      <c r="O58" s="189"/>
      <c r="P58" s="190"/>
      <c r="Q58" s="191">
        <f>+I33</f>
        <v>0</v>
      </c>
    </row>
    <row r="59" spans="1:32" ht="15.75" thickBot="1">
      <c r="A59" s="3"/>
      <c r="B59" s="3"/>
      <c r="C59" s="3"/>
      <c r="D59" s="3"/>
      <c r="E59" s="3"/>
      <c r="F59" s="3"/>
      <c r="G59" s="3"/>
      <c r="H59" s="3"/>
      <c r="I59" s="3"/>
      <c r="J59" s="3"/>
      <c r="K59" s="3"/>
      <c r="L59" s="3"/>
      <c r="O59" s="189"/>
      <c r="P59" s="190"/>
      <c r="Q59" s="191">
        <f>+J33</f>
        <v>0</v>
      </c>
    </row>
    <row r="60" spans="1:32" ht="51" customHeight="1">
      <c r="A60" s="440"/>
      <c r="B60" s="441" t="s">
        <v>258</v>
      </c>
      <c r="C60" s="441" t="s">
        <v>259</v>
      </c>
      <c r="D60" s="442" t="str">
        <f>CONCATENATE("Всего израсходовано и выплачено (в ",C26,")")</f>
        <v>Всего израсходовано и выплачено (в $)</v>
      </c>
      <c r="E60" s="3"/>
      <c r="F60" s="259"/>
      <c r="G60" s="256"/>
      <c r="H60" s="245"/>
      <c r="I60" s="245"/>
      <c r="J60" s="245"/>
      <c r="K60" s="245"/>
      <c r="L60" s="21"/>
      <c r="M60" s="21"/>
      <c r="N60" s="189"/>
      <c r="O60" s="190"/>
      <c r="P60" s="191">
        <f>+L33</f>
        <v>0</v>
      </c>
      <c r="Q60" s="189"/>
      <c r="AF60" s="20"/>
    </row>
    <row r="61" spans="1:32">
      <c r="A61" s="443" t="s">
        <v>325</v>
      </c>
      <c r="B61" s="487">
        <v>20590367</v>
      </c>
      <c r="C61" s="487">
        <v>3509263</v>
      </c>
      <c r="D61" s="445">
        <f>+C61+B61</f>
        <v>24099630</v>
      </c>
      <c r="E61" s="3"/>
      <c r="F61" s="94"/>
      <c r="G61" s="257"/>
      <c r="H61" s="93"/>
      <c r="I61" s="187"/>
      <c r="J61" s="188"/>
      <c r="K61" s="95"/>
      <c r="L61" s="36"/>
      <c r="M61" s="36"/>
      <c r="N61" s="189"/>
      <c r="O61" s="189"/>
      <c r="P61" s="189"/>
      <c r="Q61" s="189"/>
      <c r="AF61" s="20"/>
    </row>
    <row r="62" spans="1:32">
      <c r="A62" s="443" t="s">
        <v>326</v>
      </c>
      <c r="B62" s="487">
        <v>12280314.708639355</v>
      </c>
      <c r="C62" s="487">
        <v>2142701.7773999991</v>
      </c>
      <c r="D62" s="445">
        <f>+C62+B62</f>
        <v>14423016.486039355</v>
      </c>
      <c r="E62" s="3"/>
      <c r="F62" s="227"/>
      <c r="G62" s="257"/>
      <c r="H62" s="93"/>
      <c r="I62" s="187"/>
      <c r="J62" s="187"/>
      <c r="K62" s="95"/>
      <c r="L62" s="37"/>
      <c r="M62" s="37"/>
      <c r="N62" s="189"/>
      <c r="O62" s="189"/>
      <c r="P62" s="189"/>
      <c r="Q62" s="189"/>
      <c r="AF62" s="20"/>
    </row>
    <row r="63" spans="1:32">
      <c r="A63" s="443" t="s">
        <v>327</v>
      </c>
      <c r="B63" s="487">
        <v>6555713.9400000013</v>
      </c>
      <c r="C63" s="487">
        <v>932683.72</v>
      </c>
      <c r="D63" s="445">
        <f>+C63+B63</f>
        <v>7488397.6600000011</v>
      </c>
      <c r="E63" s="3"/>
      <c r="F63" s="94"/>
      <c r="G63" s="257"/>
      <c r="H63" s="93"/>
      <c r="I63" s="187"/>
      <c r="J63" s="188"/>
      <c r="K63" s="95"/>
      <c r="L63" s="36"/>
      <c r="M63" s="36"/>
      <c r="N63"/>
      <c r="AF63" s="20"/>
    </row>
    <row r="64" spans="1:32" ht="15.75" thickBot="1">
      <c r="A64" s="444" t="s">
        <v>355</v>
      </c>
      <c r="B64" s="488">
        <v>6192283.2599999988</v>
      </c>
      <c r="C64" s="487">
        <v>1056429.9300000002</v>
      </c>
      <c r="D64" s="446">
        <f>+C64+B64</f>
        <v>7248713.1899999995</v>
      </c>
      <c r="E64" s="184"/>
      <c r="F64" s="228"/>
      <c r="G64" s="258"/>
      <c r="H64" s="96"/>
      <c r="I64" s="96"/>
      <c r="J64" s="96"/>
      <c r="K64" s="95"/>
      <c r="L64" s="37"/>
      <c r="M64" s="37"/>
      <c r="N64"/>
      <c r="AF64" s="20"/>
    </row>
    <row r="65" spans="1:33" ht="15.75" customHeight="1">
      <c r="A65" s="3"/>
      <c r="B65" s="3"/>
      <c r="C65" s="184"/>
      <c r="D65" s="3"/>
      <c r="E65" s="184"/>
      <c r="F65" s="3"/>
      <c r="G65" s="3"/>
      <c r="H65" s="3"/>
      <c r="I65" s="3"/>
      <c r="J65" s="3"/>
      <c r="K65" s="3"/>
      <c r="L65" s="3"/>
      <c r="AG65" s="20"/>
    </row>
    <row r="66" spans="1:33">
      <c r="A66" s="3"/>
      <c r="B66" s="3"/>
      <c r="C66" s="439"/>
      <c r="D66" s="3"/>
      <c r="E66" s="3"/>
      <c r="F66" s="3"/>
      <c r="G66" s="3"/>
      <c r="H66" s="3"/>
      <c r="I66" s="3"/>
      <c r="J66" s="3"/>
      <c r="K66" s="3"/>
      <c r="L66" s="3"/>
    </row>
    <row r="67" spans="1:33" ht="18.75">
      <c r="A67" s="87" t="s">
        <v>328</v>
      </c>
      <c r="B67" s="3"/>
      <c r="C67" s="184"/>
      <c r="D67" s="3"/>
      <c r="E67" s="3"/>
      <c r="F67" s="3"/>
      <c r="G67" s="3"/>
      <c r="H67" s="3"/>
      <c r="I67" s="3"/>
      <c r="J67" s="3"/>
      <c r="K67" s="3"/>
      <c r="L67" s="3"/>
    </row>
    <row r="68" spans="1:33" ht="15.75" thickBot="1">
      <c r="A68" s="3"/>
      <c r="B68" s="3"/>
      <c r="C68" s="3"/>
      <c r="D68" s="3"/>
      <c r="E68" s="3"/>
      <c r="F68" s="3"/>
      <c r="G68" s="3"/>
      <c r="H68" s="3"/>
      <c r="I68" s="3"/>
      <c r="J68" s="3"/>
      <c r="K68" s="3"/>
      <c r="L68" s="3"/>
    </row>
    <row r="69" spans="1:33" ht="15.75" customHeight="1" thickBot="1">
      <c r="A69" s="807" t="s">
        <v>364</v>
      </c>
      <c r="B69" s="808"/>
      <c r="C69" s="809"/>
      <c r="D69" s="467"/>
      <c r="E69" s="3"/>
      <c r="F69" s="3"/>
      <c r="G69" s="3"/>
      <c r="H69" s="3"/>
      <c r="I69" s="3"/>
      <c r="J69" s="3"/>
      <c r="K69" s="3"/>
      <c r="L69" s="35"/>
      <c r="N69"/>
    </row>
    <row r="70" spans="1:33">
      <c r="A70" s="462"/>
      <c r="B70" s="372"/>
      <c r="C70" s="409" t="s">
        <v>356</v>
      </c>
      <c r="D70" s="463" t="s">
        <v>357</v>
      </c>
      <c r="E70" s="3"/>
      <c r="F70" s="3"/>
      <c r="G70" s="3"/>
      <c r="H70" s="3"/>
      <c r="I70" s="3"/>
      <c r="J70" s="3"/>
      <c r="K70" s="3"/>
      <c r="L70" s="35"/>
      <c r="N70"/>
    </row>
    <row r="71" spans="1:33">
      <c r="A71" s="464" t="s">
        <v>374</v>
      </c>
      <c r="B71" s="44"/>
      <c r="C71" s="489">
        <v>60</v>
      </c>
      <c r="D71" s="490">
        <v>60</v>
      </c>
      <c r="E71" s="3"/>
      <c r="F71" s="3"/>
      <c r="G71" s="3"/>
      <c r="H71" s="3"/>
      <c r="I71" s="3"/>
      <c r="J71" s="3"/>
      <c r="K71" s="3"/>
      <c r="L71" s="35"/>
      <c r="N71"/>
    </row>
    <row r="72" spans="1:33">
      <c r="A72" s="260" t="s">
        <v>365</v>
      </c>
      <c r="B72" s="44"/>
      <c r="C72" s="489">
        <v>60</v>
      </c>
      <c r="D72" s="490" t="s">
        <v>615</v>
      </c>
      <c r="E72" s="3"/>
      <c r="F72" s="3"/>
      <c r="G72" s="257"/>
      <c r="H72" s="257"/>
      <c r="I72" s="3"/>
      <c r="J72" s="3"/>
      <c r="K72" s="3"/>
      <c r="L72" s="35"/>
      <c r="N72"/>
    </row>
    <row r="73" spans="1:33" ht="15.75" thickBot="1">
      <c r="A73" s="465" t="s">
        <v>366</v>
      </c>
      <c r="B73" s="466"/>
      <c r="C73" s="491">
        <v>10</v>
      </c>
      <c r="D73" s="490" t="s">
        <v>615</v>
      </c>
      <c r="E73" s="3"/>
      <c r="F73" s="3"/>
      <c r="G73" s="257"/>
      <c r="H73" s="257"/>
      <c r="I73" s="3"/>
      <c r="J73" s="3"/>
      <c r="K73" s="3"/>
      <c r="L73" s="35"/>
      <c r="N73"/>
    </row>
    <row r="74" spans="1:33">
      <c r="A74" s="3"/>
      <c r="B74" s="3"/>
      <c r="C74" s="410"/>
      <c r="D74" s="410"/>
      <c r="E74" s="3"/>
      <c r="F74" s="3"/>
      <c r="G74" s="3"/>
      <c r="H74" s="3"/>
      <c r="I74" s="3"/>
      <c r="J74" s="3"/>
      <c r="K74" s="3"/>
      <c r="L74" s="3"/>
    </row>
    <row r="75" spans="1:33" ht="15.75" thickBot="1">
      <c r="A75" s="3"/>
      <c r="B75" s="3"/>
      <c r="C75" s="3"/>
      <c r="D75" s="3"/>
      <c r="E75" s="3"/>
      <c r="F75" s="3"/>
      <c r="G75" s="3"/>
      <c r="H75" s="3"/>
      <c r="I75" s="3"/>
      <c r="J75" s="3"/>
      <c r="K75" s="2"/>
      <c r="L75" s="3"/>
      <c r="AA75" s="19"/>
      <c r="AB75" s="19"/>
    </row>
    <row r="76" spans="1:33" ht="31.5" customHeight="1" thickBot="1">
      <c r="A76" s="100" t="s">
        <v>329</v>
      </c>
      <c r="B76" s="101"/>
      <c r="C76" s="101"/>
      <c r="D76" s="101"/>
      <c r="E76" s="101"/>
      <c r="F76" s="101"/>
      <c r="G76" s="381" t="s">
        <v>360</v>
      </c>
      <c r="H76" s="373"/>
      <c r="I76" s="374"/>
      <c r="J76" s="374"/>
      <c r="K76" s="396"/>
      <c r="L76" s="102"/>
      <c r="M76" s="82"/>
      <c r="N76" s="82"/>
      <c r="O76" s="82"/>
      <c r="AA76" s="19"/>
      <c r="AB76" s="19"/>
    </row>
    <row r="77" spans="1:33" ht="18.75">
      <c r="A77" s="103"/>
      <c r="B77" s="102"/>
      <c r="C77" s="102"/>
      <c r="D77" s="102"/>
      <c r="E77" s="102"/>
      <c r="F77" s="102"/>
      <c r="G77" s="102"/>
      <c r="H77" s="102"/>
      <c r="I77" s="102"/>
      <c r="J77" s="104"/>
      <c r="K77" s="104"/>
      <c r="L77" s="102"/>
      <c r="M77" s="82"/>
      <c r="N77" s="82"/>
      <c r="O77" s="82"/>
      <c r="AA77" s="19"/>
      <c r="AB77" s="19"/>
    </row>
    <row r="78" spans="1:33" ht="18.75">
      <c r="A78" s="103" t="s">
        <v>1</v>
      </c>
      <c r="B78" s="102"/>
      <c r="C78" s="102"/>
      <c r="D78" s="102"/>
      <c r="E78" s="102"/>
      <c r="F78" s="102"/>
      <c r="G78" s="102"/>
      <c r="H78" s="102"/>
      <c r="I78" s="102"/>
      <c r="J78" s="104"/>
      <c r="K78" s="104"/>
      <c r="L78" s="102"/>
      <c r="M78" s="82"/>
      <c r="N78" s="82"/>
      <c r="O78" s="82"/>
      <c r="AA78" s="19"/>
      <c r="AB78" s="19"/>
    </row>
    <row r="79" spans="1:33" ht="15.75" thickBot="1">
      <c r="A79" s="2"/>
      <c r="B79" s="105"/>
      <c r="C79" s="105"/>
      <c r="D79" s="105"/>
      <c r="E79" s="105"/>
      <c r="F79" s="105"/>
      <c r="G79" s="2"/>
      <c r="H79" s="105"/>
      <c r="I79" s="2"/>
      <c r="J79" s="2"/>
      <c r="K79" s="2"/>
      <c r="L79" s="2"/>
      <c r="M79" s="20"/>
      <c r="N79" s="19"/>
      <c r="O79" s="19"/>
      <c r="P79" s="19"/>
      <c r="Q79" s="19"/>
      <c r="AB79" s="19"/>
    </row>
    <row r="80" spans="1:33" ht="45">
      <c r="A80" s="805"/>
      <c r="B80" s="806"/>
      <c r="C80" s="106" t="s">
        <v>260</v>
      </c>
      <c r="D80" s="107" t="s">
        <v>261</v>
      </c>
      <c r="E80" s="344" t="s">
        <v>330</v>
      </c>
      <c r="F80" s="345" t="s">
        <v>257</v>
      </c>
      <c r="G80" s="268"/>
      <c r="H80" s="269"/>
      <c r="I80" s="15"/>
      <c r="J80" s="2"/>
      <c r="K80" s="2"/>
      <c r="L80" s="2"/>
      <c r="M80" s="20"/>
      <c r="N80" s="19"/>
      <c r="O80" s="19"/>
      <c r="P80" s="19"/>
      <c r="Q80" s="19"/>
    </row>
    <row r="81" spans="1:17">
      <c r="A81" s="810" t="s">
        <v>601</v>
      </c>
      <c r="B81" s="811"/>
      <c r="C81" s="229"/>
      <c r="D81" s="229"/>
      <c r="E81" s="229"/>
      <c r="F81" s="108"/>
      <c r="G81" s="268"/>
      <c r="H81" s="269"/>
      <c r="I81" s="15"/>
      <c r="J81" s="2"/>
      <c r="K81" s="2"/>
      <c r="L81" s="2"/>
      <c r="M81" s="20"/>
      <c r="N81" s="19"/>
      <c r="O81" s="19"/>
      <c r="P81" s="19"/>
      <c r="Q81" s="19"/>
    </row>
    <row r="82" spans="1:17" ht="15.75" thickBot="1">
      <c r="A82" s="821" t="s">
        <v>602</v>
      </c>
      <c r="B82" s="822"/>
      <c r="C82" s="229">
        <v>1</v>
      </c>
      <c r="D82" s="229">
        <v>0</v>
      </c>
      <c r="E82" s="229">
        <v>0</v>
      </c>
      <c r="F82" s="229">
        <v>1</v>
      </c>
      <c r="G82" s="268"/>
      <c r="H82" s="269"/>
      <c r="I82" s="15"/>
      <c r="J82" s="2"/>
      <c r="K82" s="2"/>
      <c r="L82" s="2"/>
      <c r="M82" s="20"/>
      <c r="N82" s="19"/>
      <c r="O82" s="19"/>
      <c r="P82" s="19"/>
      <c r="Q82" s="19"/>
    </row>
    <row r="83" spans="1:17">
      <c r="A83" s="810" t="s">
        <v>603</v>
      </c>
      <c r="B83" s="811"/>
      <c r="C83" s="229">
        <v>0</v>
      </c>
      <c r="D83" s="229">
        <v>0</v>
      </c>
      <c r="E83" s="229"/>
      <c r="F83" s="108">
        <f>SUM(C83:E83)</f>
        <v>0</v>
      </c>
      <c r="G83" s="255"/>
      <c r="H83" s="267"/>
      <c r="I83" s="267"/>
      <c r="J83" s="2"/>
      <c r="K83" s="2"/>
      <c r="L83" s="2"/>
      <c r="M83" s="20"/>
      <c r="N83" s="19"/>
      <c r="O83" s="19"/>
      <c r="P83" s="19"/>
      <c r="Q83" s="19"/>
    </row>
    <row r="84" spans="1:17" ht="15.75" thickBot="1">
      <c r="A84" s="821" t="s">
        <v>604</v>
      </c>
      <c r="B84" s="822"/>
      <c r="C84" s="230">
        <v>0</v>
      </c>
      <c r="D84" s="230">
        <v>0</v>
      </c>
      <c r="E84" s="230">
        <v>0</v>
      </c>
      <c r="F84" s="109">
        <f>SUM(C84:E84)</f>
        <v>0</v>
      </c>
      <c r="G84" s="255"/>
      <c r="H84" s="15"/>
      <c r="I84" s="15"/>
      <c r="J84" s="2"/>
      <c r="K84" s="2"/>
      <c r="L84" s="2"/>
      <c r="M84" s="19"/>
      <c r="N84" s="19"/>
      <c r="O84" s="19"/>
      <c r="P84" s="19"/>
      <c r="Q84" s="19"/>
    </row>
    <row r="85" spans="1:17">
      <c r="A85" s="2"/>
      <c r="B85" s="2"/>
      <c r="C85" s="2"/>
      <c r="D85" s="2"/>
      <c r="E85" s="2"/>
      <c r="F85" s="2"/>
      <c r="G85" s="2"/>
      <c r="H85" s="2"/>
      <c r="I85" s="2"/>
      <c r="J85" s="2"/>
      <c r="K85" s="2"/>
      <c r="L85" s="2"/>
      <c r="M85" s="19"/>
      <c r="N85" s="19"/>
      <c r="O85" s="19"/>
      <c r="P85" s="19"/>
      <c r="Q85" s="19"/>
    </row>
    <row r="86" spans="1:17">
      <c r="A86" s="2"/>
      <c r="B86" s="2"/>
      <c r="C86" s="2"/>
      <c r="D86" s="2"/>
      <c r="E86" s="2"/>
      <c r="F86" s="2"/>
      <c r="G86" s="2"/>
      <c r="H86" s="2"/>
      <c r="I86" s="2"/>
      <c r="J86" s="2"/>
      <c r="K86" s="2"/>
      <c r="L86" s="2"/>
      <c r="M86" s="19"/>
      <c r="N86" s="19"/>
      <c r="O86" s="19"/>
    </row>
    <row r="87" spans="1:17" ht="18.75">
      <c r="A87" s="103" t="s">
        <v>398</v>
      </c>
      <c r="B87" s="2"/>
      <c r="C87" s="2"/>
      <c r="D87" s="2"/>
      <c r="E87" s="2"/>
      <c r="F87" s="2"/>
      <c r="G87" s="2"/>
      <c r="H87" s="2"/>
      <c r="I87" s="2"/>
      <c r="J87" s="2"/>
      <c r="K87" s="2"/>
      <c r="L87" s="2"/>
      <c r="M87" s="19"/>
      <c r="N87" s="19"/>
      <c r="O87" s="19"/>
    </row>
    <row r="88" spans="1:17" ht="15.75" thickBot="1">
      <c r="A88" s="2"/>
      <c r="B88" s="2"/>
      <c r="C88" s="2"/>
      <c r="D88" s="2"/>
      <c r="E88" s="2"/>
      <c r="F88" s="2"/>
      <c r="G88" s="2"/>
      <c r="H88" s="2"/>
      <c r="I88" s="2"/>
      <c r="J88" s="2"/>
      <c r="K88" s="2"/>
      <c r="L88" s="2"/>
      <c r="M88" s="19"/>
      <c r="N88" s="19"/>
      <c r="O88" s="19"/>
    </row>
    <row r="89" spans="1:17">
      <c r="A89" s="524" t="s">
        <v>385</v>
      </c>
      <c r="B89" s="340" t="s">
        <v>262</v>
      </c>
      <c r="C89" s="340" t="s">
        <v>263</v>
      </c>
      <c r="D89" s="110" t="s">
        <v>264</v>
      </c>
      <c r="E89" s="15"/>
      <c r="F89" s="15"/>
      <c r="G89" s="15"/>
      <c r="H89" s="269"/>
      <c r="I89" s="2"/>
      <c r="J89" s="2"/>
      <c r="K89" s="2"/>
      <c r="L89" s="2"/>
      <c r="M89" s="19"/>
      <c r="N89" s="19"/>
      <c r="O89" s="19"/>
    </row>
    <row r="90" spans="1:17" ht="15.75" thickBot="1">
      <c r="A90" s="384" t="s">
        <v>556</v>
      </c>
      <c r="B90" s="229">
        <v>6</v>
      </c>
      <c r="C90" s="229">
        <v>6</v>
      </c>
      <c r="D90" s="229">
        <f>B90-C90</f>
        <v>0</v>
      </c>
      <c r="E90" s="15"/>
      <c r="F90" s="15"/>
      <c r="G90" s="15"/>
      <c r="H90" s="269"/>
      <c r="I90" s="2"/>
      <c r="J90" s="2"/>
      <c r="K90" s="2"/>
      <c r="L90" s="2"/>
      <c r="M90" s="19"/>
      <c r="N90" s="19"/>
      <c r="O90" s="19"/>
    </row>
    <row r="91" spans="1:17" ht="15.75" thickBot="1">
      <c r="A91" s="384" t="s">
        <v>246</v>
      </c>
      <c r="B91" s="293">
        <v>4</v>
      </c>
      <c r="C91" s="293">
        <v>4</v>
      </c>
      <c r="D91" s="294">
        <f>+B91-C91</f>
        <v>0</v>
      </c>
      <c r="E91" s="234"/>
      <c r="F91" s="239"/>
      <c r="G91" s="15"/>
      <c r="H91" s="267"/>
      <c r="I91" s="2"/>
      <c r="J91" s="2"/>
      <c r="K91" s="2"/>
      <c r="L91" s="2"/>
      <c r="M91" s="19"/>
      <c r="N91" s="19"/>
      <c r="O91" s="19"/>
    </row>
    <row r="92" spans="1:17">
      <c r="A92" s="2"/>
      <c r="B92" s="359"/>
      <c r="C92" s="359"/>
      <c r="D92" s="359"/>
      <c r="E92" s="2"/>
      <c r="F92" s="2"/>
      <c r="G92" s="2"/>
      <c r="H92" s="2"/>
      <c r="I92" s="2"/>
      <c r="J92" s="2"/>
      <c r="K92" s="2"/>
      <c r="L92" s="2"/>
      <c r="M92" s="19"/>
      <c r="N92" s="19"/>
      <c r="O92" s="19"/>
    </row>
    <row r="93" spans="1:17" ht="18.75">
      <c r="A93" s="103" t="s">
        <v>369</v>
      </c>
      <c r="B93" s="2"/>
      <c r="C93" s="2"/>
      <c r="D93" s="2"/>
      <c r="E93" s="2"/>
      <c r="F93" s="2"/>
      <c r="G93" s="2"/>
      <c r="H93" s="2"/>
      <c r="I93" s="2"/>
      <c r="J93" s="2"/>
      <c r="K93" s="2"/>
      <c r="L93" s="2"/>
      <c r="M93" s="19"/>
      <c r="N93" s="19"/>
      <c r="O93" s="19"/>
    </row>
    <row r="94" spans="1:17" ht="15.75" thickBot="1">
      <c r="A94" s="2"/>
      <c r="B94" s="2"/>
      <c r="C94" s="2"/>
      <c r="D94" s="2"/>
      <c r="E94" s="2"/>
      <c r="F94" s="2"/>
      <c r="G94" s="2"/>
      <c r="H94" s="2"/>
      <c r="I94" s="2"/>
      <c r="J94" s="2"/>
      <c r="K94" s="2"/>
      <c r="L94" s="2"/>
      <c r="M94" s="19"/>
      <c r="N94" s="19"/>
      <c r="O94" s="19"/>
    </row>
    <row r="95" spans="1:17" ht="30">
      <c r="A95" s="543"/>
      <c r="B95" s="560" t="s">
        <v>412</v>
      </c>
      <c r="C95" s="561" t="s">
        <v>413</v>
      </c>
      <c r="D95" s="561" t="s">
        <v>414</v>
      </c>
      <c r="E95" s="562" t="s">
        <v>410</v>
      </c>
      <c r="F95" s="563" t="s">
        <v>367</v>
      </c>
      <c r="G95" s="240"/>
      <c r="H95" s="269"/>
      <c r="I95" s="2"/>
      <c r="J95" s="2"/>
      <c r="K95" s="2"/>
      <c r="L95" s="2"/>
      <c r="M95" s="19"/>
      <c r="N95" s="19"/>
      <c r="O95" s="19"/>
    </row>
    <row r="96" spans="1:17" ht="15.75" thickBot="1">
      <c r="A96" s="564" t="s">
        <v>605</v>
      </c>
      <c r="B96" s="525">
        <v>28</v>
      </c>
      <c r="C96" s="526">
        <v>26</v>
      </c>
      <c r="D96" s="526">
        <v>26</v>
      </c>
      <c r="E96" s="526">
        <v>28</v>
      </c>
      <c r="F96" s="526">
        <v>26</v>
      </c>
      <c r="G96" s="270"/>
      <c r="H96" s="255"/>
      <c r="I96" s="2"/>
      <c r="J96" s="2"/>
      <c r="K96" s="2"/>
      <c r="L96" s="2"/>
      <c r="M96" s="19"/>
      <c r="N96" s="19"/>
      <c r="O96" s="19"/>
    </row>
    <row r="97" spans="1:34" ht="15.75" thickBot="1">
      <c r="A97" s="565" t="s">
        <v>606</v>
      </c>
      <c r="B97" s="526">
        <v>10</v>
      </c>
      <c r="C97" s="526">
        <v>10</v>
      </c>
      <c r="D97" s="526">
        <v>10</v>
      </c>
      <c r="E97" s="526">
        <v>10</v>
      </c>
      <c r="F97" s="566">
        <v>10</v>
      </c>
      <c r="G97" s="270"/>
      <c r="H97" s="255"/>
      <c r="I97" s="2"/>
      <c r="J97" s="2"/>
      <c r="K97" s="2"/>
      <c r="L97" s="2"/>
      <c r="M97" s="19"/>
      <c r="N97" s="19"/>
      <c r="O97" s="19"/>
    </row>
    <row r="98" spans="1:34">
      <c r="A98" s="2"/>
      <c r="B98" s="2"/>
      <c r="C98" s="2"/>
      <c r="D98" s="2"/>
      <c r="E98" s="2"/>
      <c r="F98" s="2"/>
      <c r="G98" s="2"/>
      <c r="I98" s="2"/>
      <c r="J98" s="2"/>
      <c r="K98" s="2"/>
      <c r="L98" s="2"/>
      <c r="M98" s="19"/>
      <c r="N98" s="19"/>
      <c r="O98" s="19"/>
    </row>
    <row r="99" spans="1:34" ht="18.75">
      <c r="A99" s="103" t="s">
        <v>7</v>
      </c>
      <c r="B99" s="2"/>
      <c r="C99" s="2"/>
      <c r="D99" s="2"/>
      <c r="E99" s="2"/>
      <c r="F99" s="2"/>
      <c r="G99" s="2"/>
      <c r="H99" s="2"/>
      <c r="I99" s="2"/>
      <c r="J99" s="2"/>
      <c r="K99" s="2"/>
      <c r="L99" s="2"/>
      <c r="M99" s="19"/>
      <c r="N99" s="19"/>
      <c r="O99" s="19"/>
    </row>
    <row r="100" spans="1:34" ht="15.75" thickBot="1">
      <c r="A100" s="2"/>
      <c r="B100" s="2"/>
      <c r="C100" s="2"/>
      <c r="D100" s="2"/>
      <c r="E100" s="2"/>
      <c r="F100" s="2"/>
      <c r="G100" s="2"/>
      <c r="H100" s="2"/>
      <c r="I100" s="2"/>
      <c r="J100" s="2"/>
      <c r="K100" s="2"/>
      <c r="L100" s="2"/>
      <c r="M100" s="19"/>
      <c r="N100" s="19"/>
      <c r="O100" s="19"/>
    </row>
    <row r="101" spans="1:34" ht="27.75" customHeight="1">
      <c r="A101" s="543"/>
      <c r="B101" s="544" t="s">
        <v>266</v>
      </c>
      <c r="C101" s="544" t="s">
        <v>267</v>
      </c>
      <c r="D101" s="545" t="s">
        <v>368</v>
      </c>
      <c r="E101" s="2"/>
      <c r="F101" s="2"/>
      <c r="G101" s="2"/>
      <c r="H101" s="2"/>
      <c r="I101" s="19"/>
      <c r="J101" s="19"/>
      <c r="K101" s="19"/>
      <c r="M101"/>
      <c r="N101" s="19"/>
      <c r="AE101" s="35"/>
      <c r="AH101"/>
    </row>
    <row r="102" spans="1:34" ht="27.75" customHeight="1">
      <c r="A102" s="546" t="s">
        <v>608</v>
      </c>
      <c r="B102" s="229">
        <v>0</v>
      </c>
      <c r="C102" s="231">
        <v>0</v>
      </c>
      <c r="D102" s="547">
        <v>0</v>
      </c>
      <c r="E102" s="2"/>
      <c r="F102" s="2"/>
      <c r="G102" s="2"/>
      <c r="H102" s="2"/>
      <c r="I102" s="19"/>
      <c r="J102" s="19"/>
      <c r="K102" s="19"/>
      <c r="M102"/>
      <c r="N102" s="19"/>
      <c r="AE102" s="35"/>
      <c r="AH102"/>
    </row>
    <row r="103" spans="1:34" ht="27.75" customHeight="1">
      <c r="A103" s="546" t="s">
        <v>609</v>
      </c>
      <c r="B103" s="229">
        <v>28</v>
      </c>
      <c r="C103" s="231">
        <v>26</v>
      </c>
      <c r="D103" s="548">
        <f>B103-C103</f>
        <v>2</v>
      </c>
      <c r="E103" s="2"/>
      <c r="F103" s="2"/>
      <c r="G103" s="2"/>
      <c r="H103" s="2"/>
      <c r="I103" s="19"/>
      <c r="J103" s="19"/>
      <c r="K103" s="19"/>
      <c r="M103"/>
      <c r="N103" s="19"/>
      <c r="AE103" s="35"/>
      <c r="AH103"/>
    </row>
    <row r="104" spans="1:34">
      <c r="A104" s="546" t="s">
        <v>607</v>
      </c>
      <c r="B104" s="229"/>
      <c r="C104" s="231"/>
      <c r="D104" s="547">
        <f t="shared" ref="D104:D105" si="1">B104-C104</f>
        <v>0</v>
      </c>
      <c r="E104" s="2"/>
      <c r="F104" s="2"/>
      <c r="G104" s="2"/>
      <c r="H104" s="2"/>
      <c r="I104" s="19"/>
      <c r="J104" s="19"/>
      <c r="K104" s="19"/>
      <c r="M104"/>
      <c r="N104" s="19"/>
      <c r="AE104" s="35"/>
      <c r="AH104"/>
    </row>
    <row r="105" spans="1:34" ht="15.75" thickBot="1">
      <c r="A105" s="549" t="s">
        <v>610</v>
      </c>
      <c r="B105" s="550">
        <v>10</v>
      </c>
      <c r="C105" s="551">
        <v>10</v>
      </c>
      <c r="D105" s="552">
        <f t="shared" si="1"/>
        <v>0</v>
      </c>
      <c r="E105" s="2"/>
      <c r="F105" s="2"/>
      <c r="G105" s="2"/>
      <c r="H105" s="2"/>
      <c r="I105" s="19"/>
      <c r="J105" s="19"/>
      <c r="K105" s="19"/>
      <c r="M105"/>
      <c r="N105" s="19"/>
      <c r="AE105" s="35"/>
      <c r="AH105"/>
    </row>
    <row r="106" spans="1:34">
      <c r="A106" s="2"/>
      <c r="B106" s="2"/>
      <c r="C106" s="2"/>
      <c r="D106" s="2"/>
      <c r="E106" s="2"/>
      <c r="F106" s="2"/>
      <c r="G106" s="2"/>
      <c r="H106" s="2"/>
      <c r="I106" s="2"/>
      <c r="J106" s="2"/>
      <c r="K106" s="2"/>
      <c r="L106" s="2"/>
      <c r="M106" s="19"/>
      <c r="N106" s="19"/>
      <c r="O106" s="19"/>
    </row>
    <row r="107" spans="1:34" ht="18.75">
      <c r="A107" s="103" t="s">
        <v>403</v>
      </c>
      <c r="B107" s="2"/>
      <c r="C107" s="2"/>
      <c r="D107" s="2"/>
      <c r="E107" s="2"/>
      <c r="F107" s="2"/>
      <c r="G107" s="2"/>
      <c r="H107" s="2"/>
      <c r="I107" s="2"/>
      <c r="J107" s="2"/>
      <c r="K107" s="2"/>
      <c r="L107" s="2"/>
      <c r="M107" s="19"/>
      <c r="N107" s="19"/>
      <c r="O107" s="19"/>
    </row>
    <row r="108" spans="1:34" ht="15.75" thickBot="1">
      <c r="A108" s="2"/>
      <c r="B108" s="2"/>
      <c r="C108" s="2"/>
      <c r="D108" s="2"/>
      <c r="E108" s="2"/>
      <c r="F108" s="2"/>
      <c r="G108" s="2"/>
      <c r="H108" s="15"/>
      <c r="I108" s="15"/>
      <c r="J108" s="15"/>
      <c r="K108" s="15"/>
      <c r="L108" s="15"/>
      <c r="M108" s="20"/>
      <c r="N108" s="20"/>
      <c r="O108" s="20"/>
    </row>
    <row r="109" spans="1:34">
      <c r="A109" s="447"/>
      <c r="B109" s="303" t="s">
        <v>55</v>
      </c>
      <c r="C109" s="303" t="s">
        <v>56</v>
      </c>
      <c r="D109" s="303" t="s">
        <v>57</v>
      </c>
      <c r="E109" s="303" t="s">
        <v>58</v>
      </c>
      <c r="F109" s="303" t="s">
        <v>65</v>
      </c>
      <c r="G109" s="303" t="s">
        <v>66</v>
      </c>
      <c r="H109" s="303" t="s">
        <v>67</v>
      </c>
      <c r="I109" s="303" t="s">
        <v>68</v>
      </c>
      <c r="J109" s="303" t="s">
        <v>69</v>
      </c>
      <c r="K109" s="303" t="s">
        <v>70</v>
      </c>
      <c r="L109" s="303" t="s">
        <v>71</v>
      </c>
      <c r="M109" s="553" t="s">
        <v>78</v>
      </c>
      <c r="N109" s="20"/>
      <c r="O109" s="20"/>
    </row>
    <row r="110" spans="1:34" ht="15" customHeight="1">
      <c r="A110" s="448" t="s">
        <v>442</v>
      </c>
      <c r="B110" s="538">
        <v>68288.95</v>
      </c>
      <c r="C110" s="538">
        <v>6219002.4738936163</v>
      </c>
      <c r="D110" s="538">
        <v>1028404.8850766008</v>
      </c>
      <c r="E110" s="295">
        <v>1486931.22</v>
      </c>
      <c r="F110" s="295"/>
      <c r="G110" s="295"/>
      <c r="H110" s="295"/>
      <c r="I110" s="295"/>
      <c r="J110" s="295"/>
      <c r="K110" s="295"/>
      <c r="L110" s="295"/>
      <c r="M110" s="554"/>
      <c r="N110" s="20"/>
      <c r="O110" s="20"/>
    </row>
    <row r="111" spans="1:34" ht="15" customHeight="1">
      <c r="A111" s="448" t="s">
        <v>331</v>
      </c>
      <c r="B111" s="538">
        <v>3286506.8408695655</v>
      </c>
      <c r="C111" s="538">
        <v>2290937.1599999997</v>
      </c>
      <c r="D111" s="538">
        <v>378547.96</v>
      </c>
      <c r="E111" s="295">
        <v>61875.05</v>
      </c>
      <c r="F111" s="295"/>
      <c r="G111" s="295"/>
      <c r="H111" s="295"/>
      <c r="I111" s="295"/>
      <c r="J111" s="295"/>
      <c r="K111" s="295"/>
      <c r="L111" s="295"/>
      <c r="M111" s="554"/>
      <c r="N111" s="20"/>
      <c r="O111" s="20"/>
    </row>
    <row r="112" spans="1:34" ht="15" customHeight="1">
      <c r="A112" s="448" t="s">
        <v>268</v>
      </c>
      <c r="B112" s="538">
        <v>68288.95</v>
      </c>
      <c r="C112" s="538">
        <v>1722880</v>
      </c>
      <c r="D112" s="538">
        <v>4837442.7573867589</v>
      </c>
      <c r="E112" s="295">
        <v>1325543.6299999997</v>
      </c>
      <c r="F112" s="295"/>
      <c r="G112" s="295"/>
      <c r="H112" s="295"/>
      <c r="I112" s="295"/>
      <c r="J112" s="295"/>
      <c r="K112" s="295"/>
      <c r="L112" s="295"/>
      <c r="M112" s="554"/>
      <c r="N112" s="20"/>
      <c r="O112" s="20"/>
    </row>
    <row r="113" spans="1:35" ht="15" customHeight="1">
      <c r="A113" s="449" t="s">
        <v>370</v>
      </c>
      <c r="B113" s="539">
        <f>+B110</f>
        <v>68288.95</v>
      </c>
      <c r="C113" s="539">
        <f>+C110+B110</f>
        <v>6287291.4238936165</v>
      </c>
      <c r="D113" s="539">
        <f>+D110+C110+B110</f>
        <v>7315696.3089702176</v>
      </c>
      <c r="E113" s="296">
        <f>D113+E110</f>
        <v>8802627.5289702173</v>
      </c>
      <c r="F113" s="296"/>
      <c r="G113" s="296"/>
      <c r="H113" s="296"/>
      <c r="I113" s="296"/>
      <c r="J113" s="296"/>
      <c r="K113" s="296"/>
      <c r="L113" s="296"/>
      <c r="M113" s="555"/>
      <c r="N113" s="20"/>
      <c r="O113" s="20"/>
    </row>
    <row r="114" spans="1:35" ht="15" customHeight="1">
      <c r="A114" s="449" t="s">
        <v>332</v>
      </c>
      <c r="B114" s="539">
        <f>+B111</f>
        <v>3286506.8408695655</v>
      </c>
      <c r="C114" s="539">
        <f>+C111+B111</f>
        <v>5577444.0008695647</v>
      </c>
      <c r="D114" s="539">
        <f>D111</f>
        <v>378547.96</v>
      </c>
      <c r="E114" s="296">
        <f>E111</f>
        <v>61875.05</v>
      </c>
      <c r="F114" s="296"/>
      <c r="G114" s="296"/>
      <c r="H114" s="296"/>
      <c r="I114" s="296"/>
      <c r="J114" s="296"/>
      <c r="K114" s="296"/>
      <c r="L114" s="296"/>
      <c r="M114" s="555"/>
      <c r="N114" s="20"/>
      <c r="O114" s="20"/>
    </row>
    <row r="115" spans="1:35" ht="15.75" thickBot="1">
      <c r="A115" s="556" t="s">
        <v>333</v>
      </c>
      <c r="B115" s="557">
        <f>+B112</f>
        <v>68288.95</v>
      </c>
      <c r="C115" s="557">
        <f>+C112+B115</f>
        <v>1791168.95</v>
      </c>
      <c r="D115" s="557">
        <f>+D112+C115</f>
        <v>6628611.7073867591</v>
      </c>
      <c r="E115" s="558">
        <f>D115+E112</f>
        <v>7954155.337386759</v>
      </c>
      <c r="F115" s="558"/>
      <c r="G115" s="558"/>
      <c r="H115" s="558"/>
      <c r="I115" s="558"/>
      <c r="J115" s="558"/>
      <c r="K115" s="558"/>
      <c r="L115" s="558"/>
      <c r="M115" s="559"/>
      <c r="N115" s="20"/>
      <c r="O115" s="20"/>
    </row>
    <row r="116" spans="1:35">
      <c r="A116" s="3"/>
      <c r="B116" s="2"/>
      <c r="C116" s="2"/>
      <c r="D116" s="2"/>
      <c r="E116" s="2"/>
      <c r="F116" s="2"/>
      <c r="G116" s="2"/>
      <c r="H116" s="15"/>
      <c r="I116" s="111"/>
      <c r="J116" s="112"/>
      <c r="K116" s="15"/>
      <c r="L116" s="113"/>
      <c r="M116" s="20"/>
      <c r="N116" s="20"/>
      <c r="O116" s="20"/>
    </row>
    <row r="117" spans="1:35">
      <c r="A117" s="2" t="s">
        <v>405</v>
      </c>
      <c r="B117" s="2"/>
      <c r="C117" s="2"/>
      <c r="D117" s="2"/>
      <c r="E117" s="2"/>
      <c r="F117" s="2"/>
      <c r="G117" s="2"/>
      <c r="H117" s="15"/>
      <c r="I117" s="111"/>
      <c r="J117" s="112"/>
      <c r="K117" s="15"/>
      <c r="L117" s="113"/>
      <c r="M117" s="20"/>
      <c r="N117" s="20"/>
      <c r="O117" s="20"/>
    </row>
    <row r="118" spans="1:35">
      <c r="B118" s="2"/>
      <c r="C118" s="2"/>
      <c r="D118" s="2"/>
      <c r="E118" s="2"/>
      <c r="F118" s="2"/>
      <c r="G118" s="2"/>
      <c r="H118" s="15"/>
      <c r="I118" s="111"/>
      <c r="J118" s="113"/>
      <c r="K118" s="15"/>
      <c r="L118" s="113"/>
      <c r="M118" s="20"/>
      <c r="N118" s="20"/>
      <c r="O118" s="20"/>
    </row>
    <row r="119" spans="1:35">
      <c r="A119" s="3"/>
      <c r="B119" s="3"/>
      <c r="C119" s="3"/>
      <c r="D119" s="3"/>
      <c r="E119" s="3"/>
      <c r="F119" s="3"/>
      <c r="G119" s="3"/>
      <c r="H119" s="15"/>
      <c r="I119" s="15"/>
      <c r="J119" s="15"/>
      <c r="K119" s="15"/>
      <c r="L119" s="15"/>
      <c r="M119" s="20"/>
      <c r="N119" s="20"/>
      <c r="O119" s="20"/>
    </row>
    <row r="120" spans="1:35" ht="19.5" thickBot="1">
      <c r="A120" s="103" t="s">
        <v>371</v>
      </c>
      <c r="B120" s="3"/>
      <c r="C120" s="3"/>
      <c r="D120" s="3"/>
      <c r="E120" s="3"/>
      <c r="F120" s="3"/>
      <c r="G120" s="3"/>
      <c r="H120" s="15"/>
      <c r="I120" s="15"/>
      <c r="J120" s="15"/>
      <c r="K120" s="15"/>
      <c r="L120" s="15"/>
      <c r="M120" s="20"/>
      <c r="N120" s="20"/>
      <c r="O120" s="20"/>
    </row>
    <row r="121" spans="1:35" ht="127.5">
      <c r="A121" s="567" t="s">
        <v>269</v>
      </c>
      <c r="B121" s="568" t="s">
        <v>457</v>
      </c>
      <c r="C121" s="569" t="s">
        <v>372</v>
      </c>
      <c r="D121" s="569" t="s">
        <v>345</v>
      </c>
      <c r="E121" s="570" t="s">
        <v>3</v>
      </c>
      <c r="F121" s="571" t="s">
        <v>352</v>
      </c>
      <c r="G121" s="572" t="s">
        <v>373</v>
      </c>
      <c r="H121" s="569" t="s">
        <v>375</v>
      </c>
      <c r="I121" s="569" t="s">
        <v>376</v>
      </c>
      <c r="J121" s="573" t="s">
        <v>377</v>
      </c>
      <c r="K121" s="2"/>
      <c r="L121" s="20"/>
      <c r="M121" s="20"/>
      <c r="N121" s="20"/>
      <c r="O121" s="19"/>
      <c r="Q121" s="20"/>
      <c r="AF121"/>
      <c r="AI121" s="35"/>
    </row>
    <row r="122" spans="1:35">
      <c r="A122" s="901" t="s">
        <v>244</v>
      </c>
      <c r="B122" s="640" t="s">
        <v>749</v>
      </c>
      <c r="C122" s="641">
        <v>2</v>
      </c>
      <c r="D122" s="643">
        <f t="shared" ref="D122:D135" si="2">IF(ISBLANK(C122),"",C122*30)</f>
        <v>60</v>
      </c>
      <c r="E122" s="649">
        <v>32</v>
      </c>
      <c r="F122" s="644">
        <f t="shared" ref="F122:F136" si="3">E122*D122</f>
        <v>1920</v>
      </c>
      <c r="G122" s="651">
        <v>16247</v>
      </c>
      <c r="H122" s="645">
        <f t="shared" ref="H122:H136" si="4">G122/F122</f>
        <v>8.4619791666666675</v>
      </c>
      <c r="I122" s="646">
        <v>3</v>
      </c>
      <c r="J122" s="647">
        <f t="shared" ref="J122:J136" si="5">IF(AND(H122&gt;0,I122&gt;0),H122-I122,"")</f>
        <v>5.4619791666666675</v>
      </c>
      <c r="K122" s="2"/>
      <c r="L122" s="20"/>
      <c r="M122" s="20"/>
      <c r="N122" s="20"/>
      <c r="O122" s="19"/>
      <c r="Q122" s="20"/>
      <c r="AF122"/>
      <c r="AI122" s="35"/>
    </row>
    <row r="123" spans="1:35">
      <c r="A123" s="902"/>
      <c r="B123" s="640" t="s">
        <v>750</v>
      </c>
      <c r="C123" s="641">
        <v>2</v>
      </c>
      <c r="D123" s="643">
        <f t="shared" si="2"/>
        <v>60</v>
      </c>
      <c r="E123" s="649">
        <v>83</v>
      </c>
      <c r="F123" s="644">
        <f t="shared" si="3"/>
        <v>4980</v>
      </c>
      <c r="G123" s="651">
        <v>39993</v>
      </c>
      <c r="H123" s="645">
        <f t="shared" si="4"/>
        <v>8.0307228915662652</v>
      </c>
      <c r="I123" s="646">
        <v>3</v>
      </c>
      <c r="J123" s="647">
        <f t="shared" si="5"/>
        <v>5.0307228915662652</v>
      </c>
      <c r="K123" s="2"/>
      <c r="L123" s="20"/>
      <c r="M123" s="20"/>
      <c r="N123" s="20"/>
      <c r="O123" s="19"/>
      <c r="Q123" s="20"/>
      <c r="AF123"/>
      <c r="AI123" s="35"/>
    </row>
    <row r="124" spans="1:35">
      <c r="A124" s="902"/>
      <c r="B124" s="640" t="s">
        <v>751</v>
      </c>
      <c r="C124" s="641">
        <v>2</v>
      </c>
      <c r="D124" s="643">
        <f t="shared" si="2"/>
        <v>60</v>
      </c>
      <c r="E124" s="649">
        <v>2</v>
      </c>
      <c r="F124" s="644">
        <f t="shared" si="3"/>
        <v>120</v>
      </c>
      <c r="G124" s="651">
        <v>2460</v>
      </c>
      <c r="H124" s="645">
        <f t="shared" si="4"/>
        <v>20.5</v>
      </c>
      <c r="I124" s="646">
        <v>3</v>
      </c>
      <c r="J124" s="647">
        <f t="shared" si="5"/>
        <v>17.5</v>
      </c>
      <c r="K124" s="2"/>
      <c r="L124" s="20"/>
      <c r="M124" s="20"/>
      <c r="N124" s="20"/>
      <c r="O124" s="19"/>
      <c r="Q124" s="20"/>
      <c r="AF124"/>
      <c r="AI124" s="35"/>
    </row>
    <row r="125" spans="1:35">
      <c r="A125" s="902"/>
      <c r="B125" s="640" t="s">
        <v>752</v>
      </c>
      <c r="C125" s="641">
        <v>2</v>
      </c>
      <c r="D125" s="643">
        <f t="shared" si="2"/>
        <v>60</v>
      </c>
      <c r="E125" s="649">
        <v>522</v>
      </c>
      <c r="F125" s="644">
        <f t="shared" si="3"/>
        <v>31320</v>
      </c>
      <c r="G125" s="651">
        <v>218761</v>
      </c>
      <c r="H125" s="645">
        <f t="shared" si="4"/>
        <v>6.9847062579821202</v>
      </c>
      <c r="I125" s="646">
        <v>3</v>
      </c>
      <c r="J125" s="647">
        <f t="shared" si="5"/>
        <v>3.9847062579821202</v>
      </c>
      <c r="K125" s="2"/>
      <c r="L125" s="20"/>
      <c r="M125" s="20"/>
      <c r="N125" s="20"/>
      <c r="O125" s="19"/>
      <c r="Q125" s="20"/>
      <c r="AF125"/>
      <c r="AI125" s="35"/>
    </row>
    <row r="126" spans="1:35">
      <c r="A126" s="902"/>
      <c r="B126" s="640" t="s">
        <v>753</v>
      </c>
      <c r="C126" s="641">
        <v>3</v>
      </c>
      <c r="D126" s="643">
        <f t="shared" si="2"/>
        <v>90</v>
      </c>
      <c r="E126" s="649">
        <v>200</v>
      </c>
      <c r="F126" s="644">
        <f t="shared" si="3"/>
        <v>18000</v>
      </c>
      <c r="G126" s="651">
        <v>213652</v>
      </c>
      <c r="H126" s="645">
        <f t="shared" si="4"/>
        <v>11.869555555555555</v>
      </c>
      <c r="I126" s="646">
        <v>3</v>
      </c>
      <c r="J126" s="647">
        <f t="shared" si="5"/>
        <v>8.8695555555555554</v>
      </c>
      <c r="K126" s="2"/>
      <c r="L126" s="20"/>
      <c r="M126" s="20"/>
      <c r="N126" s="20"/>
      <c r="O126" s="19"/>
      <c r="Q126" s="20"/>
      <c r="AF126"/>
      <c r="AI126" s="35"/>
    </row>
    <row r="127" spans="1:35">
      <c r="A127" s="902"/>
      <c r="B127" s="640" t="s">
        <v>754</v>
      </c>
      <c r="C127" s="641">
        <v>1</v>
      </c>
      <c r="D127" s="643">
        <f t="shared" si="2"/>
        <v>30</v>
      </c>
      <c r="E127" s="649">
        <v>107</v>
      </c>
      <c r="F127" s="644">
        <f t="shared" si="3"/>
        <v>3210</v>
      </c>
      <c r="G127" s="651">
        <v>31073</v>
      </c>
      <c r="H127" s="645">
        <f t="shared" si="4"/>
        <v>9.6800623052959498</v>
      </c>
      <c r="I127" s="646">
        <v>3</v>
      </c>
      <c r="J127" s="647">
        <f t="shared" si="5"/>
        <v>6.6800623052959498</v>
      </c>
      <c r="K127" s="2"/>
      <c r="L127" s="20"/>
      <c r="M127" s="20"/>
      <c r="N127" s="20"/>
      <c r="O127" s="19"/>
      <c r="Q127" s="20"/>
      <c r="AF127"/>
      <c r="AI127" s="35"/>
    </row>
    <row r="128" spans="1:35">
      <c r="A128" s="902"/>
      <c r="B128" s="640" t="s">
        <v>755</v>
      </c>
      <c r="C128" s="641">
        <v>4</v>
      </c>
      <c r="D128" s="643">
        <f t="shared" si="2"/>
        <v>120</v>
      </c>
      <c r="E128" s="649">
        <v>292</v>
      </c>
      <c r="F128" s="644">
        <f t="shared" si="3"/>
        <v>35040</v>
      </c>
      <c r="G128" s="651">
        <f>344488+175551</f>
        <v>520039</v>
      </c>
      <c r="H128" s="645">
        <f t="shared" si="4"/>
        <v>14.841295662100457</v>
      </c>
      <c r="I128" s="646">
        <v>3</v>
      </c>
      <c r="J128" s="647">
        <f t="shared" si="5"/>
        <v>11.841295662100457</v>
      </c>
      <c r="K128" s="2"/>
      <c r="L128" s="20"/>
      <c r="M128" s="20"/>
      <c r="N128" s="20"/>
      <c r="O128" s="19"/>
      <c r="Q128" s="20"/>
      <c r="AF128"/>
      <c r="AI128" s="35"/>
    </row>
    <row r="129" spans="1:35">
      <c r="A129" s="902"/>
      <c r="B129" s="640" t="s">
        <v>756</v>
      </c>
      <c r="C129" s="641">
        <v>2</v>
      </c>
      <c r="D129" s="643">
        <f t="shared" si="2"/>
        <v>60</v>
      </c>
      <c r="E129" s="649">
        <v>176</v>
      </c>
      <c r="F129" s="644">
        <f t="shared" si="3"/>
        <v>10560</v>
      </c>
      <c r="G129" s="651">
        <v>46046</v>
      </c>
      <c r="H129" s="645">
        <f t="shared" si="4"/>
        <v>4.3604166666666666</v>
      </c>
      <c r="I129" s="646">
        <v>3</v>
      </c>
      <c r="J129" s="647">
        <f t="shared" si="5"/>
        <v>1.3604166666666666</v>
      </c>
      <c r="K129" s="2"/>
      <c r="L129" s="20"/>
      <c r="M129" s="20"/>
      <c r="N129" s="20"/>
      <c r="O129" s="19"/>
      <c r="Q129" s="20"/>
      <c r="AF129"/>
      <c r="AI129" s="35"/>
    </row>
    <row r="130" spans="1:35">
      <c r="A130" s="902"/>
      <c r="B130" s="640" t="s">
        <v>757</v>
      </c>
      <c r="C130" s="641">
        <v>1</v>
      </c>
      <c r="D130" s="643">
        <f t="shared" si="2"/>
        <v>30</v>
      </c>
      <c r="E130" s="649">
        <v>8</v>
      </c>
      <c r="F130" s="644">
        <f t="shared" si="3"/>
        <v>240</v>
      </c>
      <c r="G130" s="651">
        <v>2668</v>
      </c>
      <c r="H130" s="645">
        <f t="shared" si="4"/>
        <v>11.116666666666667</v>
      </c>
      <c r="I130" s="646">
        <v>3</v>
      </c>
      <c r="J130" s="647">
        <f t="shared" si="5"/>
        <v>8.1166666666666671</v>
      </c>
      <c r="K130" s="2"/>
      <c r="L130" s="20"/>
      <c r="M130" s="20"/>
      <c r="N130" s="20"/>
      <c r="O130" s="19"/>
      <c r="Q130" s="20"/>
      <c r="AF130"/>
      <c r="AI130" s="35"/>
    </row>
    <row r="131" spans="1:35">
      <c r="A131" s="902"/>
      <c r="B131" s="640" t="s">
        <v>758</v>
      </c>
      <c r="C131" s="641">
        <v>1</v>
      </c>
      <c r="D131" s="643">
        <f t="shared" si="2"/>
        <v>30</v>
      </c>
      <c r="E131" s="649">
        <v>149</v>
      </c>
      <c r="F131" s="644">
        <f t="shared" si="3"/>
        <v>4470</v>
      </c>
      <c r="G131" s="651">
        <v>52373</v>
      </c>
      <c r="H131" s="645">
        <f t="shared" si="4"/>
        <v>11.7165548098434</v>
      </c>
      <c r="I131" s="646">
        <v>3</v>
      </c>
      <c r="J131" s="647">
        <f t="shared" si="5"/>
        <v>8.7165548098433998</v>
      </c>
      <c r="K131" s="2"/>
      <c r="L131" s="20"/>
      <c r="M131" s="20"/>
      <c r="N131" s="20"/>
      <c r="O131" s="19"/>
      <c r="Q131" s="20"/>
      <c r="AF131"/>
      <c r="AI131" s="35"/>
    </row>
    <row r="132" spans="1:35">
      <c r="A132" s="902"/>
      <c r="B132" s="640" t="s">
        <v>759</v>
      </c>
      <c r="C132" s="641">
        <v>1</v>
      </c>
      <c r="D132" s="643">
        <f t="shared" si="2"/>
        <v>30</v>
      </c>
      <c r="E132" s="649">
        <v>2636</v>
      </c>
      <c r="F132" s="644">
        <f t="shared" si="3"/>
        <v>79080</v>
      </c>
      <c r="G132" s="651">
        <v>488703</v>
      </c>
      <c r="H132" s="645">
        <f t="shared" si="4"/>
        <v>6.1798558421851286</v>
      </c>
      <c r="I132" s="646">
        <v>3</v>
      </c>
      <c r="J132" s="647">
        <f t="shared" si="5"/>
        <v>3.1798558421851286</v>
      </c>
      <c r="K132" s="2"/>
      <c r="L132" s="20"/>
      <c r="M132" s="20"/>
      <c r="N132" s="20"/>
      <c r="O132" s="19"/>
      <c r="Q132" s="20"/>
      <c r="AF132"/>
      <c r="AI132" s="35"/>
    </row>
    <row r="133" spans="1:35">
      <c r="A133" s="902"/>
      <c r="B133" s="640" t="s">
        <v>760</v>
      </c>
      <c r="C133" s="642">
        <v>1</v>
      </c>
      <c r="D133" s="643">
        <f t="shared" si="2"/>
        <v>30</v>
      </c>
      <c r="E133" s="650">
        <v>130</v>
      </c>
      <c r="F133" s="644">
        <f t="shared" si="3"/>
        <v>3900</v>
      </c>
      <c r="G133" s="651">
        <v>39739</v>
      </c>
      <c r="H133" s="645">
        <f t="shared" si="4"/>
        <v>10.189487179487179</v>
      </c>
      <c r="I133" s="646">
        <v>3</v>
      </c>
      <c r="J133" s="647">
        <f t="shared" si="5"/>
        <v>7.1894871794871786</v>
      </c>
      <c r="K133" s="2"/>
      <c r="L133" s="20"/>
      <c r="M133" s="20"/>
      <c r="N133" s="20"/>
      <c r="O133" s="19"/>
      <c r="Q133" s="20"/>
      <c r="AF133"/>
      <c r="AI133" s="35"/>
    </row>
    <row r="134" spans="1:35">
      <c r="A134" s="902"/>
      <c r="B134" s="640" t="s">
        <v>761</v>
      </c>
      <c r="C134" s="642">
        <v>6</v>
      </c>
      <c r="D134" s="643">
        <f t="shared" si="2"/>
        <v>180</v>
      </c>
      <c r="E134" s="650">
        <v>23</v>
      </c>
      <c r="F134" s="644">
        <f t="shared" si="3"/>
        <v>4140</v>
      </c>
      <c r="G134" s="651">
        <f>10221+23040</f>
        <v>33261</v>
      </c>
      <c r="H134" s="645">
        <f t="shared" si="4"/>
        <v>8.0340579710144926</v>
      </c>
      <c r="I134" s="646">
        <v>3</v>
      </c>
      <c r="J134" s="647">
        <f t="shared" si="5"/>
        <v>5.0340579710144926</v>
      </c>
      <c r="K134" s="2"/>
      <c r="L134" s="20"/>
      <c r="M134" s="20"/>
      <c r="N134" s="20"/>
      <c r="O134" s="19"/>
      <c r="Q134" s="20"/>
      <c r="AF134"/>
      <c r="AI134" s="35"/>
    </row>
    <row r="135" spans="1:35">
      <c r="A135" s="902"/>
      <c r="B135" s="640" t="s">
        <v>762</v>
      </c>
      <c r="C135" s="642">
        <v>4</v>
      </c>
      <c r="D135" s="643">
        <f t="shared" si="2"/>
        <v>120</v>
      </c>
      <c r="E135" s="650">
        <v>18</v>
      </c>
      <c r="F135" s="644">
        <f t="shared" si="3"/>
        <v>2160</v>
      </c>
      <c r="G135" s="651">
        <f>2247+6000</f>
        <v>8247</v>
      </c>
      <c r="H135" s="645">
        <f t="shared" si="4"/>
        <v>3.8180555555555555</v>
      </c>
      <c r="I135" s="646">
        <v>3</v>
      </c>
      <c r="J135" s="647">
        <f t="shared" si="5"/>
        <v>0.81805555555555554</v>
      </c>
      <c r="K135" s="2"/>
      <c r="L135" s="20"/>
      <c r="M135" s="20"/>
      <c r="N135" s="20"/>
      <c r="O135" s="19"/>
      <c r="Q135" s="20"/>
      <c r="AF135"/>
      <c r="AI135" s="35"/>
    </row>
    <row r="136" spans="1:35">
      <c r="A136" s="902"/>
      <c r="B136" s="640" t="s">
        <v>763</v>
      </c>
      <c r="C136" s="642"/>
      <c r="D136" s="643">
        <v>2</v>
      </c>
      <c r="E136" s="650">
        <v>2</v>
      </c>
      <c r="F136" s="644">
        <f t="shared" si="3"/>
        <v>4</v>
      </c>
      <c r="G136" s="651">
        <v>25</v>
      </c>
      <c r="H136" s="645">
        <f t="shared" si="4"/>
        <v>6.25</v>
      </c>
      <c r="I136" s="646">
        <v>3</v>
      </c>
      <c r="J136" s="647">
        <f t="shared" si="5"/>
        <v>3.25</v>
      </c>
      <c r="K136" s="2"/>
      <c r="L136" s="20"/>
      <c r="M136" s="20"/>
      <c r="N136" s="20"/>
      <c r="O136" s="19"/>
      <c r="Q136" s="20"/>
      <c r="AF136"/>
      <c r="AI136" s="35"/>
    </row>
    <row r="137" spans="1:35">
      <c r="A137" s="903"/>
      <c r="B137" s="648" t="s">
        <v>764</v>
      </c>
      <c r="C137" s="642">
        <v>6</v>
      </c>
      <c r="D137" s="643">
        <f>IF(ISBLANK(C137),"",C137*30)</f>
        <v>180</v>
      </c>
      <c r="E137" s="650">
        <v>8</v>
      </c>
      <c r="F137" s="644">
        <f>E137*D137</f>
        <v>1440</v>
      </c>
      <c r="G137" s="651">
        <v>5760</v>
      </c>
      <c r="H137" s="645">
        <f>G137/F137</f>
        <v>4</v>
      </c>
      <c r="I137" s="646">
        <v>3</v>
      </c>
      <c r="J137" s="647">
        <f>IF(AND(H137&gt;0,I137&gt;0),H137-I137,"")</f>
        <v>1</v>
      </c>
      <c r="K137" s="2"/>
      <c r="L137" s="20"/>
      <c r="M137" s="20"/>
      <c r="N137" s="20"/>
      <c r="O137" s="19"/>
      <c r="Q137" s="20"/>
      <c r="AF137"/>
      <c r="AI137" s="35"/>
    </row>
    <row r="138" spans="1:35">
      <c r="A138" s="868" t="s">
        <v>246</v>
      </c>
      <c r="B138" s="587" t="s">
        <v>638</v>
      </c>
      <c r="C138" s="613">
        <v>1</v>
      </c>
      <c r="D138" s="614">
        <v>26</v>
      </c>
      <c r="E138" s="615">
        <v>553</v>
      </c>
      <c r="F138" s="616">
        <f>C138*D138*E138</f>
        <v>14378</v>
      </c>
      <c r="G138" s="615">
        <v>109036</v>
      </c>
      <c r="H138" s="617">
        <f t="shared" ref="H138:H154" si="6">G138/F138</f>
        <v>7.583530393656976</v>
      </c>
      <c r="I138" s="618">
        <v>3</v>
      </c>
      <c r="J138" s="619">
        <f>H138-I138</f>
        <v>4.583530393656976</v>
      </c>
      <c r="K138" s="2"/>
      <c r="L138" s="20"/>
      <c r="M138" s="20"/>
      <c r="N138" s="20"/>
      <c r="O138" s="19"/>
      <c r="Q138" s="20"/>
      <c r="AF138"/>
      <c r="AI138" s="35"/>
    </row>
    <row r="139" spans="1:35">
      <c r="A139" s="868"/>
      <c r="B139" s="457" t="s">
        <v>639</v>
      </c>
      <c r="C139" s="620">
        <v>1</v>
      </c>
      <c r="D139" s="621">
        <v>26</v>
      </c>
      <c r="E139" s="615">
        <v>96</v>
      </c>
      <c r="F139" s="616">
        <f t="shared" ref="F139:F152" si="7">C139*D139*E139</f>
        <v>2496</v>
      </c>
      <c r="G139" s="615">
        <v>35118</v>
      </c>
      <c r="H139" s="617">
        <f t="shared" si="6"/>
        <v>14.069711538461538</v>
      </c>
      <c r="I139" s="618">
        <v>3</v>
      </c>
      <c r="J139" s="619">
        <f t="shared" ref="J139:J154" si="8">H139-I139</f>
        <v>11.069711538461538</v>
      </c>
      <c r="K139" s="2"/>
      <c r="L139" s="20"/>
      <c r="M139" s="20"/>
      <c r="N139" s="20"/>
      <c r="O139" s="19"/>
      <c r="Q139" s="20"/>
      <c r="AF139"/>
      <c r="AI139" s="35"/>
    </row>
    <row r="140" spans="1:35">
      <c r="A140" s="868"/>
      <c r="B140" s="457" t="s">
        <v>640</v>
      </c>
      <c r="C140" s="620">
        <v>3</v>
      </c>
      <c r="D140" s="621">
        <v>30</v>
      </c>
      <c r="E140" s="615">
        <v>17</v>
      </c>
      <c r="F140" s="616">
        <f t="shared" si="7"/>
        <v>1530</v>
      </c>
      <c r="G140" s="615">
        <v>210218</v>
      </c>
      <c r="H140" s="617">
        <f t="shared" si="6"/>
        <v>137.39738562091503</v>
      </c>
      <c r="I140" s="618">
        <v>3</v>
      </c>
      <c r="J140" s="619">
        <f t="shared" si="8"/>
        <v>134.39738562091503</v>
      </c>
      <c r="K140" s="2"/>
      <c r="L140" s="20"/>
      <c r="M140" s="20"/>
      <c r="N140" s="20"/>
      <c r="O140" s="19"/>
      <c r="Q140" s="20"/>
      <c r="AF140"/>
      <c r="AI140" s="35"/>
    </row>
    <row r="141" spans="1:35">
      <c r="A141" s="868"/>
      <c r="B141" s="457" t="s">
        <v>641</v>
      </c>
      <c r="C141" s="620">
        <v>3</v>
      </c>
      <c r="D141" s="621">
        <v>30</v>
      </c>
      <c r="E141" s="615">
        <v>1148</v>
      </c>
      <c r="F141" s="616">
        <f t="shared" si="7"/>
        <v>103320</v>
      </c>
      <c r="G141" s="615">
        <v>635222</v>
      </c>
      <c r="H141" s="617">
        <f t="shared" si="6"/>
        <v>6.14810298102981</v>
      </c>
      <c r="I141" s="618">
        <v>3</v>
      </c>
      <c r="J141" s="619">
        <f t="shared" si="8"/>
        <v>3.14810298102981</v>
      </c>
      <c r="K141" s="2"/>
      <c r="L141" s="20"/>
      <c r="M141" s="20"/>
      <c r="N141" s="20"/>
      <c r="O141" s="19"/>
      <c r="Q141" s="20"/>
      <c r="AF141"/>
      <c r="AI141" s="35"/>
    </row>
    <row r="142" spans="1:35">
      <c r="A142" s="868"/>
      <c r="B142" s="457" t="s">
        <v>642</v>
      </c>
      <c r="C142" s="620">
        <v>4</v>
      </c>
      <c r="D142" s="621">
        <v>30</v>
      </c>
      <c r="E142" s="615">
        <v>313</v>
      </c>
      <c r="F142" s="616">
        <f t="shared" si="7"/>
        <v>37560</v>
      </c>
      <c r="G142" s="615">
        <v>388519</v>
      </c>
      <c r="H142" s="617">
        <f t="shared" si="6"/>
        <v>10.343956336528221</v>
      </c>
      <c r="I142" s="618">
        <v>3</v>
      </c>
      <c r="J142" s="619">
        <f t="shared" si="8"/>
        <v>7.3439563365282208</v>
      </c>
      <c r="K142" s="2"/>
      <c r="L142" s="20"/>
      <c r="M142" s="20"/>
      <c r="N142" s="20"/>
      <c r="O142" s="19"/>
      <c r="Q142" s="20"/>
      <c r="AF142"/>
      <c r="AI142" s="35"/>
    </row>
    <row r="143" spans="1:35">
      <c r="A143" s="868"/>
      <c r="B143" s="457" t="s">
        <v>643</v>
      </c>
      <c r="C143" s="620">
        <v>2</v>
      </c>
      <c r="D143" s="621">
        <v>30</v>
      </c>
      <c r="E143" s="615">
        <v>241</v>
      </c>
      <c r="F143" s="616">
        <f t="shared" si="7"/>
        <v>14460</v>
      </c>
      <c r="G143" s="615">
        <v>288159</v>
      </c>
      <c r="H143" s="617">
        <f t="shared" si="6"/>
        <v>19.928008298755188</v>
      </c>
      <c r="I143" s="618">
        <v>3</v>
      </c>
      <c r="J143" s="619">
        <f t="shared" si="8"/>
        <v>16.928008298755188</v>
      </c>
      <c r="K143" s="2"/>
      <c r="L143" s="20"/>
      <c r="M143" s="20"/>
      <c r="N143" s="20"/>
      <c r="O143" s="19"/>
      <c r="Q143" s="20"/>
      <c r="AF143"/>
      <c r="AI143" s="35"/>
    </row>
    <row r="144" spans="1:35">
      <c r="A144" s="868"/>
      <c r="B144" s="457" t="s">
        <v>644</v>
      </c>
      <c r="C144" s="620">
        <v>4</v>
      </c>
      <c r="D144" s="621">
        <v>30</v>
      </c>
      <c r="E144" s="615">
        <v>1061</v>
      </c>
      <c r="F144" s="616">
        <f t="shared" si="7"/>
        <v>127320</v>
      </c>
      <c r="G144" s="615">
        <v>512733</v>
      </c>
      <c r="H144" s="617">
        <f t="shared" si="6"/>
        <v>4.0271206409048066</v>
      </c>
      <c r="I144" s="618">
        <v>3</v>
      </c>
      <c r="J144" s="619">
        <f t="shared" si="8"/>
        <v>1.0271206409048066</v>
      </c>
      <c r="K144" s="2"/>
      <c r="L144" s="20"/>
      <c r="M144" s="20"/>
      <c r="N144" s="20"/>
      <c r="O144" s="19"/>
      <c r="Q144" s="20"/>
      <c r="AF144"/>
      <c r="AI144" s="35"/>
    </row>
    <row r="145" spans="1:35">
      <c r="A145" s="868"/>
      <c r="B145" s="457" t="s">
        <v>645</v>
      </c>
      <c r="C145" s="620">
        <v>1</v>
      </c>
      <c r="D145" s="621">
        <v>30</v>
      </c>
      <c r="E145" s="615">
        <v>270</v>
      </c>
      <c r="F145" s="616">
        <f t="shared" si="7"/>
        <v>8100</v>
      </c>
      <c r="G145" s="615">
        <v>178814</v>
      </c>
      <c r="H145" s="617">
        <f t="shared" si="6"/>
        <v>22.075802469135802</v>
      </c>
      <c r="I145" s="618">
        <v>3</v>
      </c>
      <c r="J145" s="619">
        <f t="shared" si="8"/>
        <v>19.075802469135802</v>
      </c>
      <c r="K145" s="2"/>
      <c r="L145" s="20"/>
      <c r="M145" s="20"/>
      <c r="N145" s="20"/>
      <c r="O145" s="19"/>
      <c r="Q145" s="20"/>
      <c r="AF145"/>
      <c r="AI145" s="35"/>
    </row>
    <row r="146" spans="1:35">
      <c r="A146" s="868"/>
      <c r="B146" s="458" t="s">
        <v>646</v>
      </c>
      <c r="C146" s="620">
        <v>2</v>
      </c>
      <c r="D146" s="621">
        <v>30</v>
      </c>
      <c r="E146" s="615">
        <v>731</v>
      </c>
      <c r="F146" s="616">
        <f t="shared" si="7"/>
        <v>43860</v>
      </c>
      <c r="G146" s="615">
        <v>175728</v>
      </c>
      <c r="H146" s="617">
        <f t="shared" si="6"/>
        <v>4.0065663474692199</v>
      </c>
      <c r="I146" s="618">
        <v>3</v>
      </c>
      <c r="J146" s="619">
        <f t="shared" si="8"/>
        <v>1.0065663474692199</v>
      </c>
      <c r="K146" s="2"/>
      <c r="L146" s="20"/>
      <c r="M146" s="20"/>
      <c r="N146" s="20"/>
      <c r="O146" s="19"/>
      <c r="Q146" s="20"/>
      <c r="AF146"/>
      <c r="AI146" s="35"/>
    </row>
    <row r="147" spans="1:35">
      <c r="A147" s="868"/>
      <c r="B147" s="458" t="s">
        <v>647</v>
      </c>
      <c r="C147" s="620">
        <v>3</v>
      </c>
      <c r="D147" s="621">
        <v>30</v>
      </c>
      <c r="E147" s="615">
        <v>1147</v>
      </c>
      <c r="F147" s="616">
        <f t="shared" si="7"/>
        <v>103230</v>
      </c>
      <c r="G147" s="615">
        <v>654802</v>
      </c>
      <c r="H147" s="617">
        <f t="shared" si="6"/>
        <v>6.3431366850721691</v>
      </c>
      <c r="I147" s="618">
        <v>3</v>
      </c>
      <c r="J147" s="619">
        <f t="shared" si="8"/>
        <v>3.3431366850721691</v>
      </c>
      <c r="K147" s="2"/>
      <c r="L147" s="20"/>
      <c r="M147" s="20"/>
      <c r="N147" s="20"/>
      <c r="O147" s="19"/>
      <c r="Q147" s="20"/>
      <c r="AF147"/>
      <c r="AI147" s="35"/>
    </row>
    <row r="148" spans="1:35">
      <c r="A148" s="868"/>
      <c r="B148" s="456" t="s">
        <v>648</v>
      </c>
      <c r="C148" s="620">
        <v>4</v>
      </c>
      <c r="D148" s="621">
        <v>30</v>
      </c>
      <c r="E148" s="615">
        <v>207</v>
      </c>
      <c r="F148" s="616">
        <f t="shared" si="7"/>
        <v>24840</v>
      </c>
      <c r="G148" s="615">
        <v>139574</v>
      </c>
      <c r="H148" s="617">
        <f t="shared" si="6"/>
        <v>5.6189210950080515</v>
      </c>
      <c r="I148" s="618">
        <v>3</v>
      </c>
      <c r="J148" s="619">
        <f t="shared" si="8"/>
        <v>2.6189210950080515</v>
      </c>
      <c r="K148" s="2"/>
      <c r="L148" s="20"/>
      <c r="M148" s="20"/>
      <c r="N148" s="20"/>
      <c r="O148" s="19"/>
      <c r="Q148" s="20"/>
      <c r="AF148"/>
      <c r="AI148" s="35"/>
    </row>
    <row r="149" spans="1:35">
      <c r="A149" s="868"/>
      <c r="B149" s="588" t="s">
        <v>649</v>
      </c>
      <c r="C149" s="622">
        <v>5</v>
      </c>
      <c r="D149" s="621">
        <v>30</v>
      </c>
      <c r="E149" s="615">
        <v>1025</v>
      </c>
      <c r="F149" s="616">
        <f t="shared" si="7"/>
        <v>153750</v>
      </c>
      <c r="G149" s="615">
        <v>929380</v>
      </c>
      <c r="H149" s="617">
        <f t="shared" si="6"/>
        <v>6.0447479674796751</v>
      </c>
      <c r="I149" s="618">
        <v>3</v>
      </c>
      <c r="J149" s="619">
        <f t="shared" si="8"/>
        <v>3.0447479674796751</v>
      </c>
      <c r="K149" s="2"/>
      <c r="L149" s="20"/>
      <c r="M149" s="20"/>
      <c r="N149" s="20"/>
      <c r="O149" s="19"/>
      <c r="Q149" s="20"/>
      <c r="AF149"/>
      <c r="AI149" s="35"/>
    </row>
    <row r="150" spans="1:35">
      <c r="A150" s="868"/>
      <c r="B150" s="588" t="s">
        <v>650</v>
      </c>
      <c r="C150" s="622">
        <v>2</v>
      </c>
      <c r="D150" s="621">
        <v>30</v>
      </c>
      <c r="E150" s="615">
        <v>286</v>
      </c>
      <c r="F150" s="616">
        <f t="shared" si="7"/>
        <v>17160</v>
      </c>
      <c r="G150" s="615">
        <v>250865</v>
      </c>
      <c r="H150" s="617">
        <f t="shared" si="6"/>
        <v>14.619172494172494</v>
      </c>
      <c r="I150" s="618">
        <v>3</v>
      </c>
      <c r="J150" s="619">
        <f t="shared" si="8"/>
        <v>11.619172494172494</v>
      </c>
      <c r="K150" s="2"/>
      <c r="L150" s="20"/>
      <c r="M150" s="20"/>
      <c r="N150" s="20"/>
      <c r="O150" s="19"/>
      <c r="Q150" s="20"/>
      <c r="AF150"/>
      <c r="AI150" s="35"/>
    </row>
    <row r="151" spans="1:35">
      <c r="A151" s="868"/>
      <c r="B151" s="588" t="s">
        <v>651</v>
      </c>
      <c r="C151" s="622">
        <v>4</v>
      </c>
      <c r="D151" s="621">
        <v>30</v>
      </c>
      <c r="E151" s="623">
        <v>42</v>
      </c>
      <c r="F151" s="616">
        <f t="shared" si="7"/>
        <v>5040</v>
      </c>
      <c r="G151" s="624">
        <v>69826</v>
      </c>
      <c r="H151" s="617">
        <f t="shared" si="6"/>
        <v>13.854365079365079</v>
      </c>
      <c r="I151" s="618">
        <v>3</v>
      </c>
      <c r="J151" s="619">
        <f t="shared" si="8"/>
        <v>10.854365079365079</v>
      </c>
      <c r="K151" s="2"/>
      <c r="L151" s="20"/>
      <c r="M151" s="20"/>
      <c r="N151" s="20"/>
      <c r="O151" s="19"/>
      <c r="Q151" s="20"/>
      <c r="AF151"/>
      <c r="AI151" s="35"/>
    </row>
    <row r="152" spans="1:35">
      <c r="A152" s="868"/>
      <c r="B152" s="588" t="s">
        <v>652</v>
      </c>
      <c r="C152" s="622">
        <v>1</v>
      </c>
      <c r="D152" s="621">
        <v>30</v>
      </c>
      <c r="E152" s="623">
        <v>226</v>
      </c>
      <c r="F152" s="616">
        <f t="shared" si="7"/>
        <v>6780</v>
      </c>
      <c r="G152" s="624">
        <v>161042</v>
      </c>
      <c r="H152" s="617">
        <f t="shared" si="6"/>
        <v>23.752507374631268</v>
      </c>
      <c r="I152" s="618">
        <v>3</v>
      </c>
      <c r="J152" s="619">
        <f t="shared" si="8"/>
        <v>20.752507374631268</v>
      </c>
      <c r="K152" s="2"/>
      <c r="L152" s="20"/>
      <c r="M152" s="20"/>
      <c r="N152" s="20"/>
      <c r="O152" s="19"/>
      <c r="Q152" s="20"/>
      <c r="AF152"/>
      <c r="AI152" s="35"/>
    </row>
    <row r="153" spans="1:35">
      <c r="A153" s="869"/>
      <c r="B153" s="588" t="s">
        <v>653</v>
      </c>
      <c r="C153" s="622">
        <v>1</v>
      </c>
      <c r="D153" s="625">
        <v>26</v>
      </c>
      <c r="E153" s="626">
        <v>122</v>
      </c>
      <c r="F153" s="627">
        <f>C153*D153*E153</f>
        <v>3172</v>
      </c>
      <c r="G153" s="628">
        <v>128199</v>
      </c>
      <c r="H153" s="629">
        <f t="shared" ref="H153" si="9">G153/F153</f>
        <v>40.415825977301388</v>
      </c>
      <c r="I153" s="630">
        <v>3</v>
      </c>
      <c r="J153" s="631">
        <f t="shared" ref="J153" si="10">H153-I153</f>
        <v>37.415825977301388</v>
      </c>
      <c r="K153" s="2"/>
      <c r="L153" s="20"/>
      <c r="M153" s="20"/>
      <c r="N153" s="20"/>
      <c r="O153" s="19"/>
      <c r="Q153" s="20"/>
      <c r="AF153"/>
      <c r="AI153" s="35"/>
    </row>
    <row r="154" spans="1:35" ht="15.75" thickBot="1">
      <c r="A154" s="870"/>
      <c r="B154" s="589" t="s">
        <v>744</v>
      </c>
      <c r="C154" s="632">
        <v>4</v>
      </c>
      <c r="D154" s="633">
        <v>26</v>
      </c>
      <c r="E154" s="634">
        <v>15</v>
      </c>
      <c r="F154" s="635">
        <f>C154*D154*E154</f>
        <v>1560</v>
      </c>
      <c r="G154" s="636">
        <v>7449</v>
      </c>
      <c r="H154" s="637">
        <f t="shared" si="6"/>
        <v>4.7750000000000004</v>
      </c>
      <c r="I154" s="638">
        <v>3</v>
      </c>
      <c r="J154" s="639">
        <f t="shared" si="8"/>
        <v>1.7750000000000004</v>
      </c>
      <c r="K154" s="2"/>
      <c r="L154" s="20"/>
      <c r="M154" s="20"/>
      <c r="N154" s="20"/>
      <c r="O154" s="19"/>
      <c r="Q154" s="20"/>
      <c r="AF154"/>
      <c r="AI154" s="35"/>
    </row>
    <row r="155" spans="1:35">
      <c r="K155" s="2"/>
      <c r="L155" s="20"/>
      <c r="M155" s="20"/>
      <c r="N155" s="20"/>
      <c r="O155" s="19"/>
      <c r="Q155" s="20"/>
      <c r="AF155"/>
      <c r="AI155" s="35"/>
    </row>
    <row r="156" spans="1:35">
      <c r="K156" s="2"/>
      <c r="L156" s="20"/>
      <c r="M156" s="20"/>
      <c r="N156" s="20"/>
      <c r="O156" s="19"/>
      <c r="AF156"/>
      <c r="AI156" s="35"/>
    </row>
    <row r="157" spans="1:35">
      <c r="K157" s="2"/>
      <c r="L157" s="20"/>
      <c r="M157" s="20"/>
      <c r="N157" s="20"/>
      <c r="O157" s="19"/>
      <c r="Q157" s="20"/>
      <c r="AF157"/>
      <c r="AI157" s="35"/>
    </row>
    <row r="158" spans="1:35">
      <c r="K158" s="2"/>
      <c r="L158" s="20"/>
      <c r="M158" s="20"/>
      <c r="N158" s="20"/>
      <c r="O158" s="19"/>
      <c r="Q158" s="20"/>
      <c r="AF158"/>
      <c r="AI158" s="35"/>
    </row>
    <row r="159" spans="1:35">
      <c r="A159" s="3"/>
      <c r="B159" s="15"/>
      <c r="C159" s="15"/>
      <c r="D159" s="15"/>
      <c r="E159" s="15"/>
      <c r="F159" s="2"/>
      <c r="G159" s="2"/>
      <c r="H159" s="2"/>
      <c r="I159" s="15"/>
      <c r="J159" s="2"/>
      <c r="K159" s="15"/>
      <c r="L159" s="15"/>
      <c r="M159" s="20"/>
      <c r="N159" s="20"/>
      <c r="O159" s="20"/>
      <c r="P159" s="19"/>
    </row>
    <row r="160" spans="1:35" ht="15.75" thickBot="1">
      <c r="A160" s="3"/>
      <c r="B160" s="3"/>
      <c r="C160" s="3"/>
      <c r="D160" s="3"/>
      <c r="E160" s="3"/>
      <c r="F160" s="2"/>
      <c r="G160" s="2"/>
      <c r="H160" s="2" t="str">
        <f>IF(AND(F160&gt;0,G160&gt;0),G160/F160,"")</f>
        <v/>
      </c>
      <c r="I160" s="3"/>
      <c r="J160" s="3"/>
      <c r="K160" s="2"/>
      <c r="L160" s="2"/>
      <c r="M160" s="20"/>
      <c r="N160" s="20"/>
      <c r="O160" s="20"/>
      <c r="P160" s="19"/>
    </row>
    <row r="161" spans="1:18" ht="19.5" thickBot="1">
      <c r="A161" s="215" t="s">
        <v>600</v>
      </c>
      <c r="B161" s="114"/>
      <c r="C161" s="114"/>
      <c r="D161" s="115"/>
      <c r="E161" s="115"/>
      <c r="F161" s="115"/>
      <c r="G161" s="225"/>
      <c r="H161" s="216"/>
      <c r="I161" s="283"/>
      <c r="J161" s="492" t="s">
        <v>353</v>
      </c>
      <c r="K161" s="493"/>
      <c r="L161" s="494"/>
      <c r="M161" s="495"/>
      <c r="N161" s="494"/>
      <c r="O161" s="496"/>
      <c r="P161" s="35"/>
    </row>
    <row r="162" spans="1:18" ht="15.75" thickBot="1">
      <c r="A162" s="3"/>
      <c r="B162" s="3"/>
      <c r="C162" s="3"/>
      <c r="D162" s="3"/>
      <c r="E162" s="3"/>
      <c r="F162" s="3"/>
      <c r="G162" s="3"/>
      <c r="H162" s="3"/>
      <c r="I162" s="3"/>
      <c r="J162" s="3"/>
      <c r="K162" s="3"/>
      <c r="L162" s="3"/>
      <c r="M162"/>
      <c r="N162"/>
      <c r="O162" s="35"/>
      <c r="P162" s="35"/>
    </row>
    <row r="163" spans="1:18" ht="25.5">
      <c r="A163" s="827" t="s">
        <v>378</v>
      </c>
      <c r="B163" s="828"/>
      <c r="C163" s="829"/>
      <c r="D163" s="275" t="s">
        <v>270</v>
      </c>
      <c r="E163" s="346" t="s">
        <v>334</v>
      </c>
      <c r="F163" s="220"/>
      <c r="G163" s="313" t="s">
        <v>55</v>
      </c>
      <c r="H163" s="313" t="s">
        <v>56</v>
      </c>
      <c r="I163" s="313" t="s">
        <v>57</v>
      </c>
      <c r="J163" s="313" t="s">
        <v>58</v>
      </c>
      <c r="K163" s="313" t="s">
        <v>65</v>
      </c>
      <c r="L163" s="313" t="s">
        <v>66</v>
      </c>
      <c r="M163" s="313" t="s">
        <v>67</v>
      </c>
      <c r="N163" s="313" t="s">
        <v>68</v>
      </c>
      <c r="O163" s="313" t="s">
        <v>69</v>
      </c>
      <c r="P163" s="313" t="s">
        <v>70</v>
      </c>
      <c r="Q163" s="313" t="s">
        <v>71</v>
      </c>
      <c r="R163" s="63"/>
    </row>
    <row r="164" spans="1:18" ht="39.75" customHeight="1">
      <c r="A164" s="885" t="s">
        <v>557</v>
      </c>
      <c r="B164" s="886"/>
      <c r="C164" s="887"/>
      <c r="D164" s="826" t="s">
        <v>558</v>
      </c>
      <c r="E164" s="877" t="s">
        <v>559</v>
      </c>
      <c r="F164" s="497" t="s">
        <v>379</v>
      </c>
      <c r="G164" s="500">
        <v>13750</v>
      </c>
      <c r="H164" s="500">
        <v>14375</v>
      </c>
      <c r="I164" s="501">
        <v>15000</v>
      </c>
      <c r="J164" s="498">
        <v>15625</v>
      </c>
      <c r="K164" s="498"/>
      <c r="L164" s="498"/>
      <c r="M164" s="498"/>
      <c r="N164" s="499"/>
      <c r="O164" s="500"/>
      <c r="P164" s="500"/>
      <c r="Q164" s="501"/>
      <c r="R164" s="63"/>
    </row>
    <row r="165" spans="1:18" ht="40.5" customHeight="1">
      <c r="A165" s="888"/>
      <c r="B165" s="889"/>
      <c r="C165" s="890"/>
      <c r="D165" s="826"/>
      <c r="E165" s="877"/>
      <c r="F165" s="497" t="s">
        <v>685</v>
      </c>
      <c r="G165" s="500">
        <v>14682</v>
      </c>
      <c r="H165" s="500">
        <v>15859</v>
      </c>
      <c r="I165" s="501">
        <v>16430</v>
      </c>
      <c r="J165" s="498">
        <v>15828</v>
      </c>
      <c r="K165" s="498"/>
      <c r="L165" s="498"/>
      <c r="M165" s="498"/>
      <c r="N165" s="499"/>
      <c r="O165" s="500"/>
      <c r="P165" s="500"/>
      <c r="Q165" s="501"/>
      <c r="R165" s="63"/>
    </row>
    <row r="166" spans="1:18" ht="42" customHeight="1">
      <c r="A166" s="878" t="s">
        <v>561</v>
      </c>
      <c r="B166" s="879"/>
      <c r="C166" s="880"/>
      <c r="D166" s="832" t="s">
        <v>558</v>
      </c>
      <c r="E166" s="881" t="s">
        <v>559</v>
      </c>
      <c r="F166" s="502" t="s">
        <v>379</v>
      </c>
      <c r="G166" s="506">
        <v>2700</v>
      </c>
      <c r="H166" s="506">
        <v>3100</v>
      </c>
      <c r="I166" s="507">
        <v>3478</v>
      </c>
      <c r="J166" s="504">
        <v>3926</v>
      </c>
      <c r="K166" s="504"/>
      <c r="L166" s="504"/>
      <c r="M166" s="504"/>
      <c r="N166" s="505"/>
      <c r="O166" s="506"/>
      <c r="P166" s="506"/>
      <c r="Q166" s="507"/>
      <c r="R166" s="63"/>
    </row>
    <row r="167" spans="1:18" ht="48" customHeight="1">
      <c r="A167" s="878"/>
      <c r="B167" s="879"/>
      <c r="C167" s="880"/>
      <c r="D167" s="832"/>
      <c r="E167" s="881"/>
      <c r="F167" s="502" t="s">
        <v>686</v>
      </c>
      <c r="G167" s="506">
        <v>2668</v>
      </c>
      <c r="H167" s="506">
        <v>2995</v>
      </c>
      <c r="I167" s="507">
        <v>3237</v>
      </c>
      <c r="J167" s="505">
        <v>3454</v>
      </c>
      <c r="K167" s="505"/>
      <c r="L167" s="505"/>
      <c r="M167" s="505"/>
      <c r="N167" s="505"/>
      <c r="O167" s="506"/>
      <c r="P167" s="506"/>
      <c r="Q167" s="507"/>
      <c r="R167" s="63"/>
    </row>
    <row r="168" spans="1:18" ht="42" customHeight="1">
      <c r="A168" s="888" t="s">
        <v>493</v>
      </c>
      <c r="B168" s="889"/>
      <c r="C168" s="890"/>
      <c r="D168" s="826" t="s">
        <v>558</v>
      </c>
      <c r="E168" s="877" t="s">
        <v>559</v>
      </c>
      <c r="F168" s="497" t="s">
        <v>379</v>
      </c>
      <c r="G168" s="500">
        <v>1410</v>
      </c>
      <c r="H168" s="500">
        <v>1480</v>
      </c>
      <c r="I168" s="501">
        <v>1616</v>
      </c>
      <c r="J168" s="498">
        <v>2032</v>
      </c>
      <c r="K168" s="508"/>
      <c r="L168" s="498"/>
      <c r="M168" s="498"/>
      <c r="N168" s="499"/>
      <c r="O168" s="500"/>
      <c r="P168" s="500"/>
      <c r="Q168" s="501"/>
      <c r="R168" s="63"/>
    </row>
    <row r="169" spans="1:18" ht="38.25" customHeight="1">
      <c r="A169" s="888"/>
      <c r="B169" s="889"/>
      <c r="C169" s="890"/>
      <c r="D169" s="826"/>
      <c r="E169" s="877"/>
      <c r="F169" s="497" t="s">
        <v>562</v>
      </c>
      <c r="G169" s="500">
        <v>2514</v>
      </c>
      <c r="H169" s="500">
        <v>2851</v>
      </c>
      <c r="I169" s="501">
        <v>3117</v>
      </c>
      <c r="J169" s="498">
        <v>3029</v>
      </c>
      <c r="K169" s="508"/>
      <c r="L169" s="498"/>
      <c r="M169" s="498"/>
      <c r="N169" s="499"/>
      <c r="O169" s="500"/>
      <c r="P169" s="500"/>
      <c r="Q169" s="501"/>
      <c r="R169" s="63"/>
    </row>
    <row r="170" spans="1:18" ht="39.75" customHeight="1">
      <c r="A170" s="878" t="s">
        <v>505</v>
      </c>
      <c r="B170" s="879"/>
      <c r="C170" s="880"/>
      <c r="D170" s="832" t="s">
        <v>558</v>
      </c>
      <c r="E170" s="881" t="s">
        <v>559</v>
      </c>
      <c r="F170" s="502" t="s">
        <v>379</v>
      </c>
      <c r="G170" s="511" t="s">
        <v>563</v>
      </c>
      <c r="H170" s="511" t="s">
        <v>564</v>
      </c>
      <c r="I170" s="511" t="s">
        <v>616</v>
      </c>
      <c r="J170" s="511" t="s">
        <v>687</v>
      </c>
      <c r="K170" s="510"/>
      <c r="L170" s="509"/>
      <c r="M170" s="510"/>
      <c r="N170" s="510"/>
      <c r="O170" s="510"/>
      <c r="P170" s="511"/>
      <c r="Q170" s="512"/>
      <c r="R170" s="63"/>
    </row>
    <row r="171" spans="1:18" ht="39.75" customHeight="1">
      <c r="A171" s="878"/>
      <c r="B171" s="879"/>
      <c r="C171" s="880"/>
      <c r="D171" s="832"/>
      <c r="E171" s="881"/>
      <c r="F171" s="502" t="s">
        <v>689</v>
      </c>
      <c r="G171" s="511" t="s">
        <v>565</v>
      </c>
      <c r="H171" s="511" t="s">
        <v>566</v>
      </c>
      <c r="I171" s="511" t="s">
        <v>617</v>
      </c>
      <c r="J171" s="511" t="s">
        <v>688</v>
      </c>
      <c r="K171" s="510"/>
      <c r="L171" s="509"/>
      <c r="M171" s="509"/>
      <c r="N171" s="510"/>
      <c r="O171" s="510"/>
      <c r="P171" s="511"/>
      <c r="Q171" s="512"/>
      <c r="R171" s="63"/>
    </row>
    <row r="172" spans="1:18" ht="39.75" customHeight="1">
      <c r="A172" s="882" t="s">
        <v>511</v>
      </c>
      <c r="B172" s="883"/>
      <c r="C172" s="884"/>
      <c r="D172" s="826" t="s">
        <v>558</v>
      </c>
      <c r="E172" s="877" t="s">
        <v>559</v>
      </c>
      <c r="F172" s="497" t="s">
        <v>379</v>
      </c>
      <c r="G172" s="515" t="s">
        <v>567</v>
      </c>
      <c r="H172" s="515" t="s">
        <v>568</v>
      </c>
      <c r="I172" s="515" t="s">
        <v>568</v>
      </c>
      <c r="J172" s="515" t="s">
        <v>690</v>
      </c>
      <c r="K172" s="513"/>
      <c r="L172" s="513"/>
      <c r="M172" s="513"/>
      <c r="N172" s="514"/>
      <c r="O172" s="515"/>
      <c r="P172" s="515"/>
      <c r="Q172" s="516"/>
      <c r="R172" s="63"/>
    </row>
    <row r="173" spans="1:18" ht="35.25" customHeight="1">
      <c r="A173" s="882"/>
      <c r="B173" s="883"/>
      <c r="C173" s="884"/>
      <c r="D173" s="826"/>
      <c r="E173" s="877"/>
      <c r="F173" s="497" t="s">
        <v>692</v>
      </c>
      <c r="G173" s="515" t="s">
        <v>569</v>
      </c>
      <c r="H173" s="515" t="s">
        <v>570</v>
      </c>
      <c r="I173" s="515" t="s">
        <v>618</v>
      </c>
      <c r="J173" s="515" t="s">
        <v>691</v>
      </c>
      <c r="K173" s="513"/>
      <c r="L173" s="513"/>
      <c r="M173" s="513"/>
      <c r="N173" s="514"/>
      <c r="O173" s="515"/>
      <c r="P173" s="515"/>
      <c r="Q173" s="516"/>
      <c r="R173" s="63"/>
    </row>
    <row r="174" spans="1:18" ht="39" customHeight="1">
      <c r="A174" s="878" t="s">
        <v>515</v>
      </c>
      <c r="B174" s="879"/>
      <c r="C174" s="880"/>
      <c r="D174" s="832" t="s">
        <v>558</v>
      </c>
      <c r="E174" s="881" t="s">
        <v>559</v>
      </c>
      <c r="F174" s="502" t="s">
        <v>379</v>
      </c>
      <c r="G174" s="511" t="s">
        <v>571</v>
      </c>
      <c r="H174" s="511" t="s">
        <v>572</v>
      </c>
      <c r="I174" s="511" t="s">
        <v>619</v>
      </c>
      <c r="J174" s="511" t="s">
        <v>693</v>
      </c>
      <c r="K174" s="509"/>
      <c r="L174" s="509"/>
      <c r="M174" s="509"/>
      <c r="N174" s="509"/>
      <c r="O174" s="511"/>
      <c r="P174" s="511"/>
      <c r="Q174" s="517"/>
      <c r="R174" s="63"/>
    </row>
    <row r="175" spans="1:18" ht="43.5" customHeight="1">
      <c r="A175" s="878"/>
      <c r="B175" s="879"/>
      <c r="C175" s="880"/>
      <c r="D175" s="832"/>
      <c r="E175" s="881"/>
      <c r="F175" s="502" t="s">
        <v>695</v>
      </c>
      <c r="G175" s="511" t="s">
        <v>573</v>
      </c>
      <c r="H175" s="511" t="s">
        <v>574</v>
      </c>
      <c r="I175" s="511" t="s">
        <v>620</v>
      </c>
      <c r="J175" s="511" t="s">
        <v>694</v>
      </c>
      <c r="K175" s="503"/>
      <c r="L175" s="503"/>
      <c r="M175" s="503"/>
      <c r="N175" s="509"/>
      <c r="O175" s="511"/>
      <c r="P175" s="511"/>
      <c r="Q175" s="517"/>
      <c r="R175" s="63"/>
    </row>
    <row r="176" spans="1:18" ht="40.5" customHeight="1">
      <c r="A176" s="882" t="s">
        <v>522</v>
      </c>
      <c r="B176" s="883"/>
      <c r="C176" s="884"/>
      <c r="D176" s="826" t="s">
        <v>575</v>
      </c>
      <c r="E176" s="877" t="s">
        <v>559</v>
      </c>
      <c r="F176" s="497" t="s">
        <v>379</v>
      </c>
      <c r="G176" s="515" t="s">
        <v>576</v>
      </c>
      <c r="H176" s="515" t="s">
        <v>577</v>
      </c>
      <c r="I176" s="515" t="s">
        <v>621</v>
      </c>
      <c r="J176" s="515" t="s">
        <v>696</v>
      </c>
      <c r="K176" s="513"/>
      <c r="L176" s="513"/>
      <c r="M176" s="513"/>
      <c r="N176" s="514"/>
      <c r="O176" s="515"/>
      <c r="P176" s="515"/>
      <c r="Q176" s="516"/>
      <c r="R176" s="63"/>
    </row>
    <row r="177" spans="1:34" ht="36.75" customHeight="1">
      <c r="A177" s="882"/>
      <c r="B177" s="883"/>
      <c r="C177" s="884"/>
      <c r="D177" s="826"/>
      <c r="E177" s="877"/>
      <c r="F177" s="497" t="s">
        <v>562</v>
      </c>
      <c r="G177" s="515" t="s">
        <v>578</v>
      </c>
      <c r="H177" s="515" t="s">
        <v>579</v>
      </c>
      <c r="I177" s="515" t="s">
        <v>622</v>
      </c>
      <c r="J177" s="515" t="s">
        <v>697</v>
      </c>
      <c r="K177" s="513"/>
      <c r="L177" s="513"/>
      <c r="M177" s="513"/>
      <c r="N177" s="514"/>
      <c r="O177" s="515"/>
      <c r="P177" s="515"/>
      <c r="Q177" s="513"/>
      <c r="R177" s="63"/>
    </row>
    <row r="178" spans="1:34" ht="36" customHeight="1">
      <c r="A178" s="878" t="s">
        <v>508</v>
      </c>
      <c r="B178" s="879"/>
      <c r="C178" s="880"/>
      <c r="D178" s="832" t="s">
        <v>575</v>
      </c>
      <c r="E178" s="881" t="s">
        <v>559</v>
      </c>
      <c r="F178" s="502" t="s">
        <v>379</v>
      </c>
      <c r="G178" s="511" t="s">
        <v>580</v>
      </c>
      <c r="H178" s="511" t="s">
        <v>581</v>
      </c>
      <c r="I178" s="511" t="s">
        <v>581</v>
      </c>
      <c r="J178" s="511" t="s">
        <v>698</v>
      </c>
      <c r="K178" s="503"/>
      <c r="L178" s="509"/>
      <c r="M178" s="503"/>
      <c r="N178" s="509"/>
      <c r="O178" s="511"/>
      <c r="P178" s="511"/>
      <c r="Q178" s="503"/>
      <c r="R178" s="63"/>
    </row>
    <row r="179" spans="1:34" ht="35.25" customHeight="1">
      <c r="A179" s="878"/>
      <c r="B179" s="879"/>
      <c r="C179" s="880"/>
      <c r="D179" s="832"/>
      <c r="E179" s="881"/>
      <c r="F179" s="502" t="s">
        <v>692</v>
      </c>
      <c r="G179" s="511" t="s">
        <v>582</v>
      </c>
      <c r="H179" s="511" t="s">
        <v>583</v>
      </c>
      <c r="I179" s="511" t="s">
        <v>623</v>
      </c>
      <c r="J179" s="511" t="s">
        <v>699</v>
      </c>
      <c r="K179" s="509"/>
      <c r="L179" s="509"/>
      <c r="M179" s="509"/>
      <c r="N179" s="509"/>
      <c r="O179" s="511"/>
      <c r="P179" s="511"/>
      <c r="Q179" s="509"/>
      <c r="R179" s="63"/>
    </row>
    <row r="180" spans="1:34" ht="36.75" customHeight="1">
      <c r="A180" s="882" t="s">
        <v>519</v>
      </c>
      <c r="B180" s="883"/>
      <c r="C180" s="884"/>
      <c r="D180" s="826" t="s">
        <v>575</v>
      </c>
      <c r="E180" s="891" t="s">
        <v>559</v>
      </c>
      <c r="F180" s="497" t="s">
        <v>379</v>
      </c>
      <c r="G180" s="515" t="s">
        <v>584</v>
      </c>
      <c r="H180" s="515" t="s">
        <v>585</v>
      </c>
      <c r="I180" s="515" t="s">
        <v>585</v>
      </c>
      <c r="J180" s="515" t="s">
        <v>700</v>
      </c>
      <c r="K180" s="513"/>
      <c r="L180" s="513"/>
      <c r="M180" s="513"/>
      <c r="N180" s="514"/>
      <c r="O180" s="515"/>
      <c r="P180" s="515"/>
      <c r="Q180" s="513"/>
      <c r="R180" s="63"/>
    </row>
    <row r="181" spans="1:34" ht="38.25" customHeight="1">
      <c r="A181" s="882"/>
      <c r="B181" s="883"/>
      <c r="C181" s="884"/>
      <c r="D181" s="826"/>
      <c r="E181" s="891"/>
      <c r="F181" s="497" t="s">
        <v>702</v>
      </c>
      <c r="G181" s="515" t="s">
        <v>586</v>
      </c>
      <c r="H181" s="515" t="s">
        <v>587</v>
      </c>
      <c r="I181" s="515" t="s">
        <v>624</v>
      </c>
      <c r="J181" s="515" t="s">
        <v>701</v>
      </c>
      <c r="K181" s="513"/>
      <c r="L181" s="513"/>
      <c r="M181" s="513"/>
      <c r="N181" s="514"/>
      <c r="O181" s="515"/>
      <c r="P181" s="515"/>
      <c r="Q181" s="513"/>
      <c r="R181" s="63"/>
    </row>
    <row r="182" spans="1:34" ht="42.75" customHeight="1">
      <c r="A182" s="878" t="s">
        <v>525</v>
      </c>
      <c r="B182" s="879"/>
      <c r="C182" s="880"/>
      <c r="D182" s="832" t="s">
        <v>575</v>
      </c>
      <c r="E182" s="881" t="s">
        <v>559</v>
      </c>
      <c r="F182" s="502" t="s">
        <v>379</v>
      </c>
      <c r="G182" s="511" t="s">
        <v>588</v>
      </c>
      <c r="H182" s="511" t="s">
        <v>589</v>
      </c>
      <c r="I182" s="511" t="s">
        <v>589</v>
      </c>
      <c r="J182" s="511" t="s">
        <v>703</v>
      </c>
      <c r="K182" s="509"/>
      <c r="L182" s="509"/>
      <c r="M182" s="509"/>
      <c r="N182" s="509"/>
      <c r="O182" s="511"/>
      <c r="P182" s="511"/>
      <c r="Q182" s="509"/>
      <c r="R182" s="63"/>
    </row>
    <row r="183" spans="1:34" ht="39.75" customHeight="1">
      <c r="A183" s="878"/>
      <c r="B183" s="879"/>
      <c r="C183" s="880"/>
      <c r="D183" s="832"/>
      <c r="E183" s="881"/>
      <c r="F183" s="502" t="s">
        <v>705</v>
      </c>
      <c r="G183" s="511" t="s">
        <v>591</v>
      </c>
      <c r="H183" s="511" t="s">
        <v>592</v>
      </c>
      <c r="I183" s="511" t="s">
        <v>625</v>
      </c>
      <c r="J183" s="511" t="s">
        <v>704</v>
      </c>
      <c r="K183" s="509"/>
      <c r="L183" s="509"/>
      <c r="M183" s="509"/>
      <c r="N183" s="509"/>
      <c r="O183" s="511"/>
      <c r="P183" s="511"/>
      <c r="Q183" s="509"/>
      <c r="R183" s="63"/>
    </row>
    <row r="184" spans="1:34" ht="18.75" customHeight="1">
      <c r="A184" s="882" t="s">
        <v>593</v>
      </c>
      <c r="B184" s="883"/>
      <c r="C184" s="884"/>
      <c r="D184" s="826" t="s">
        <v>558</v>
      </c>
      <c r="E184" s="891" t="s">
        <v>594</v>
      </c>
      <c r="F184" s="497" t="s">
        <v>379</v>
      </c>
      <c r="G184" s="518">
        <v>0.93</v>
      </c>
      <c r="H184" s="518">
        <v>0.93</v>
      </c>
      <c r="I184" s="518">
        <v>0.93</v>
      </c>
      <c r="J184" s="518">
        <v>0.93</v>
      </c>
      <c r="K184" s="513"/>
      <c r="L184" s="513"/>
      <c r="M184" s="513"/>
      <c r="N184" s="514"/>
      <c r="O184" s="518"/>
      <c r="P184" s="518"/>
      <c r="Q184" s="513"/>
      <c r="R184" s="63"/>
    </row>
    <row r="185" spans="1:34" ht="21" customHeight="1">
      <c r="A185" s="882"/>
      <c r="B185" s="883"/>
      <c r="C185" s="884"/>
      <c r="D185" s="826"/>
      <c r="E185" s="891"/>
      <c r="F185" s="497" t="s">
        <v>658</v>
      </c>
      <c r="G185" s="514" t="s">
        <v>595</v>
      </c>
      <c r="H185" s="518">
        <v>0.98</v>
      </c>
      <c r="I185" s="518">
        <v>0.96</v>
      </c>
      <c r="J185" s="518">
        <v>0.97</v>
      </c>
      <c r="K185" s="513"/>
      <c r="L185" s="513"/>
      <c r="M185" s="513"/>
      <c r="N185" s="514"/>
      <c r="O185" s="518"/>
      <c r="P185" s="514"/>
      <c r="Q185" s="513"/>
      <c r="R185" s="63"/>
    </row>
    <row r="186" spans="1:34" ht="19.5" customHeight="1">
      <c r="A186" s="878" t="s">
        <v>532</v>
      </c>
      <c r="B186" s="879"/>
      <c r="C186" s="880"/>
      <c r="D186" s="832" t="s">
        <v>575</v>
      </c>
      <c r="E186" s="881" t="s">
        <v>559</v>
      </c>
      <c r="F186" s="502" t="s">
        <v>379</v>
      </c>
      <c r="G186" s="510">
        <v>0.85</v>
      </c>
      <c r="H186" s="510">
        <v>0.88</v>
      </c>
      <c r="I186" s="510">
        <v>0.9</v>
      </c>
      <c r="J186" s="510">
        <v>0.9</v>
      </c>
      <c r="K186" s="509"/>
      <c r="L186" s="509"/>
      <c r="M186" s="509"/>
      <c r="N186" s="509"/>
      <c r="O186" s="510"/>
      <c r="P186" s="510"/>
      <c r="Q186" s="509"/>
      <c r="R186" s="63"/>
    </row>
    <row r="187" spans="1:34" ht="21" customHeight="1">
      <c r="A187" s="878"/>
      <c r="B187" s="879"/>
      <c r="C187" s="880"/>
      <c r="D187" s="832"/>
      <c r="E187" s="881"/>
      <c r="F187" s="502" t="s">
        <v>590</v>
      </c>
      <c r="G187" s="509" t="s">
        <v>596</v>
      </c>
      <c r="H187" s="510">
        <v>0.95</v>
      </c>
      <c r="I187" s="510">
        <v>0.94</v>
      </c>
      <c r="J187" s="510">
        <v>0.93</v>
      </c>
      <c r="K187" s="509"/>
      <c r="L187" s="509"/>
      <c r="M187" s="509"/>
      <c r="N187" s="509"/>
      <c r="O187" s="509"/>
      <c r="P187" s="509"/>
      <c r="Q187" s="509"/>
      <c r="R187" s="63"/>
    </row>
    <row r="188" spans="1:34" s="19" customFormat="1" ht="21" customHeight="1">
      <c r="A188" s="882" t="s">
        <v>536</v>
      </c>
      <c r="B188" s="883"/>
      <c r="C188" s="884"/>
      <c r="D188" s="826" t="s">
        <v>558</v>
      </c>
      <c r="E188" s="881" t="s">
        <v>559</v>
      </c>
      <c r="F188" s="497" t="s">
        <v>379</v>
      </c>
      <c r="G188" s="518">
        <v>0.75</v>
      </c>
      <c r="H188" s="518">
        <v>0.8</v>
      </c>
      <c r="I188" s="518">
        <v>0.9</v>
      </c>
      <c r="J188" s="518">
        <v>0.9</v>
      </c>
      <c r="K188" s="513"/>
      <c r="L188" s="513"/>
      <c r="M188" s="514"/>
      <c r="N188" s="518"/>
      <c r="O188" s="518"/>
      <c r="P188" s="518"/>
      <c r="Q188" s="513"/>
      <c r="AF188" s="20"/>
      <c r="AG188" s="20"/>
      <c r="AH188" s="20"/>
    </row>
    <row r="189" spans="1:34" ht="20.25" customHeight="1">
      <c r="A189" s="882"/>
      <c r="B189" s="883"/>
      <c r="C189" s="884"/>
      <c r="D189" s="826"/>
      <c r="E189" s="881"/>
      <c r="F189" s="497" t="s">
        <v>706</v>
      </c>
      <c r="G189" s="518" t="s">
        <v>597</v>
      </c>
      <c r="H189" s="518">
        <v>0.69</v>
      </c>
      <c r="I189" s="518">
        <v>0.83</v>
      </c>
      <c r="J189" s="518">
        <v>0.86</v>
      </c>
      <c r="K189" s="513"/>
      <c r="L189" s="513"/>
      <c r="M189" s="514"/>
      <c r="N189" s="518"/>
      <c r="O189" s="518"/>
      <c r="P189" s="518"/>
      <c r="Q189" s="513"/>
    </row>
    <row r="190" spans="1:34">
      <c r="A190" s="3"/>
      <c r="B190" s="3"/>
      <c r="C190" s="3"/>
      <c r="D190" s="3"/>
      <c r="E190" s="3"/>
      <c r="F190" s="2"/>
      <c r="G190" s="3"/>
      <c r="H190" s="3"/>
      <c r="I190" s="3"/>
      <c r="J190" s="3"/>
      <c r="K190" s="3"/>
      <c r="L190" s="3"/>
      <c r="M190" s="3"/>
      <c r="N190"/>
      <c r="P190" s="35"/>
      <c r="Q190" s="35"/>
    </row>
    <row r="191" spans="1:34" ht="16.5" thickBot="1">
      <c r="A191" s="276"/>
      <c r="B191" s="3"/>
      <c r="C191" s="3"/>
      <c r="D191" s="3"/>
      <c r="E191" s="3"/>
      <c r="F191" s="2"/>
      <c r="G191" s="3"/>
      <c r="H191" s="3"/>
      <c r="I191" s="3"/>
      <c r="J191" s="3"/>
      <c r="K191" s="3"/>
      <c r="L191" s="3"/>
      <c r="M191" s="3"/>
      <c r="N191"/>
      <c r="P191" s="35"/>
      <c r="Q191" s="35"/>
    </row>
    <row r="192" spans="1:34" ht="25.5">
      <c r="A192" s="3" t="s">
        <v>380</v>
      </c>
      <c r="B192" s="3"/>
      <c r="C192" s="3"/>
      <c r="D192" s="275" t="s">
        <v>270</v>
      </c>
      <c r="E192" s="346" t="s">
        <v>334</v>
      </c>
      <c r="F192" s="220"/>
      <c r="G192" s="313" t="s">
        <v>55</v>
      </c>
      <c r="H192" s="313" t="s">
        <v>56</v>
      </c>
      <c r="I192" s="313" t="s">
        <v>57</v>
      </c>
      <c r="J192" s="313" t="s">
        <v>58</v>
      </c>
      <c r="K192" s="313" t="s">
        <v>65</v>
      </c>
      <c r="L192" s="313" t="s">
        <v>66</v>
      </c>
      <c r="M192" s="313" t="s">
        <v>67</v>
      </c>
      <c r="N192" s="313" t="s">
        <v>68</v>
      </c>
      <c r="O192" s="313" t="s">
        <v>69</v>
      </c>
      <c r="P192" s="313" t="s">
        <v>70</v>
      </c>
      <c r="Q192" s="313" t="s">
        <v>71</v>
      </c>
      <c r="R192" s="35"/>
      <c r="S192" s="35"/>
    </row>
    <row r="193" spans="1:35">
      <c r="A193" s="904" t="str">
        <f>IF(ISBLANK(A164),"",(A164))</f>
        <v>Процент ЛУИН, охваченных программами по  профилактике ВИЧ</v>
      </c>
      <c r="B193" s="905"/>
      <c r="C193" s="906"/>
      <c r="D193" s="910" t="str">
        <f>IF(ISBLANK(D164),"",(D164))</f>
        <v>Топ 10</v>
      </c>
      <c r="E193" s="894" t="str">
        <f>IF(ISBLANK(E164),"",(E164))</f>
        <v>с текущим грантом</v>
      </c>
      <c r="F193" s="497" t="s">
        <v>379</v>
      </c>
      <c r="G193" s="519">
        <f>G164</f>
        <v>13750</v>
      </c>
      <c r="H193" s="519">
        <v>14375</v>
      </c>
      <c r="I193" s="519">
        <f t="shared" ref="I193:I198" si="11">I164</f>
        <v>15000</v>
      </c>
      <c r="J193" s="519">
        <f t="shared" ref="J193:N195" si="12">J164</f>
        <v>15625</v>
      </c>
      <c r="K193" s="519">
        <f t="shared" si="12"/>
        <v>0</v>
      </c>
      <c r="L193" s="519">
        <f t="shared" si="12"/>
        <v>0</v>
      </c>
      <c r="M193" s="519">
        <f t="shared" si="12"/>
        <v>0</v>
      </c>
      <c r="N193" s="520">
        <f t="shared" si="12"/>
        <v>0</v>
      </c>
      <c r="O193" s="520">
        <f t="shared" ref="O193:Q193" si="13">O164</f>
        <v>0</v>
      </c>
      <c r="P193" s="520">
        <f t="shared" si="13"/>
        <v>0</v>
      </c>
      <c r="Q193" s="520">
        <f t="shared" si="13"/>
        <v>0</v>
      </c>
      <c r="R193" s="35"/>
      <c r="S193" s="35"/>
    </row>
    <row r="194" spans="1:35" ht="15.75" thickBot="1">
      <c r="A194" s="907"/>
      <c r="B194" s="908"/>
      <c r="C194" s="909"/>
      <c r="D194" s="910"/>
      <c r="E194" s="894"/>
      <c r="F194" s="497" t="s">
        <v>560</v>
      </c>
      <c r="G194" s="519">
        <f t="shared" ref="G194:G198" si="14">G165</f>
        <v>14682</v>
      </c>
      <c r="H194" s="519">
        <v>15859</v>
      </c>
      <c r="I194" s="519">
        <f t="shared" si="11"/>
        <v>16430</v>
      </c>
      <c r="J194" s="519">
        <f t="shared" si="12"/>
        <v>15828</v>
      </c>
      <c r="K194" s="519">
        <f t="shared" si="12"/>
        <v>0</v>
      </c>
      <c r="L194" s="519">
        <f t="shared" si="12"/>
        <v>0</v>
      </c>
      <c r="M194" s="519">
        <f t="shared" si="12"/>
        <v>0</v>
      </c>
      <c r="N194" s="520">
        <f t="shared" si="12"/>
        <v>0</v>
      </c>
      <c r="O194" s="520">
        <f t="shared" ref="O194:Q194" si="15">O165</f>
        <v>0</v>
      </c>
      <c r="P194" s="520">
        <f t="shared" si="15"/>
        <v>0</v>
      </c>
      <c r="Q194" s="520">
        <f t="shared" si="15"/>
        <v>0</v>
      </c>
      <c r="R194" s="35"/>
      <c r="S194" s="35"/>
    </row>
    <row r="195" spans="1:35">
      <c r="A195" s="895" t="str">
        <f>IF(ISBLANK(A166),"",(A166))</f>
        <v xml:space="preserve">Процент взрослых и детей с известным ВИЧ статусом, получающих антиретровирусную терапию на данный момент </v>
      </c>
      <c r="B195" s="896"/>
      <c r="C195" s="897"/>
      <c r="D195" s="911" t="str">
        <f>IF(ISBLANK(D166),"",(D166))</f>
        <v>Топ 10</v>
      </c>
      <c r="E195" s="912" t="str">
        <f>IF(ISBLANK(E166),"",(E166))</f>
        <v>с текущим грантом</v>
      </c>
      <c r="F195" s="502" t="s">
        <v>379</v>
      </c>
      <c r="G195" s="521">
        <f t="shared" si="14"/>
        <v>2700</v>
      </c>
      <c r="H195" s="521">
        <v>3100</v>
      </c>
      <c r="I195" s="521">
        <f t="shared" si="11"/>
        <v>3478</v>
      </c>
      <c r="J195" s="521">
        <f t="shared" si="12"/>
        <v>3926</v>
      </c>
      <c r="K195" s="521">
        <f t="shared" si="12"/>
        <v>0</v>
      </c>
      <c r="L195" s="521">
        <f t="shared" si="12"/>
        <v>0</v>
      </c>
      <c r="M195" s="521">
        <f t="shared" si="12"/>
        <v>0</v>
      </c>
      <c r="N195" s="522">
        <f t="shared" si="12"/>
        <v>0</v>
      </c>
      <c r="O195" s="522">
        <f t="shared" ref="O195:Q195" si="16">O166</f>
        <v>0</v>
      </c>
      <c r="P195" s="522">
        <f t="shared" si="16"/>
        <v>0</v>
      </c>
      <c r="Q195" s="522">
        <f t="shared" si="16"/>
        <v>0</v>
      </c>
      <c r="R195" s="35"/>
      <c r="S195" s="35"/>
    </row>
    <row r="196" spans="1:35" ht="15.75" thickBot="1">
      <c r="A196" s="898"/>
      <c r="B196" s="899"/>
      <c r="C196" s="900"/>
      <c r="D196" s="911"/>
      <c r="E196" s="912"/>
      <c r="F196" s="502" t="s">
        <v>656</v>
      </c>
      <c r="G196" s="521">
        <f t="shared" si="14"/>
        <v>2668</v>
      </c>
      <c r="H196" s="521">
        <v>2995</v>
      </c>
      <c r="I196" s="521">
        <f t="shared" si="11"/>
        <v>3237</v>
      </c>
      <c r="J196" s="521">
        <f t="shared" ref="J196:N198" si="17">J167</f>
        <v>3454</v>
      </c>
      <c r="K196" s="521">
        <f t="shared" si="17"/>
        <v>0</v>
      </c>
      <c r="L196" s="521">
        <f t="shared" si="17"/>
        <v>0</v>
      </c>
      <c r="M196" s="521">
        <f t="shared" si="17"/>
        <v>0</v>
      </c>
      <c r="N196" s="522">
        <f t="shared" si="17"/>
        <v>0</v>
      </c>
      <c r="O196" s="522">
        <f t="shared" ref="O196:Q196" si="18">O167</f>
        <v>0</v>
      </c>
      <c r="P196" s="522">
        <f t="shared" si="18"/>
        <v>0</v>
      </c>
      <c r="Q196" s="522">
        <f t="shared" si="18"/>
        <v>0</v>
      </c>
      <c r="R196" s="35"/>
      <c r="S196" s="35"/>
    </row>
    <row r="197" spans="1:35">
      <c r="A197" s="904" t="str">
        <f>IF(ISBLANK(A168),"",(A168))</f>
        <v xml:space="preserve">Количество ЛЖВ, находящихся на попечении общинных организаций и участвующих в программах поддержки </v>
      </c>
      <c r="B197" s="905"/>
      <c r="C197" s="906"/>
      <c r="D197" s="910" t="str">
        <f>IF(ISBLANK(D168),"",(D168))</f>
        <v>Топ 10</v>
      </c>
      <c r="E197" s="894" t="str">
        <f>IF(ISBLANK(E168),"",(E168))</f>
        <v>с текущим грантом</v>
      </c>
      <c r="F197" s="523" t="s">
        <v>379</v>
      </c>
      <c r="G197" s="519">
        <f t="shared" si="14"/>
        <v>1410</v>
      </c>
      <c r="H197" s="519">
        <v>1480</v>
      </c>
      <c r="I197" s="519">
        <f t="shared" si="11"/>
        <v>1616</v>
      </c>
      <c r="J197" s="519">
        <f t="shared" si="17"/>
        <v>2032</v>
      </c>
      <c r="K197" s="519">
        <f t="shared" si="17"/>
        <v>0</v>
      </c>
      <c r="L197" s="519">
        <f t="shared" si="17"/>
        <v>0</v>
      </c>
      <c r="M197" s="519">
        <f t="shared" si="17"/>
        <v>0</v>
      </c>
      <c r="N197" s="520">
        <f t="shared" si="17"/>
        <v>0</v>
      </c>
      <c r="O197" s="520">
        <f t="shared" ref="O197:Q197" si="19">O168</f>
        <v>0</v>
      </c>
      <c r="P197" s="520">
        <f t="shared" si="19"/>
        <v>0</v>
      </c>
      <c r="Q197" s="520">
        <f t="shared" si="19"/>
        <v>0</v>
      </c>
      <c r="R197" s="35"/>
      <c r="S197" s="35"/>
    </row>
    <row r="198" spans="1:35" ht="15.75" thickBot="1">
      <c r="A198" s="907"/>
      <c r="B198" s="908"/>
      <c r="C198" s="909"/>
      <c r="D198" s="913"/>
      <c r="E198" s="914"/>
      <c r="F198" s="497" t="s">
        <v>562</v>
      </c>
      <c r="G198" s="519">
        <f t="shared" si="14"/>
        <v>2514</v>
      </c>
      <c r="H198" s="519">
        <v>2851</v>
      </c>
      <c r="I198" s="519">
        <f t="shared" si="11"/>
        <v>3117</v>
      </c>
      <c r="J198" s="519">
        <f t="shared" si="17"/>
        <v>3029</v>
      </c>
      <c r="K198" s="519">
        <f t="shared" si="17"/>
        <v>0</v>
      </c>
      <c r="L198" s="519">
        <f t="shared" si="17"/>
        <v>0</v>
      </c>
      <c r="M198" s="519">
        <f t="shared" si="17"/>
        <v>0</v>
      </c>
      <c r="N198" s="520">
        <f t="shared" si="17"/>
        <v>0</v>
      </c>
      <c r="O198" s="520">
        <f t="shared" ref="O198:Q198" si="20">O169</f>
        <v>0</v>
      </c>
      <c r="P198" s="520">
        <f t="shared" si="20"/>
        <v>0</v>
      </c>
      <c r="Q198" s="520">
        <f t="shared" si="20"/>
        <v>0</v>
      </c>
      <c r="R198" s="35"/>
      <c r="S198" s="35"/>
    </row>
    <row r="199" spans="1:35">
      <c r="A199" s="3"/>
      <c r="B199" s="3"/>
      <c r="C199" s="3"/>
      <c r="D199" s="3"/>
      <c r="E199" s="3"/>
      <c r="F199" s="3"/>
      <c r="I199" s="3"/>
      <c r="J199" s="3"/>
      <c r="K199" s="3"/>
      <c r="M199"/>
      <c r="O199" s="35"/>
      <c r="P199" s="35"/>
      <c r="Q199" s="35"/>
    </row>
    <row r="200" spans="1:35" s="19" customFormat="1" ht="15" customHeight="1">
      <c r="A200" s="882" t="s">
        <v>598</v>
      </c>
      <c r="B200" s="883"/>
      <c r="C200" s="884"/>
      <c r="D200" s="826" t="s">
        <v>558</v>
      </c>
      <c r="E200" s="892" t="s">
        <v>559</v>
      </c>
      <c r="F200" s="497" t="s">
        <v>379</v>
      </c>
      <c r="G200" s="513">
        <v>350</v>
      </c>
      <c r="H200" s="513">
        <v>350</v>
      </c>
      <c r="I200" s="513">
        <v>350</v>
      </c>
      <c r="J200" s="513">
        <v>350</v>
      </c>
      <c r="K200" s="513"/>
      <c r="L200" s="513"/>
      <c r="M200" s="514"/>
      <c r="N200" s="518"/>
      <c r="O200" s="518"/>
      <c r="P200" s="518"/>
      <c r="Q200" s="518"/>
      <c r="AF200" s="20"/>
      <c r="AG200" s="20"/>
      <c r="AH200" s="20"/>
    </row>
    <row r="201" spans="1:35">
      <c r="A201" s="882"/>
      <c r="B201" s="883"/>
      <c r="C201" s="884"/>
      <c r="D201" s="826"/>
      <c r="E201" s="893"/>
      <c r="F201" s="497" t="s">
        <v>562</v>
      </c>
      <c r="G201" s="513">
        <v>437</v>
      </c>
      <c r="H201" s="513">
        <v>509</v>
      </c>
      <c r="I201" s="513">
        <v>510</v>
      </c>
      <c r="J201" s="513">
        <v>497</v>
      </c>
      <c r="K201" s="513"/>
      <c r="L201" s="513"/>
      <c r="M201" s="514"/>
      <c r="N201" s="518"/>
      <c r="O201" s="518"/>
      <c r="P201" s="518"/>
      <c r="Q201" s="518"/>
    </row>
    <row r="202" spans="1:35" ht="14.25" customHeight="1">
      <c r="A202" s="878" t="s">
        <v>550</v>
      </c>
      <c r="B202" s="879"/>
      <c r="C202" s="880"/>
      <c r="D202" s="832" t="s">
        <v>575</v>
      </c>
      <c r="E202" s="881" t="s">
        <v>559</v>
      </c>
      <c r="F202" s="502" t="s">
        <v>379</v>
      </c>
      <c r="G202" s="509">
        <v>20</v>
      </c>
      <c r="H202" s="509">
        <v>22</v>
      </c>
      <c r="I202" s="509">
        <v>24</v>
      </c>
      <c r="J202" s="509">
        <v>24</v>
      </c>
      <c r="K202" s="509"/>
      <c r="L202" s="509"/>
      <c r="M202" s="509"/>
      <c r="N202" s="509"/>
      <c r="O202" s="509"/>
      <c r="P202" s="509"/>
      <c r="Q202" s="509"/>
      <c r="R202" s="63"/>
    </row>
    <row r="203" spans="1:35">
      <c r="A203" s="878"/>
      <c r="B203" s="879"/>
      <c r="C203" s="880"/>
      <c r="D203" s="832"/>
      <c r="E203" s="881"/>
      <c r="F203" s="502" t="s">
        <v>659</v>
      </c>
      <c r="G203" s="509">
        <v>28</v>
      </c>
      <c r="H203" s="509">
        <v>26</v>
      </c>
      <c r="I203" s="509">
        <v>24</v>
      </c>
      <c r="J203" s="509">
        <v>22</v>
      </c>
      <c r="K203" s="509"/>
      <c r="L203" s="509"/>
      <c r="M203" s="509"/>
      <c r="N203" s="509"/>
      <c r="O203" s="509"/>
      <c r="P203" s="509"/>
      <c r="Q203" s="509"/>
      <c r="R203" s="63"/>
    </row>
    <row r="204" spans="1:35" s="19" customFormat="1" ht="15" customHeight="1">
      <c r="A204" s="882" t="s">
        <v>668</v>
      </c>
      <c r="B204" s="883"/>
      <c r="C204" s="884"/>
      <c r="D204" s="826" t="s">
        <v>558</v>
      </c>
      <c r="E204" s="892" t="s">
        <v>559</v>
      </c>
      <c r="F204" s="497"/>
      <c r="G204" s="513"/>
      <c r="H204" s="513"/>
      <c r="I204" s="513"/>
      <c r="J204" s="513"/>
      <c r="K204" s="513"/>
      <c r="L204" s="513"/>
      <c r="M204" s="514"/>
      <c r="N204" s="518"/>
      <c r="O204" s="518"/>
      <c r="P204" s="518"/>
      <c r="Q204" s="518"/>
      <c r="AF204" s="20"/>
      <c r="AG204" s="20"/>
      <c r="AH204" s="20"/>
    </row>
    <row r="205" spans="1:35" ht="45" customHeight="1">
      <c r="A205" s="882"/>
      <c r="B205" s="883"/>
      <c r="C205" s="884"/>
      <c r="D205" s="826"/>
      <c r="E205" s="893"/>
      <c r="F205" s="497"/>
      <c r="G205" s="515" t="s">
        <v>669</v>
      </c>
      <c r="H205" s="515"/>
      <c r="I205" s="513"/>
      <c r="J205" s="515" t="s">
        <v>711</v>
      </c>
      <c r="K205" s="513"/>
      <c r="L205" s="513"/>
      <c r="M205" s="514"/>
      <c r="N205" s="518"/>
      <c r="O205" s="518"/>
      <c r="P205" s="518"/>
      <c r="Q205" s="518"/>
    </row>
    <row r="206" spans="1:35" ht="36" customHeight="1">
      <c r="A206" s="878" t="s">
        <v>671</v>
      </c>
      <c r="B206" s="879"/>
      <c r="C206" s="880"/>
      <c r="D206" s="832" t="s">
        <v>558</v>
      </c>
      <c r="E206" s="881" t="s">
        <v>559</v>
      </c>
      <c r="F206" s="502" t="s">
        <v>379</v>
      </c>
      <c r="G206" s="511">
        <v>110</v>
      </c>
      <c r="H206" s="511"/>
      <c r="I206" s="511">
        <v>240</v>
      </c>
      <c r="J206" s="509"/>
      <c r="K206" s="509"/>
      <c r="L206" s="509"/>
      <c r="M206" s="509"/>
      <c r="N206" s="509"/>
      <c r="O206" s="509"/>
      <c r="P206" s="511"/>
      <c r="Q206" s="511"/>
      <c r="S206" s="63"/>
      <c r="AF206"/>
      <c r="AI206" s="35"/>
    </row>
    <row r="207" spans="1:35" ht="37.5" customHeight="1">
      <c r="A207" s="878"/>
      <c r="B207" s="879"/>
      <c r="C207" s="880"/>
      <c r="D207" s="832"/>
      <c r="E207" s="881"/>
      <c r="F207" s="502" t="s">
        <v>714</v>
      </c>
      <c r="G207" s="511">
        <v>150</v>
      </c>
      <c r="H207" s="511"/>
      <c r="I207" s="511">
        <v>220</v>
      </c>
      <c r="J207" s="509"/>
      <c r="K207" s="509"/>
      <c r="L207" s="509"/>
      <c r="M207" s="509"/>
      <c r="N207" s="509"/>
      <c r="O207" s="509"/>
      <c r="P207" s="511"/>
      <c r="Q207" s="511"/>
      <c r="R207" s="19"/>
      <c r="S207" s="63"/>
      <c r="AF207"/>
      <c r="AI207" s="35"/>
    </row>
    <row r="208" spans="1:35" s="19" customFormat="1" ht="40.5" customHeight="1">
      <c r="A208" s="882" t="s">
        <v>499</v>
      </c>
      <c r="B208" s="883"/>
      <c r="C208" s="884"/>
      <c r="D208" s="826" t="s">
        <v>575</v>
      </c>
      <c r="E208" s="877" t="s">
        <v>559</v>
      </c>
      <c r="F208" s="497" t="s">
        <v>379</v>
      </c>
      <c r="G208" s="515" t="s">
        <v>660</v>
      </c>
      <c r="H208" s="515" t="s">
        <v>661</v>
      </c>
      <c r="I208" s="515" t="s">
        <v>662</v>
      </c>
      <c r="J208" s="515" t="s">
        <v>712</v>
      </c>
      <c r="K208" s="513"/>
      <c r="L208" s="513"/>
      <c r="M208" s="514"/>
      <c r="N208" s="518"/>
      <c r="O208" s="518"/>
      <c r="P208" s="518"/>
      <c r="Q208" s="518"/>
      <c r="R208"/>
      <c r="AF208" s="20"/>
      <c r="AG208" s="20"/>
      <c r="AH208" s="20"/>
    </row>
    <row r="209" spans="1:34" ht="44.25" customHeight="1">
      <c r="A209" s="882"/>
      <c r="B209" s="883"/>
      <c r="C209" s="884"/>
      <c r="D209" s="826"/>
      <c r="E209" s="877"/>
      <c r="F209" s="497" t="s">
        <v>657</v>
      </c>
      <c r="G209" s="515" t="s">
        <v>663</v>
      </c>
      <c r="H209" s="515" t="s">
        <v>664</v>
      </c>
      <c r="I209" s="515" t="s">
        <v>665</v>
      </c>
      <c r="J209" s="515" t="s">
        <v>713</v>
      </c>
      <c r="K209" s="513"/>
      <c r="L209" s="513"/>
      <c r="M209" s="514"/>
      <c r="N209" s="518"/>
      <c r="O209" s="518"/>
      <c r="P209" s="518"/>
      <c r="Q209" s="518"/>
      <c r="R209" s="63"/>
    </row>
    <row r="210" spans="1:34" ht="14.25" customHeight="1">
      <c r="A210" s="878" t="s">
        <v>543</v>
      </c>
      <c r="B210" s="879"/>
      <c r="C210" s="880"/>
      <c r="D210" s="832" t="s">
        <v>558</v>
      </c>
      <c r="E210" s="881" t="s">
        <v>559</v>
      </c>
      <c r="F210" s="502" t="s">
        <v>379</v>
      </c>
      <c r="G210" s="510">
        <v>0.85</v>
      </c>
      <c r="H210" s="510"/>
      <c r="I210" s="510">
        <v>0.95</v>
      </c>
      <c r="J210" s="509"/>
      <c r="K210" s="509"/>
      <c r="L210" s="509"/>
      <c r="M210" s="509"/>
      <c r="N210" s="509"/>
      <c r="O210" s="509"/>
      <c r="P210" s="509"/>
      <c r="Q210" s="509"/>
      <c r="R210" s="63"/>
    </row>
    <row r="211" spans="1:34" ht="32.25" customHeight="1">
      <c r="A211" s="878"/>
      <c r="B211" s="879"/>
      <c r="C211" s="880"/>
      <c r="D211" s="832"/>
      <c r="E211" s="881"/>
      <c r="F211" s="502" t="s">
        <v>714</v>
      </c>
      <c r="G211" s="510">
        <v>0.72</v>
      </c>
      <c r="H211" s="510"/>
      <c r="I211" s="510" t="s">
        <v>666</v>
      </c>
      <c r="J211" s="509"/>
      <c r="K211" s="509"/>
      <c r="L211" s="509"/>
      <c r="M211" s="509"/>
      <c r="N211" s="509"/>
      <c r="O211" s="509"/>
      <c r="P211" s="509"/>
      <c r="Q211" s="509"/>
      <c r="R211" s="63"/>
    </row>
    <row r="212" spans="1:34" s="19" customFormat="1" ht="15" customHeight="1">
      <c r="A212" s="882" t="s">
        <v>539</v>
      </c>
      <c r="B212" s="883"/>
      <c r="C212" s="884"/>
      <c r="D212" s="826" t="s">
        <v>575</v>
      </c>
      <c r="E212" s="892" t="s">
        <v>559</v>
      </c>
      <c r="F212" s="497" t="s">
        <v>379</v>
      </c>
      <c r="G212" s="518">
        <v>0.9</v>
      </c>
      <c r="H212" s="518"/>
      <c r="I212" s="518">
        <v>0.9</v>
      </c>
      <c r="J212" s="513"/>
      <c r="K212" s="513"/>
      <c r="L212" s="513"/>
      <c r="M212" s="514"/>
      <c r="N212" s="518"/>
      <c r="O212" s="518"/>
      <c r="P212" s="518"/>
      <c r="Q212" s="518"/>
      <c r="AF212" s="20"/>
      <c r="AG212" s="20"/>
      <c r="AH212" s="20"/>
    </row>
    <row r="213" spans="1:34">
      <c r="A213" s="882"/>
      <c r="B213" s="883"/>
      <c r="C213" s="884"/>
      <c r="D213" s="826"/>
      <c r="E213" s="893"/>
      <c r="F213" s="497" t="s">
        <v>714</v>
      </c>
      <c r="G213" s="518">
        <v>1.05</v>
      </c>
      <c r="H213" s="518"/>
      <c r="I213" s="518" t="s">
        <v>670</v>
      </c>
      <c r="J213" s="513"/>
      <c r="K213" s="513"/>
      <c r="L213" s="513"/>
      <c r="M213" s="514"/>
      <c r="N213" s="518"/>
      <c r="O213" s="518"/>
      <c r="P213" s="518"/>
      <c r="Q213" s="518"/>
    </row>
    <row r="214" spans="1:34" ht="15.75" thickBot="1">
      <c r="A214" s="3"/>
      <c r="B214" s="3"/>
      <c r="C214" s="3"/>
      <c r="D214" s="3"/>
      <c r="E214" s="3"/>
      <c r="F214" s="3"/>
      <c r="G214" s="3"/>
      <c r="H214" s="2" t="str">
        <f>IF(AND(F214&gt;0,G214&gt;0),G214/F214,"")</f>
        <v/>
      </c>
      <c r="I214" s="102"/>
      <c r="J214" s="102"/>
      <c r="K214" s="3"/>
      <c r="L214" s="3"/>
    </row>
    <row r="215" spans="1:34" ht="19.5" thickBot="1">
      <c r="A215" s="542" t="s">
        <v>599</v>
      </c>
      <c r="B215" s="114"/>
      <c r="C215" s="114"/>
      <c r="D215" s="115"/>
      <c r="E215" s="115"/>
      <c r="F215" s="115"/>
      <c r="G215" s="225"/>
      <c r="H215" s="216"/>
      <c r="I215" s="283"/>
      <c r="J215" s="382" t="s">
        <v>353</v>
      </c>
      <c r="K215" s="375"/>
      <c r="L215" s="376"/>
      <c r="M215" s="377"/>
      <c r="N215" s="376"/>
      <c r="O215" s="397"/>
      <c r="P215" s="35"/>
    </row>
    <row r="216" spans="1:34" ht="15.75" thickBot="1">
      <c r="A216" s="3"/>
      <c r="B216" s="3"/>
      <c r="C216" s="3"/>
      <c r="D216" s="3"/>
      <c r="E216" s="3"/>
      <c r="F216" s="3"/>
      <c r="G216" s="3"/>
      <c r="H216" s="3"/>
      <c r="I216" s="3"/>
      <c r="J216" s="3"/>
      <c r="K216" s="3"/>
      <c r="L216" s="3"/>
      <c r="M216"/>
      <c r="N216"/>
      <c r="O216" s="35"/>
      <c r="P216" s="35"/>
    </row>
    <row r="217" spans="1:34" ht="39.75" customHeight="1">
      <c r="A217" s="827" t="s">
        <v>378</v>
      </c>
      <c r="B217" s="828"/>
      <c r="C217" s="829"/>
      <c r="D217" s="275" t="s">
        <v>270</v>
      </c>
      <c r="E217" s="346" t="s">
        <v>334</v>
      </c>
      <c r="F217" s="220"/>
      <c r="G217" s="313" t="s">
        <v>461</v>
      </c>
      <c r="H217" s="313" t="s">
        <v>468</v>
      </c>
      <c r="I217" s="313" t="s">
        <v>57</v>
      </c>
      <c r="J217" s="313" t="s">
        <v>58</v>
      </c>
      <c r="K217" s="313" t="s">
        <v>65</v>
      </c>
      <c r="L217" s="313" t="s">
        <v>66</v>
      </c>
      <c r="M217" s="313" t="s">
        <v>67</v>
      </c>
      <c r="N217" s="313" t="s">
        <v>68</v>
      </c>
      <c r="O217" s="313" t="s">
        <v>69</v>
      </c>
      <c r="P217" s="313" t="s">
        <v>70</v>
      </c>
      <c r="Q217" s="313" t="s">
        <v>71</v>
      </c>
      <c r="R217" s="63"/>
    </row>
    <row r="218" spans="1:34" ht="40.5" customHeight="1">
      <c r="A218" s="815" t="s">
        <v>464</v>
      </c>
      <c r="B218" s="816"/>
      <c r="C218" s="817"/>
      <c r="D218" s="826" t="s">
        <v>575</v>
      </c>
      <c r="E218" s="830" t="s">
        <v>431</v>
      </c>
      <c r="F218" s="221" t="s">
        <v>379</v>
      </c>
      <c r="G218" s="242">
        <v>1939</v>
      </c>
      <c r="H218" s="116">
        <v>2254</v>
      </c>
      <c r="I218" s="242">
        <v>2413</v>
      </c>
      <c r="J218" s="242">
        <v>2413</v>
      </c>
      <c r="K218" s="116"/>
      <c r="L218" s="116"/>
      <c r="M218" s="116"/>
      <c r="N218" s="116"/>
      <c r="O218" s="116"/>
      <c r="P218" s="116"/>
      <c r="Q218" s="116"/>
      <c r="R218" s="63"/>
    </row>
    <row r="219" spans="1:34" ht="23.25" customHeight="1">
      <c r="A219" s="818"/>
      <c r="B219" s="819"/>
      <c r="C219" s="820"/>
      <c r="D219" s="826"/>
      <c r="E219" s="831"/>
      <c r="F219" s="221" t="s">
        <v>271</v>
      </c>
      <c r="G219" s="242">
        <v>1476</v>
      </c>
      <c r="H219" s="116">
        <v>1689</v>
      </c>
      <c r="I219" s="242">
        <v>1684</v>
      </c>
      <c r="J219" s="242"/>
      <c r="K219" s="116"/>
      <c r="L219" s="116"/>
      <c r="M219" s="116"/>
      <c r="N219" s="116"/>
      <c r="O219" s="116"/>
      <c r="P219" s="116"/>
      <c r="Q219" s="116"/>
      <c r="R219" s="63"/>
    </row>
    <row r="220" spans="1:34" ht="48" customHeight="1">
      <c r="A220" s="797" t="s">
        <v>460</v>
      </c>
      <c r="B220" s="798"/>
      <c r="C220" s="799"/>
      <c r="D220" s="832" t="s">
        <v>558</v>
      </c>
      <c r="E220" s="795" t="s">
        <v>431</v>
      </c>
      <c r="F220" s="221" t="s">
        <v>379</v>
      </c>
      <c r="G220" s="389">
        <v>1677</v>
      </c>
      <c r="H220" s="387">
        <v>1677</v>
      </c>
      <c r="I220" s="243">
        <v>1677</v>
      </c>
      <c r="J220" s="243"/>
      <c r="K220" s="454"/>
      <c r="L220" s="217"/>
      <c r="M220" s="217"/>
      <c r="N220" s="217"/>
      <c r="O220" s="217"/>
      <c r="P220" s="217"/>
      <c r="Q220" s="217"/>
      <c r="R220" s="63"/>
    </row>
    <row r="221" spans="1:34" ht="15.75" customHeight="1">
      <c r="A221" s="800"/>
      <c r="B221" s="801"/>
      <c r="C221" s="802"/>
      <c r="D221" s="832"/>
      <c r="E221" s="796"/>
      <c r="F221" s="222" t="s">
        <v>271</v>
      </c>
      <c r="G221" s="389">
        <v>1628</v>
      </c>
      <c r="H221" s="387">
        <v>2087</v>
      </c>
      <c r="I221" s="274">
        <v>2034</v>
      </c>
      <c r="J221" s="274">
        <v>1798</v>
      </c>
      <c r="K221" s="273"/>
      <c r="L221" s="273"/>
      <c r="M221" s="273"/>
      <c r="N221" s="273"/>
      <c r="O221" s="217"/>
      <c r="P221" s="217"/>
      <c r="Q221" s="217"/>
      <c r="R221" s="63"/>
    </row>
    <row r="222" spans="1:34" ht="38.25" customHeight="1">
      <c r="A222" s="815" t="s">
        <v>674</v>
      </c>
      <c r="B222" s="816"/>
      <c r="C222" s="817"/>
      <c r="D222" s="826" t="s">
        <v>575</v>
      </c>
      <c r="E222" s="830" t="s">
        <v>431</v>
      </c>
      <c r="F222" s="221" t="s">
        <v>379</v>
      </c>
      <c r="G222" s="478">
        <v>0.85</v>
      </c>
      <c r="H222" s="480">
        <v>0.9</v>
      </c>
      <c r="I222" s="478">
        <v>0.95</v>
      </c>
      <c r="J222" s="480">
        <v>0.95</v>
      </c>
      <c r="K222" s="455"/>
      <c r="L222" s="116"/>
      <c r="M222" s="116"/>
      <c r="N222" s="116"/>
      <c r="O222" s="116"/>
      <c r="P222" s="116"/>
      <c r="Q222" s="116"/>
      <c r="R222" s="63"/>
    </row>
    <row r="223" spans="1:34" ht="39.75" customHeight="1">
      <c r="A223" s="818"/>
      <c r="B223" s="819"/>
      <c r="C223" s="820"/>
      <c r="D223" s="826"/>
      <c r="E223" s="831"/>
      <c r="F223" s="221" t="s">
        <v>271</v>
      </c>
      <c r="G223" s="478">
        <v>0.96</v>
      </c>
      <c r="H223" s="480">
        <v>0.95</v>
      </c>
      <c r="I223" s="478">
        <v>0.96</v>
      </c>
      <c r="J223" s="480">
        <v>0.95</v>
      </c>
      <c r="K223" s="116"/>
      <c r="L223" s="116"/>
      <c r="M223" s="116"/>
      <c r="N223" s="116"/>
      <c r="O223" s="116"/>
      <c r="P223" s="116"/>
      <c r="Q223" s="116"/>
      <c r="R223" s="63"/>
    </row>
    <row r="224" spans="1:34" ht="39.75" customHeight="1">
      <c r="A224" s="797" t="s">
        <v>675</v>
      </c>
      <c r="B224" s="798"/>
      <c r="C224" s="799"/>
      <c r="D224" s="832" t="s">
        <v>558</v>
      </c>
      <c r="E224" s="795" t="s">
        <v>431</v>
      </c>
      <c r="F224" s="221" t="s">
        <v>379</v>
      </c>
      <c r="G224" s="392">
        <v>800</v>
      </c>
      <c r="H224" s="388">
        <v>712</v>
      </c>
      <c r="I224" s="389">
        <v>712</v>
      </c>
      <c r="J224" s="389">
        <v>712</v>
      </c>
      <c r="K224" s="387"/>
      <c r="L224" s="387"/>
      <c r="M224" s="387"/>
      <c r="N224" s="387"/>
      <c r="O224" s="387"/>
      <c r="P224" s="387"/>
      <c r="Q224" s="387"/>
      <c r="R224" s="63"/>
    </row>
    <row r="225" spans="1:19" ht="39.75" customHeight="1">
      <c r="A225" s="800"/>
      <c r="B225" s="801"/>
      <c r="C225" s="802"/>
      <c r="D225" s="832"/>
      <c r="E225" s="796"/>
      <c r="F225" s="221" t="s">
        <v>271</v>
      </c>
      <c r="G225" s="392">
        <v>626</v>
      </c>
      <c r="H225" s="388">
        <v>697</v>
      </c>
      <c r="I225" s="389">
        <v>736</v>
      </c>
      <c r="J225" s="389">
        <v>735</v>
      </c>
      <c r="K225" s="387"/>
      <c r="L225" s="387"/>
      <c r="M225" s="387"/>
      <c r="N225" s="387"/>
      <c r="O225" s="387"/>
      <c r="P225" s="387"/>
      <c r="Q225" s="387"/>
      <c r="R225" s="63"/>
    </row>
    <row r="226" spans="1:19" ht="35.25" customHeight="1">
      <c r="A226" s="835" t="s">
        <v>676</v>
      </c>
      <c r="B226" s="836"/>
      <c r="C226" s="837"/>
      <c r="D226" s="826" t="s">
        <v>575</v>
      </c>
      <c r="E226" s="833" t="s">
        <v>431</v>
      </c>
      <c r="F226" s="221" t="s">
        <v>379</v>
      </c>
      <c r="G226" s="391">
        <v>795</v>
      </c>
      <c r="H226" s="390">
        <v>663</v>
      </c>
      <c r="I226" s="391">
        <v>662</v>
      </c>
      <c r="J226" s="391">
        <v>712</v>
      </c>
      <c r="K226" s="390"/>
      <c r="L226" s="390"/>
      <c r="M226" s="390"/>
      <c r="N226" s="390"/>
      <c r="O226" s="390"/>
      <c r="P226" s="390"/>
      <c r="Q226" s="390"/>
      <c r="R226" s="63"/>
    </row>
    <row r="227" spans="1:19" ht="39" customHeight="1">
      <c r="A227" s="838"/>
      <c r="B227" s="839"/>
      <c r="C227" s="840"/>
      <c r="D227" s="826"/>
      <c r="E227" s="834"/>
      <c r="F227" s="222" t="s">
        <v>271</v>
      </c>
      <c r="G227" s="391">
        <v>601</v>
      </c>
      <c r="H227" s="390">
        <v>702</v>
      </c>
      <c r="I227" s="391">
        <v>686</v>
      </c>
      <c r="J227" s="391">
        <v>598</v>
      </c>
      <c r="K227" s="390"/>
      <c r="L227" s="390"/>
      <c r="M227" s="390"/>
      <c r="N227" s="390"/>
      <c r="O227" s="390"/>
      <c r="P227" s="390"/>
      <c r="Q227" s="390"/>
      <c r="R227" s="63"/>
    </row>
    <row r="228" spans="1:19" ht="43.5" customHeight="1">
      <c r="A228" s="797" t="s">
        <v>465</v>
      </c>
      <c r="B228" s="798"/>
      <c r="C228" s="799"/>
      <c r="D228" s="832" t="s">
        <v>558</v>
      </c>
      <c r="E228" s="841" t="s">
        <v>431</v>
      </c>
      <c r="F228" s="221" t="s">
        <v>379</v>
      </c>
      <c r="G228" s="391"/>
      <c r="H228" s="481">
        <v>0.08</v>
      </c>
      <c r="I228" s="540">
        <v>0.08</v>
      </c>
      <c r="J228" s="540">
        <v>0.1</v>
      </c>
      <c r="K228" s="388"/>
      <c r="L228" s="388"/>
      <c r="M228" s="388"/>
      <c r="N228" s="388"/>
      <c r="O228" s="388"/>
      <c r="P228" s="388"/>
      <c r="Q228" s="469"/>
      <c r="R228" s="63"/>
    </row>
    <row r="229" spans="1:19" ht="40.5" customHeight="1">
      <c r="A229" s="800"/>
      <c r="B229" s="801"/>
      <c r="C229" s="802"/>
      <c r="D229" s="832"/>
      <c r="E229" s="842"/>
      <c r="F229" s="221" t="s">
        <v>271</v>
      </c>
      <c r="G229" s="453" t="s">
        <v>466</v>
      </c>
      <c r="H229" s="482">
        <v>0.19</v>
      </c>
      <c r="I229" s="541">
        <v>0.13</v>
      </c>
      <c r="J229" s="541">
        <v>0.16</v>
      </c>
      <c r="K229" s="387"/>
      <c r="L229" s="387"/>
      <c r="M229" s="387"/>
      <c r="N229" s="387"/>
      <c r="O229" s="388"/>
      <c r="P229" s="388"/>
      <c r="Q229" s="388"/>
      <c r="R229" s="63"/>
    </row>
    <row r="230" spans="1:19" ht="20.25" customHeight="1">
      <c r="A230" s="3"/>
      <c r="B230" s="3"/>
      <c r="C230" s="3"/>
      <c r="D230" s="3"/>
      <c r="E230" s="3"/>
      <c r="F230" s="2"/>
      <c r="G230" s="3"/>
      <c r="H230" s="3"/>
      <c r="I230" s="3"/>
      <c r="J230" s="3"/>
      <c r="K230" s="3"/>
      <c r="L230" s="3"/>
      <c r="M230" s="3"/>
      <c r="N230" s="3"/>
      <c r="Q230" s="35"/>
    </row>
    <row r="231" spans="1:19">
      <c r="A231" s="3"/>
      <c r="B231" s="3"/>
      <c r="C231" s="3"/>
      <c r="D231" s="3"/>
      <c r="E231" s="3"/>
      <c r="F231" s="2"/>
      <c r="G231" s="3"/>
      <c r="H231" s="3"/>
      <c r="I231" s="3"/>
      <c r="J231" s="3"/>
      <c r="K231" s="3"/>
      <c r="L231" s="3"/>
      <c r="M231" s="3"/>
      <c r="N231" s="3"/>
      <c r="Q231" s="35"/>
    </row>
    <row r="232" spans="1:19" ht="4.5" customHeight="1" thickBot="1">
      <c r="A232" s="3"/>
      <c r="B232" s="3"/>
      <c r="C232" s="3"/>
      <c r="D232" s="3"/>
      <c r="E232" s="3"/>
      <c r="F232" s="2"/>
      <c r="G232" s="3"/>
      <c r="H232" s="3"/>
      <c r="I232" s="3"/>
      <c r="J232" s="3"/>
      <c r="K232" s="3"/>
      <c r="L232" s="3"/>
      <c r="M232" s="3"/>
      <c r="N232" s="3"/>
      <c r="Q232" s="35"/>
    </row>
    <row r="233" spans="1:19" ht="16.5" hidden="1" thickBot="1">
      <c r="A233" s="276"/>
      <c r="B233" s="3"/>
      <c r="C233" s="3"/>
      <c r="D233" s="3"/>
      <c r="E233" s="3"/>
      <c r="F233" s="2"/>
      <c r="G233" s="3"/>
      <c r="H233" s="3"/>
      <c r="I233" s="3"/>
      <c r="J233" s="3"/>
      <c r="K233" s="3"/>
      <c r="L233" s="3"/>
      <c r="M233" s="3"/>
      <c r="N233" s="3"/>
      <c r="Q233" s="35"/>
    </row>
    <row r="234" spans="1:19" ht="72" customHeight="1">
      <c r="A234" s="3" t="s">
        <v>380</v>
      </c>
      <c r="B234" s="3"/>
      <c r="C234" s="3"/>
      <c r="D234" s="275" t="s">
        <v>270</v>
      </c>
      <c r="E234" s="346" t="s">
        <v>334</v>
      </c>
      <c r="F234" s="220"/>
      <c r="G234" s="313" t="str">
        <f t="shared" ref="G234:Q234" si="21">B30</f>
        <v>P1</v>
      </c>
      <c r="H234" s="313" t="str">
        <f t="shared" si="21"/>
        <v>P2</v>
      </c>
      <c r="I234" s="313" t="str">
        <f t="shared" si="21"/>
        <v>P3</v>
      </c>
      <c r="J234" s="313" t="str">
        <f t="shared" si="21"/>
        <v>P4</v>
      </c>
      <c r="K234" s="313" t="str">
        <f t="shared" si="21"/>
        <v>P5</v>
      </c>
      <c r="L234" s="313" t="str">
        <f t="shared" si="21"/>
        <v>P6</v>
      </c>
      <c r="M234" s="313" t="str">
        <f t="shared" si="21"/>
        <v>P7</v>
      </c>
      <c r="N234" s="313" t="str">
        <f t="shared" si="21"/>
        <v>P8</v>
      </c>
      <c r="O234" s="313" t="str">
        <f t="shared" si="21"/>
        <v>P9</v>
      </c>
      <c r="P234" s="313" t="str">
        <f t="shared" si="21"/>
        <v>P10</v>
      </c>
      <c r="Q234" s="313" t="str">
        <f t="shared" si="21"/>
        <v>P11</v>
      </c>
      <c r="R234" s="35"/>
      <c r="S234" s="35"/>
    </row>
    <row r="235" spans="1:19">
      <c r="A235" s="853" t="str">
        <f>IF(ISBLANK(A218),"",(A218))</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B235" s="854"/>
      <c r="C235" s="855"/>
      <c r="D235" s="851" t="str">
        <f>IF(ISBLANK(D218),"",(D218))</f>
        <v xml:space="preserve"> Топ 10</v>
      </c>
      <c r="E235" s="862" t="str">
        <f>IF(ISBLANK(E218),"",(E218))</f>
        <v>да</v>
      </c>
      <c r="F235" s="221" t="s">
        <v>379</v>
      </c>
      <c r="G235" s="326">
        <f t="shared" ref="G235:Q235" si="22">G218</f>
        <v>1939</v>
      </c>
      <c r="H235" s="326">
        <f t="shared" si="22"/>
        <v>2254</v>
      </c>
      <c r="I235" s="326">
        <f t="shared" si="22"/>
        <v>2413</v>
      </c>
      <c r="J235" s="326">
        <f t="shared" si="22"/>
        <v>2413</v>
      </c>
      <c r="K235" s="326">
        <f t="shared" si="22"/>
        <v>0</v>
      </c>
      <c r="L235" s="326">
        <f t="shared" si="22"/>
        <v>0</v>
      </c>
      <c r="M235" s="326">
        <f t="shared" si="22"/>
        <v>0</v>
      </c>
      <c r="N235" s="326">
        <f t="shared" si="22"/>
        <v>0</v>
      </c>
      <c r="O235" s="326">
        <f t="shared" si="22"/>
        <v>0</v>
      </c>
      <c r="P235" s="326">
        <f t="shared" si="22"/>
        <v>0</v>
      </c>
      <c r="Q235" s="326">
        <f t="shared" si="22"/>
        <v>0</v>
      </c>
      <c r="R235" s="35"/>
      <c r="S235" s="35"/>
    </row>
    <row r="236" spans="1:19" ht="88.5" customHeight="1" thickBot="1">
      <c r="A236" s="846"/>
      <c r="B236" s="847"/>
      <c r="C236" s="848"/>
      <c r="D236" s="866"/>
      <c r="E236" s="867"/>
      <c r="F236" s="394" t="s">
        <v>271</v>
      </c>
      <c r="G236" s="326">
        <f t="shared" ref="G236:J240" si="23">G219</f>
        <v>1476</v>
      </c>
      <c r="H236" s="326">
        <f t="shared" si="23"/>
        <v>1689</v>
      </c>
      <c r="I236" s="326">
        <f t="shared" si="23"/>
        <v>1684</v>
      </c>
      <c r="J236" s="326">
        <f t="shared" si="23"/>
        <v>0</v>
      </c>
      <c r="K236" s="326">
        <f t="shared" ref="K236:Q240" si="24">K219</f>
        <v>0</v>
      </c>
      <c r="L236" s="326">
        <f t="shared" si="24"/>
        <v>0</v>
      </c>
      <c r="M236" s="326">
        <f t="shared" si="24"/>
        <v>0</v>
      </c>
      <c r="N236" s="326">
        <f t="shared" si="24"/>
        <v>0</v>
      </c>
      <c r="O236" s="326">
        <f t="shared" si="24"/>
        <v>0</v>
      </c>
      <c r="P236" s="326">
        <f t="shared" si="24"/>
        <v>0</v>
      </c>
      <c r="Q236" s="326">
        <f t="shared" si="24"/>
        <v>0</v>
      </c>
      <c r="R236" s="35"/>
      <c r="S236" s="35"/>
    </row>
    <row r="237" spans="1:19">
      <c r="A237" s="856" t="str">
        <f>IF(ISBLANK(A220),"",(A220))</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B237" s="857"/>
      <c r="C237" s="858"/>
      <c r="D237" s="849" t="str">
        <f>IF(ISBLANK(D220),"",(D220))</f>
        <v>Топ 10</v>
      </c>
      <c r="E237" s="864" t="str">
        <f>IF(ISBLANK(E220),"",(E220))</f>
        <v>да</v>
      </c>
      <c r="F237" s="222" t="s">
        <v>379</v>
      </c>
      <c r="G237" s="393">
        <f t="shared" si="23"/>
        <v>1677</v>
      </c>
      <c r="H237" s="393">
        <f>H220</f>
        <v>1677</v>
      </c>
      <c r="I237" s="393">
        <f t="shared" si="23"/>
        <v>1677</v>
      </c>
      <c r="J237" s="393">
        <f>J220</f>
        <v>0</v>
      </c>
      <c r="K237" s="393">
        <f t="shared" si="24"/>
        <v>0</v>
      </c>
      <c r="L237" s="393">
        <f t="shared" si="24"/>
        <v>0</v>
      </c>
      <c r="M237" s="393">
        <f t="shared" si="24"/>
        <v>0</v>
      </c>
      <c r="N237" s="393">
        <f t="shared" si="24"/>
        <v>0</v>
      </c>
      <c r="O237" s="393">
        <f t="shared" si="24"/>
        <v>0</v>
      </c>
      <c r="P237" s="393">
        <f t="shared" si="24"/>
        <v>0</v>
      </c>
      <c r="Q237" s="393">
        <f t="shared" si="24"/>
        <v>0</v>
      </c>
      <c r="R237" s="35"/>
      <c r="S237" s="35"/>
    </row>
    <row r="238" spans="1:19" ht="96.75" customHeight="1" thickBot="1">
      <c r="A238" s="859"/>
      <c r="B238" s="860"/>
      <c r="C238" s="861"/>
      <c r="D238" s="850"/>
      <c r="E238" s="865"/>
      <c r="F238" s="222" t="s">
        <v>271</v>
      </c>
      <c r="G238" s="393">
        <f t="shared" si="23"/>
        <v>1628</v>
      </c>
      <c r="H238" s="393">
        <f t="shared" si="23"/>
        <v>2087</v>
      </c>
      <c r="I238" s="393">
        <f t="shared" si="23"/>
        <v>2034</v>
      </c>
      <c r="J238" s="393">
        <f t="shared" si="23"/>
        <v>1798</v>
      </c>
      <c r="K238" s="393">
        <f t="shared" si="24"/>
        <v>0</v>
      </c>
      <c r="L238" s="393">
        <f t="shared" si="24"/>
        <v>0</v>
      </c>
      <c r="M238" s="393">
        <f t="shared" si="24"/>
        <v>0</v>
      </c>
      <c r="N238" s="393">
        <f t="shared" si="24"/>
        <v>0</v>
      </c>
      <c r="O238" s="393">
        <f t="shared" si="24"/>
        <v>0</v>
      </c>
      <c r="P238" s="393">
        <f t="shared" si="24"/>
        <v>0</v>
      </c>
      <c r="Q238" s="393">
        <f t="shared" si="24"/>
        <v>0</v>
      </c>
      <c r="R238" s="35"/>
      <c r="S238" s="35"/>
    </row>
    <row r="239" spans="1:19">
      <c r="A239" s="843" t="str">
        <f>IF(ISBLANK(A222),"",(A222))</f>
        <v xml:space="preserve">MDR TB-1: Процент ранее леченных ТБ пациентов, прошедших ТЛЧ (только бактериологически положительные случаи) </v>
      </c>
      <c r="B239" s="844"/>
      <c r="C239" s="845"/>
      <c r="D239" s="851" t="str">
        <f>IF(ISBLANK(D222),"",(D222))</f>
        <v xml:space="preserve"> Топ 10</v>
      </c>
      <c r="E239" s="862" t="str">
        <f>IF(ISBLANK(E222),"",(E222))</f>
        <v>да</v>
      </c>
      <c r="F239" s="395" t="s">
        <v>379</v>
      </c>
      <c r="G239" s="326">
        <f t="shared" si="23"/>
        <v>0.85</v>
      </c>
      <c r="H239" s="326">
        <f t="shared" si="23"/>
        <v>0.9</v>
      </c>
      <c r="I239" s="326">
        <f t="shared" si="23"/>
        <v>0.95</v>
      </c>
      <c r="J239" s="606">
        <f t="shared" si="23"/>
        <v>0.95</v>
      </c>
      <c r="K239" s="326">
        <f t="shared" si="24"/>
        <v>0</v>
      </c>
      <c r="L239" s="326">
        <f t="shared" si="24"/>
        <v>0</v>
      </c>
      <c r="M239" s="326">
        <f t="shared" si="24"/>
        <v>0</v>
      </c>
      <c r="N239" s="326">
        <f t="shared" si="24"/>
        <v>0</v>
      </c>
      <c r="O239" s="326">
        <f t="shared" si="24"/>
        <v>0</v>
      </c>
      <c r="P239" s="326">
        <f t="shared" si="24"/>
        <v>0</v>
      </c>
      <c r="Q239" s="326">
        <f t="shared" si="24"/>
        <v>0</v>
      </c>
      <c r="R239" s="35"/>
      <c r="S239" s="35"/>
    </row>
    <row r="240" spans="1:19" ht="96.75" customHeight="1" thickBot="1">
      <c r="A240" s="846"/>
      <c r="B240" s="847"/>
      <c r="C240" s="848"/>
      <c r="D240" s="852"/>
      <c r="E240" s="863"/>
      <c r="F240" s="272" t="s">
        <v>271</v>
      </c>
      <c r="G240" s="327">
        <f t="shared" si="23"/>
        <v>0.96</v>
      </c>
      <c r="H240" s="327">
        <f t="shared" si="23"/>
        <v>0.95</v>
      </c>
      <c r="I240" s="327">
        <f t="shared" si="23"/>
        <v>0.96</v>
      </c>
      <c r="J240" s="607">
        <f t="shared" si="23"/>
        <v>0.95</v>
      </c>
      <c r="K240" s="326">
        <f t="shared" si="24"/>
        <v>0</v>
      </c>
      <c r="L240" s="326">
        <f t="shared" si="24"/>
        <v>0</v>
      </c>
      <c r="M240" s="326">
        <f t="shared" si="24"/>
        <v>0</v>
      </c>
      <c r="N240" s="326">
        <f t="shared" si="24"/>
        <v>0</v>
      </c>
      <c r="O240" s="326">
        <f t="shared" si="24"/>
        <v>0</v>
      </c>
      <c r="P240" s="326">
        <f t="shared" si="24"/>
        <v>0</v>
      </c>
      <c r="Q240" s="326">
        <f t="shared" si="24"/>
        <v>0</v>
      </c>
      <c r="R240" s="35"/>
      <c r="S240" s="35"/>
    </row>
    <row r="241" spans="1:16">
      <c r="A241" s="3"/>
      <c r="B241" s="3"/>
      <c r="C241" s="3"/>
      <c r="D241" s="3"/>
      <c r="E241" s="3"/>
      <c r="F241" s="3"/>
      <c r="G241" s="3"/>
      <c r="H241" s="3"/>
      <c r="I241" s="3"/>
      <c r="J241" s="3"/>
      <c r="K241" s="3"/>
      <c r="L241" s="3"/>
      <c r="M241"/>
      <c r="N241"/>
      <c r="O241" s="35"/>
      <c r="P241" s="35"/>
    </row>
    <row r="242" spans="1:16">
      <c r="M242"/>
      <c r="N242"/>
      <c r="O242" s="35"/>
      <c r="P242" s="35"/>
    </row>
    <row r="243" spans="1:16" ht="14.25" customHeight="1">
      <c r="M243"/>
      <c r="N243"/>
      <c r="O243" s="35"/>
      <c r="P243" s="35"/>
    </row>
    <row r="244" spans="1:16">
      <c r="M244"/>
      <c r="N244"/>
      <c r="O244" s="35"/>
      <c r="P244" s="35"/>
    </row>
  </sheetData>
  <mergeCells count="133">
    <mergeCell ref="A122:A137"/>
    <mergeCell ref="A212:C213"/>
    <mergeCell ref="D212:D213"/>
    <mergeCell ref="E212:E213"/>
    <mergeCell ref="E186:E187"/>
    <mergeCell ref="A188:C189"/>
    <mergeCell ref="D188:D189"/>
    <mergeCell ref="E188:E189"/>
    <mergeCell ref="A193:C194"/>
    <mergeCell ref="D193:D194"/>
    <mergeCell ref="D195:D196"/>
    <mergeCell ref="E195:E196"/>
    <mergeCell ref="A197:C198"/>
    <mergeCell ref="D197:D198"/>
    <mergeCell ref="E197:E198"/>
    <mergeCell ref="A166:C167"/>
    <mergeCell ref="D166:D167"/>
    <mergeCell ref="E166:E167"/>
    <mergeCell ref="A168:C169"/>
    <mergeCell ref="D168:D169"/>
    <mergeCell ref="E168:E169"/>
    <mergeCell ref="A170:C171"/>
    <mergeCell ref="D170:D171"/>
    <mergeCell ref="E170:E171"/>
    <mergeCell ref="A186:C187"/>
    <mergeCell ref="D186:D187"/>
    <mergeCell ref="A208:C209"/>
    <mergeCell ref="D208:D209"/>
    <mergeCell ref="E208:E209"/>
    <mergeCell ref="A210:C211"/>
    <mergeCell ref="D210:D211"/>
    <mergeCell ref="E210:E211"/>
    <mergeCell ref="A204:C205"/>
    <mergeCell ref="D204:D205"/>
    <mergeCell ref="E204:E205"/>
    <mergeCell ref="A206:C207"/>
    <mergeCell ref="D206:D207"/>
    <mergeCell ref="E206:E207"/>
    <mergeCell ref="A200:C201"/>
    <mergeCell ref="D200:D201"/>
    <mergeCell ref="E200:E201"/>
    <mergeCell ref="A202:C203"/>
    <mergeCell ref="D202:D203"/>
    <mergeCell ref="E202:E203"/>
    <mergeCell ref="E193:E194"/>
    <mergeCell ref="A195:C196"/>
    <mergeCell ref="D184:D185"/>
    <mergeCell ref="E184:E185"/>
    <mergeCell ref="A178:C179"/>
    <mergeCell ref="D178:D179"/>
    <mergeCell ref="E178:E179"/>
    <mergeCell ref="A180:C181"/>
    <mergeCell ref="D180:D181"/>
    <mergeCell ref="E180:E181"/>
    <mergeCell ref="A172:C173"/>
    <mergeCell ref="D172:D173"/>
    <mergeCell ref="A138:A154"/>
    <mergeCell ref="A81:B81"/>
    <mergeCell ref="A82:B82"/>
    <mergeCell ref="N31:N34"/>
    <mergeCell ref="D218:D219"/>
    <mergeCell ref="E218:E219"/>
    <mergeCell ref="E220:E221"/>
    <mergeCell ref="D220:D221"/>
    <mergeCell ref="E56:H56"/>
    <mergeCell ref="E172:E173"/>
    <mergeCell ref="A174:C175"/>
    <mergeCell ref="D174:D175"/>
    <mergeCell ref="E174:E175"/>
    <mergeCell ref="A176:C177"/>
    <mergeCell ref="D176:D177"/>
    <mergeCell ref="E176:E177"/>
    <mergeCell ref="A163:C163"/>
    <mergeCell ref="A164:C165"/>
    <mergeCell ref="D164:D165"/>
    <mergeCell ref="E164:E165"/>
    <mergeCell ref="A182:C183"/>
    <mergeCell ref="D182:D183"/>
    <mergeCell ref="E182:E183"/>
    <mergeCell ref="A184:C185"/>
    <mergeCell ref="E226:E227"/>
    <mergeCell ref="A226:C227"/>
    <mergeCell ref="E228:E229"/>
    <mergeCell ref="D228:D229"/>
    <mergeCell ref="D226:D227"/>
    <mergeCell ref="A239:C240"/>
    <mergeCell ref="D237:D238"/>
    <mergeCell ref="D239:D240"/>
    <mergeCell ref="A235:C236"/>
    <mergeCell ref="A237:C238"/>
    <mergeCell ref="E239:E240"/>
    <mergeCell ref="E237:E238"/>
    <mergeCell ref="D235:D236"/>
    <mergeCell ref="E235:E236"/>
    <mergeCell ref="A228:C229"/>
    <mergeCell ref="A18:B18"/>
    <mergeCell ref="D10:E10"/>
    <mergeCell ref="B12:C12"/>
    <mergeCell ref="E224:E225"/>
    <mergeCell ref="A224:C225"/>
    <mergeCell ref="A26:B26"/>
    <mergeCell ref="A80:B80"/>
    <mergeCell ref="A69:C69"/>
    <mergeCell ref="A83:B83"/>
    <mergeCell ref="A29:M29"/>
    <mergeCell ref="A220:C221"/>
    <mergeCell ref="A222:C223"/>
    <mergeCell ref="A84:B84"/>
    <mergeCell ref="G16:H16"/>
    <mergeCell ref="C24:D24"/>
    <mergeCell ref="F24:G24"/>
    <mergeCell ref="H24:I24"/>
    <mergeCell ref="C18:E18"/>
    <mergeCell ref="A21:I21"/>
    <mergeCell ref="D222:D223"/>
    <mergeCell ref="A217:C217"/>
    <mergeCell ref="A218:C219"/>
    <mergeCell ref="E222:E223"/>
    <mergeCell ref="D224:D225"/>
    <mergeCell ref="B1:C1"/>
    <mergeCell ref="B8:C8"/>
    <mergeCell ref="A14:I14"/>
    <mergeCell ref="B6:C6"/>
    <mergeCell ref="D6:E6"/>
    <mergeCell ref="H6:I6"/>
    <mergeCell ref="H8:I8"/>
    <mergeCell ref="B10:C10"/>
    <mergeCell ref="D12:E12"/>
    <mergeCell ref="F12:I12"/>
    <mergeCell ref="A2:I2"/>
    <mergeCell ref="B4:C4"/>
    <mergeCell ref="D4:E4"/>
    <mergeCell ref="F10:I10"/>
  </mergeCells>
  <phoneticPr fontId="30" type="noConversion"/>
  <conditionalFormatting sqref="A34 E32:G32 A32 L33:M33">
    <cfRule type="expression" dxfId="100" priority="28" stopIfTrue="1">
      <formula>+AND(A31&gt;=#REF!,A31&lt;=#REF!)</formula>
    </cfRule>
  </conditionalFormatting>
  <conditionalFormatting sqref="L34:M34">
    <cfRule type="expression" dxfId="99" priority="29" stopIfTrue="1">
      <formula>+AND(L32&gt;=#REF!,L32&lt;=#REF!)</formula>
    </cfRule>
  </conditionalFormatting>
  <conditionalFormatting sqref="B109:M109 B30:M30">
    <cfRule type="cellIs" dxfId="98" priority="32" stopIfTrue="1" operator="equal">
      <formula>$B$16</formula>
    </cfRule>
  </conditionalFormatting>
  <conditionalFormatting sqref="B12:C12">
    <cfRule type="cellIs" dxfId="97" priority="34" stopIfTrue="1" operator="equal">
      <formula>"C"</formula>
    </cfRule>
    <cfRule type="cellIs" dxfId="96" priority="35" stopIfTrue="1" operator="equal">
      <formula>"B2"</formula>
    </cfRule>
    <cfRule type="cellIs" dxfId="95" priority="36" stopIfTrue="1" operator="equal">
      <formula>"B1"</formula>
    </cfRule>
  </conditionalFormatting>
  <conditionalFormatting sqref="G234:Q234 G217:H217">
    <cfRule type="cellIs" dxfId="94" priority="43" stopIfTrue="1" operator="equal">
      <formula>$B$16</formula>
    </cfRule>
  </conditionalFormatting>
  <conditionalFormatting sqref="F33:K33">
    <cfRule type="expression" dxfId="93" priority="21" stopIfTrue="1">
      <formula>+AND(F32&gt;=#REF!,F32&lt;=#REF!)</formula>
    </cfRule>
  </conditionalFormatting>
  <conditionalFormatting sqref="F34:K34">
    <cfRule type="expression" dxfId="92" priority="20" stopIfTrue="1">
      <formula>+AND(F32&gt;=#REF!,F32&lt;=#REF!)</formula>
    </cfRule>
  </conditionalFormatting>
  <conditionalFormatting sqref="E56:H56">
    <cfRule type="expression" dxfId="91" priority="17" stopIfTrue="1">
      <formula>LEFT($E$56,3)="Все"</formula>
    </cfRule>
  </conditionalFormatting>
  <conditionalFormatting sqref="B33:C33 B31:B32">
    <cfRule type="expression" dxfId="90" priority="12" stopIfTrue="1">
      <formula>+AND(B30&gt;=#REF!,B30&lt;=#REF!)</formula>
    </cfRule>
  </conditionalFormatting>
  <conditionalFormatting sqref="B34:E34">
    <cfRule type="expression" dxfId="89" priority="13" stopIfTrue="1">
      <formula>+AND(B32&gt;=#REF!,B32&lt;=#REF!)</formula>
    </cfRule>
  </conditionalFormatting>
  <conditionalFormatting sqref="G163:Q163">
    <cfRule type="cellIs" dxfId="88" priority="11" stopIfTrue="1" operator="equal">
      <formula>$B$16</formula>
    </cfRule>
  </conditionalFormatting>
  <conditionalFormatting sqref="H192">
    <cfRule type="cellIs" dxfId="87" priority="6" stopIfTrue="1" operator="equal">
      <formula>$B$16</formula>
    </cfRule>
  </conditionalFormatting>
  <conditionalFormatting sqref="G192">
    <cfRule type="cellIs" dxfId="86" priority="9" stopIfTrue="1" operator="equal">
      <formula>$B$16</formula>
    </cfRule>
  </conditionalFormatting>
  <conditionalFormatting sqref="D32:D33 E33">
    <cfRule type="expression" dxfId="85" priority="3" stopIfTrue="1">
      <formula>+AND(D31&gt;=#REF!,D31&lt;=#REF!)</formula>
    </cfRule>
  </conditionalFormatting>
  <conditionalFormatting sqref="I192:Q192">
    <cfRule type="cellIs" dxfId="84" priority="2" stopIfTrue="1" operator="equal">
      <formula>$B$16</formula>
    </cfRule>
  </conditionalFormatting>
  <conditionalFormatting sqref="I217:Q217">
    <cfRule type="cellIs" dxfId="83" priority="1" stopIfTrue="1" operator="equal">
      <formula>$B$16</formula>
    </cfRule>
  </conditionalFormatting>
  <dataValidations count="9">
    <dataValidation type="list" allowBlank="1" showInputMessage="1" showErrorMessage="1" sqref="F6 IW155 SS155 ACO155 AMK155 AWG155 BGC155 BPY155 BZU155 CJQ155 CTM155 DDI155 DNE155 DXA155 EGW155 EQS155 FAO155 FKK155 FUG155 GEC155 GNY155 GXU155 HHQ155 HRM155 IBI155 ILE155 IVA155 JEW155 JOS155 JYO155 KIK155 KSG155 LCC155 LLY155 LVU155 MFQ155 MPM155 MZI155 NJE155 NTA155 OCW155 OMS155 OWO155 PGK155 PQG155 QAC155 QJY155 QTU155 RDQ155 RNM155 RXI155 SHE155 SRA155 TAW155 TKS155 TUO155 UEK155 UOG155 UYC155 VHY155 VRU155 WBQ155 WLM155 WVI155 A122">
      <formula1>Component</formula1>
    </dataValidation>
    <dataValidation type="list" allowBlank="1" showInputMessage="1" showErrorMessage="1" sqref="B16">
      <formula1>PERIOD</formula1>
    </dataValidation>
    <dataValidation type="list" allowBlank="1" showInputMessage="1" showErrorMessage="1" sqref="F10:I10">
      <formula1>LFA</formula1>
    </dataValidation>
    <dataValidation type="list" allowBlank="1" showInputMessage="1" showErrorMessage="1" sqref="B12:C12">
      <formula1>Rating</formula1>
    </dataValidation>
    <dataValidation type="list" allowBlank="1" showInputMessage="1" showErrorMessage="1" sqref="H8:I8">
      <formula1>Phase</formula1>
    </dataValidation>
    <dataValidation type="list" allowBlank="1" showInputMessage="1" showErrorMessage="1" sqref="F8">
      <formula1>Round</formula1>
    </dataValidation>
    <dataValidation type="list" allowBlank="1" showInputMessage="1" showErrorMessage="1" sqref="C26">
      <formula1>Currency</formula1>
    </dataValidation>
    <dataValidation type="list" allowBlank="1" showInputMessage="1" showErrorMessage="1" sqref="WVJ133:WVJ154 WLN133:WLN154 WBR133:WBR154 VRV133:VRV154 VHZ133:VHZ154 UYD133:UYD154 UOH133:UOH154 UEL133:UEL154 TUP133:TUP154 TKT133:TKT154 TAX133:TAX154 SRB133:SRB154 SHF133:SHF154 RXJ133:RXJ154 RNN133:RNN154 RDR133:RDR154 QTV133:QTV154 QJZ133:QJZ154 QAD133:QAD154 PQH133:PQH154 PGL133:PGL154 OWP133:OWP154 OMT133:OMT154 OCX133:OCX154 NTB133:NTB154 NJF133:NJF154 MZJ133:MZJ154 MPN133:MPN154 MFR133:MFR154 LVV133:LVV154 LLZ133:LLZ154 LCD133:LCD154 KSH133:KSH154 KIL133:KIL154 JYP133:JYP154 JOT133:JOT154 JEX133:JEX154 IVB133:IVB154 ILF133:ILF154 IBJ133:IBJ154 HRN133:HRN154 HHR133:HHR154 GXV133:GXV154 GNZ133:GNZ154 GED133:GED154 FUH133:FUH154 FKL133:FKL154 FAP133:FAP154 EQT133:EQT154 EGX133:EGX154 DXB133:DXB154 DNF133:DNF154 DDJ133:DDJ154 CTN133:CTN154 CJR133:CJR154 BZV133:BZV154 BPZ133:BPZ154 BGD133:BGD154 AWH133:AWH154 AML133:AML154 ACP133:ACP154 ST133:ST154 IX133:IX154 B138:B154">
      <formula1>мва</formula1>
    </dataValidation>
    <dataValidation type="list" allowBlank="1" showInputMessage="1" showErrorMessage="1" sqref="B133:B137 IX155:IX158 ST155:ST158 ACP155:ACP158 AML155:AML158 AWH155:AWH158 BGD155:BGD158 BPZ155:BPZ158 BZV155:BZV158 CJR155:CJR158 CTN155:CTN158 DDJ155:DDJ158 DNF155:DNF158 DXB155:DXB158 EGX155:EGX158 EQT155:EQT158 FAP155:FAP158 FKL155:FKL158 FUH155:FUH158 GED155:GED158 GNZ155:GNZ158 GXV155:GXV158 HHR155:HHR158 HRN155:HRN158 IBJ155:IBJ158 ILF155:ILF158 IVB155:IVB158 JEX155:JEX158 JOT155:JOT158 JYP155:JYP158 KIL155:KIL158 KSH155:KSH158 LCD155:LCD158 LLZ155:LLZ158 LVV155:LVV158 MFR155:MFR158 MPN155:MPN158 MZJ155:MZJ158 NJF155:NJF158 NTB155:NTB158 OCX155:OCX158 OMT155:OMT158 OWP155:OWP158 PGL155:PGL158 PQH155:PQH158 QAD155:QAD158 QJZ155:QJZ158 QTV155:QTV158 RDR155:RDR158 RNN155:RNN158 RXJ155:RXJ158 SHF155:SHF158 SRB155:SRB158 TAX155:TAX158 TKT155:TKT158 TUP155:TUP158 UEL155:UEL158 UOH155:UOH158 UYD155:UYD158 VHZ155:VHZ158 VRV155:VRV158 WBR155:WBR158 WLN155:WLN158 WVJ155:WVJ158">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57" max="16383" man="1"/>
  </rowBreaks>
  <ignoredErrors>
    <ignoredError sqref="G234:Q234 D235"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90" zoomScaleNormal="110" zoomScaleSheetLayoutView="100" workbookViewId="0">
      <selection activeCell="E38" sqref="E38"/>
    </sheetView>
  </sheetViews>
  <sheetFormatPr defaultColWidth="11.42578125" defaultRowHeight="15"/>
  <cols>
    <col min="1" max="1" width="21.140625" style="3" customWidth="1"/>
    <col min="2" max="2" width="19.5703125" style="3" customWidth="1"/>
    <col min="3" max="3" width="20.5703125" style="3" customWidth="1"/>
    <col min="4" max="4" width="20.42578125" style="3" customWidth="1"/>
    <col min="5" max="5" width="10.85546875" style="3" customWidth="1"/>
    <col min="6" max="6" width="17.42578125" style="3" customWidth="1"/>
    <col min="7" max="7" width="15.5703125" style="3" customWidth="1"/>
    <col min="8" max="8" width="20.140625" style="3" bestFit="1" customWidth="1"/>
    <col min="9" max="9" width="9.42578125" style="3" customWidth="1"/>
    <col min="10" max="10" width="10.2851562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37"/>
      <c r="H1" s="2"/>
      <c r="I1" s="2"/>
      <c r="J1" s="2"/>
    </row>
    <row r="2" spans="1:24" ht="25.5" customHeight="1"/>
    <row r="3" spans="1:24" ht="36">
      <c r="B3" s="915" t="str">
        <f>+"Панель показателей: "&amp;" "&amp;+IF('Ввод данных'!B4="Выберите","",'Ввод данных'!B4&amp;" - ")&amp;+IF('Ввод данных'!F6="Выберите","",'Ввод данных'!F6)</f>
        <v>Панель показателей:  Кыргызстан - ВИЧ/СПИД/ТБ</v>
      </c>
      <c r="C3" s="915"/>
      <c r="D3" s="915"/>
      <c r="E3" s="915"/>
      <c r="F3" s="915"/>
      <c r="G3" s="915"/>
      <c r="H3" s="915"/>
      <c r="I3" s="915"/>
      <c r="J3" s="915"/>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33" t="s">
        <v>92</v>
      </c>
      <c r="B6" s="917" t="str">
        <f>+IF('Ввод данных'!B4="Выберите","",'Ввод данных'!B4)</f>
        <v>Кыргызстан</v>
      </c>
      <c r="C6" s="917"/>
      <c r="D6" s="921" t="s">
        <v>317</v>
      </c>
      <c r="E6" s="921"/>
      <c r="F6" s="922" t="str">
        <f>+'Ввод данных'!F4</f>
        <v>«Эффективный контроль за туберкулезом и ВИЧ-инфекцией в Кыргызской Республике»</v>
      </c>
      <c r="G6" s="922"/>
      <c r="H6" s="922"/>
      <c r="I6" s="922"/>
      <c r="J6" s="922"/>
      <c r="K6" s="49"/>
      <c r="L6" s="80"/>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15.75">
      <c r="A9" s="307" t="s">
        <v>249</v>
      </c>
      <c r="B9" s="348" t="str">
        <f>+IF('Ввод данных'!F6="Please Select","",'Ввод данных'!F6)</f>
        <v>ВИЧ/СПИД/ТБ</v>
      </c>
      <c r="C9" s="200" t="s">
        <v>335</v>
      </c>
      <c r="D9" s="285" t="str">
        <f>+'Ввод данных'!B6</f>
        <v>KGZ-C-UNDP</v>
      </c>
      <c r="E9" s="919" t="s">
        <v>274</v>
      </c>
      <c r="F9" s="919"/>
      <c r="G9" s="286">
        <f>+IF(ISBLANK('Ввод данных'!B10),"",'Ввод данных'!B10)</f>
        <v>42552</v>
      </c>
      <c r="H9" s="366" t="s">
        <v>4</v>
      </c>
      <c r="I9" s="918">
        <f>+IF(ISBLANK('Ввод данных'!H6),"",'Ввод данных'!H6)</f>
        <v>24341578.491344798</v>
      </c>
      <c r="J9" s="918"/>
      <c r="K9" s="49"/>
      <c r="L9" s="49"/>
      <c r="M9" s="49"/>
      <c r="N9" s="49"/>
      <c r="O9" s="51"/>
      <c r="P9" s="50"/>
      <c r="Q9" s="51"/>
      <c r="R9" s="52"/>
      <c r="S9" s="17"/>
      <c r="T9" s="11"/>
      <c r="U9" s="11"/>
      <c r="V9" s="10"/>
      <c r="W9" s="10"/>
      <c r="X9" s="10"/>
    </row>
    <row r="10" spans="1:24" ht="15.75" customHeight="1">
      <c r="A10" s="307" t="s">
        <v>250</v>
      </c>
      <c r="B10" s="349">
        <f>+IF('Ввод данных'!F8="Please Select","",'Ввод данных'!F8)</f>
        <v>0</v>
      </c>
      <c r="C10" s="200" t="s">
        <v>256</v>
      </c>
      <c r="D10" s="347">
        <f>+IF('Ввод данных'!H8="Please Select","",'Ввод данных'!H8)</f>
        <v>0</v>
      </c>
      <c r="E10" s="923" t="s">
        <v>315</v>
      </c>
      <c r="F10" s="924"/>
      <c r="G10" s="916" t="str">
        <f>+'Ввод данных'!B8</f>
        <v>ПРООН</v>
      </c>
      <c r="H10" s="916"/>
      <c r="I10" s="916"/>
      <c r="J10" s="916"/>
      <c r="K10" s="53"/>
      <c r="L10" s="53"/>
      <c r="M10" s="49"/>
      <c r="N10" s="53"/>
      <c r="O10" s="51"/>
      <c r="P10" s="50"/>
      <c r="Q10" s="11"/>
      <c r="R10" s="52"/>
      <c r="S10" s="17"/>
      <c r="T10" s="11"/>
      <c r="U10" s="11"/>
    </row>
    <row r="11" spans="1:24" ht="31.5" customHeight="1">
      <c r="A11" s="307" t="s">
        <v>336</v>
      </c>
      <c r="B11" s="287" t="str">
        <f>+'Ввод данных'!B16</f>
        <v>P4</v>
      </c>
      <c r="C11" s="279" t="s">
        <v>272</v>
      </c>
      <c r="D11" s="288">
        <f>+IF(ISBLANK('Ввод данных'!D16),"",'Ввод данных'!D16)</f>
        <v>43101</v>
      </c>
      <c r="E11" s="919" t="s">
        <v>273</v>
      </c>
      <c r="F11" s="919"/>
      <c r="G11" s="288">
        <f>+IF(ISBLANK('Ввод данных'!F16),"",'Ввод данных'!F16)</f>
        <v>43281</v>
      </c>
      <c r="H11" s="365" t="s">
        <v>395</v>
      </c>
      <c r="I11" s="925" t="str">
        <f>+IF('Ввод данных'!B12="Пожалуйста Выберите","",'Ввод данных'!B12)</f>
        <v>A1</v>
      </c>
      <c r="J11" s="925"/>
      <c r="K11" s="236"/>
      <c r="L11" s="53"/>
      <c r="M11" s="49"/>
      <c r="N11" s="53"/>
      <c r="O11" s="53"/>
      <c r="P11" s="50"/>
      <c r="Q11" s="11"/>
      <c r="R11" s="52"/>
      <c r="S11" s="17"/>
      <c r="T11" s="12"/>
      <c r="U11" s="11"/>
    </row>
    <row r="12" spans="1:24" ht="31.5" customHeight="1">
      <c r="A12" s="351" t="s">
        <v>318</v>
      </c>
      <c r="B12" s="916" t="str">
        <f>+IF('Ввод данных'!F10="Пожалуйста Выберите","",'Ввод данных'!F10)</f>
        <v>UNOPS</v>
      </c>
      <c r="C12" s="916"/>
      <c r="D12" s="916"/>
      <c r="E12" s="920" t="s">
        <v>394</v>
      </c>
      <c r="F12" s="920"/>
      <c r="G12" s="916" t="str">
        <f>+'Ввод данных'!F12</f>
        <v>Арташес Мирзоян</v>
      </c>
      <c r="H12" s="916"/>
      <c r="I12" s="916"/>
      <c r="J12" s="916"/>
      <c r="K12" s="53"/>
      <c r="L12" s="53"/>
      <c r="M12" s="49"/>
      <c r="N12" s="53"/>
      <c r="O12" s="17"/>
      <c r="P12" s="50"/>
      <c r="Q12" s="11"/>
      <c r="R12" s="52"/>
      <c r="S12" s="17"/>
      <c r="T12" s="11"/>
      <c r="U12" s="54"/>
      <c r="V12" s="11"/>
      <c r="W12" s="12"/>
      <c r="X12" s="11"/>
    </row>
    <row r="13" spans="1:24" ht="27.75" customHeight="1">
      <c r="A13" s="350" t="s">
        <v>393</v>
      </c>
      <c r="B13" s="916" t="str">
        <f>+'Ввод данных'!C18</f>
        <v>ПРООН</v>
      </c>
      <c r="C13" s="916"/>
      <c r="D13" s="916"/>
      <c r="E13" s="920" t="s">
        <v>275</v>
      </c>
      <c r="F13" s="920"/>
      <c r="G13" s="926">
        <f>+IF(ISBLANK('Ввод данных'!I16),"",'Ввод данных'!I16)</f>
        <v>43329</v>
      </c>
      <c r="H13" s="927"/>
      <c r="I13" s="927"/>
      <c r="J13" s="927"/>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09"/>
      <c r="D16" s="16"/>
      <c r="E16" s="30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82" priority="1" stopIfTrue="1" operator="equal">
      <formula>"C"</formula>
    </cfRule>
    <cfRule type="cellIs" dxfId="81" priority="2" stopIfTrue="1" operator="equal">
      <formula>"B2"</formula>
    </cfRule>
    <cfRule type="cellIs" dxfId="8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Q36"/>
  <sheetViews>
    <sheetView showGridLines="0" topLeftCell="A25" zoomScale="150" zoomScaleNormal="150" workbookViewId="0">
      <selection activeCell="K10" sqref="K10"/>
    </sheetView>
  </sheetViews>
  <sheetFormatPr defaultColWidth="11" defaultRowHeight="15"/>
  <cols>
    <col min="1" max="1" width="3.85546875" customWidth="1"/>
    <col min="2" max="2" width="11.7109375" customWidth="1"/>
    <col min="3" max="3" width="5.140625" customWidth="1"/>
    <col min="4" max="4" width="12.42578125" customWidth="1"/>
    <col min="5" max="5" width="11.42578125" customWidth="1"/>
    <col min="6" max="6" width="14.28515625" customWidth="1"/>
    <col min="7" max="9" width="3.85546875" customWidth="1"/>
    <col min="10" max="10" width="10.42578125" customWidth="1"/>
    <col min="11" max="11" width="14.7109375" customWidth="1"/>
    <col min="12" max="12" width="12" customWidth="1"/>
    <col min="13" max="13" width="11.7109375" customWidth="1"/>
  </cols>
  <sheetData>
    <row r="1" spans="2:17" ht="30.75" customHeight="1">
      <c r="B1" s="3"/>
      <c r="C1" s="3"/>
      <c r="D1" s="3"/>
      <c r="E1" s="3"/>
      <c r="F1" s="3"/>
      <c r="G1" s="3"/>
      <c r="H1" s="3"/>
      <c r="I1" s="3"/>
      <c r="J1" s="3"/>
      <c r="K1" s="3"/>
      <c r="L1" s="3"/>
      <c r="M1" s="3"/>
    </row>
    <row r="2" spans="2:17" ht="27.75" customHeight="1">
      <c r="B2" s="932" t="str">
        <f>+"Панель показателей:  "&amp;"  "&amp;IF(+'Ввод данных'!B4="Выберите","",'Ввод данных'!B4&amp;" - ")&amp;IF('Ввод данных'!F6="Выберите","",'Ввод данных'!F6)</f>
        <v>Панель показателей:    Кыргызстан - ВИЧ/СПИД/ТБ</v>
      </c>
      <c r="C2" s="932"/>
      <c r="D2" s="932"/>
      <c r="E2" s="932"/>
      <c r="F2" s="932"/>
      <c r="G2" s="932"/>
      <c r="H2" s="932"/>
      <c r="I2" s="932"/>
      <c r="J2" s="932"/>
      <c r="K2" s="932"/>
      <c r="L2" s="932"/>
      <c r="M2" s="932"/>
      <c r="N2" s="1"/>
      <c r="O2" s="1"/>
      <c r="P2" s="1"/>
      <c r="Q2" s="1"/>
    </row>
    <row r="3" spans="2:17">
      <c r="B3" s="352">
        <f>+IF('Ввод данных'!F8="Выберите","",'Ввод данных'!F8)</f>
        <v>0</v>
      </c>
      <c r="C3" s="937"/>
      <c r="D3" s="937"/>
      <c r="E3" s="936"/>
      <c r="F3" s="936"/>
      <c r="G3" s="936"/>
      <c r="H3" s="936"/>
      <c r="I3" s="936"/>
      <c r="J3" s="936"/>
      <c r="K3" s="934" t="str">
        <f>+'Ввод данных'!A16</f>
        <v>Отчетный период</v>
      </c>
      <c r="L3" s="934"/>
      <c r="M3" s="180" t="str">
        <f>+'Ввод данных'!B16</f>
        <v>P4</v>
      </c>
      <c r="N3" s="81"/>
    </row>
    <row r="4" spans="2:17" ht="23.25">
      <c r="B4" s="367" t="str">
        <f>+'Ввод данных'!A12</f>
        <v>Последняя оценка:</v>
      </c>
      <c r="C4" s="938" t="str">
        <f>+IF('Ввод данных'!B12="Выберите","",'Ввод данных'!B12)</f>
        <v>A1</v>
      </c>
      <c r="D4" s="938"/>
      <c r="E4" s="936" t="str">
        <f>+'Ввод данных'!B8</f>
        <v>ПРООН</v>
      </c>
      <c r="F4" s="936"/>
      <c r="G4" s="936"/>
      <c r="H4" s="936"/>
      <c r="I4" s="936"/>
      <c r="J4" s="936"/>
      <c r="K4" s="934" t="str">
        <f>+'Ввод данных'!C16</f>
        <v>с:</v>
      </c>
      <c r="L4" s="935"/>
      <c r="M4" s="182">
        <f>+IF(ISBLANK('Ввод данных'!D16),"",'Ввод данных'!D16)</f>
        <v>43101</v>
      </c>
    </row>
    <row r="5" spans="2:17" ht="18.75" customHeight="1">
      <c r="B5" s="117"/>
      <c r="C5" s="117"/>
      <c r="D5" s="933" t="str">
        <f>+'Ввод данных'!F4</f>
        <v>«Эффективный контроль за туберкулезом и ВИЧ-инфекцией в Кыргызской Республике»</v>
      </c>
      <c r="E5" s="933"/>
      <c r="F5" s="933"/>
      <c r="G5" s="933"/>
      <c r="H5" s="933"/>
      <c r="I5" s="933"/>
      <c r="J5" s="933"/>
      <c r="K5" s="933"/>
      <c r="L5" s="117" t="str">
        <f>+'Ввод данных'!E16</f>
        <v>до:</v>
      </c>
      <c r="M5" s="182">
        <f>+IF(ISBLANK('Ввод данных'!F16),"",'Ввод данных'!F16)</f>
        <v>43281</v>
      </c>
    </row>
    <row r="6" spans="2:17" ht="18.75">
      <c r="B6" s="121"/>
      <c r="C6" s="117"/>
      <c r="D6" s="118"/>
      <c r="E6" s="939" t="s">
        <v>381</v>
      </c>
      <c r="F6" s="939"/>
      <c r="G6" s="939"/>
      <c r="H6" s="939"/>
      <c r="I6" s="939"/>
      <c r="J6" s="939"/>
      <c r="K6" s="3"/>
      <c r="L6" s="3"/>
      <c r="M6" s="3"/>
    </row>
    <row r="7" spans="2:17" ht="10.5" customHeight="1">
      <c r="B7" s="122"/>
      <c r="C7" s="123"/>
      <c r="D7" s="124"/>
      <c r="E7" s="125"/>
      <c r="F7" s="125"/>
      <c r="G7" s="126"/>
      <c r="H7" s="126"/>
      <c r="I7" s="126"/>
      <c r="J7" s="126"/>
      <c r="K7" s="120"/>
      <c r="L7" s="120"/>
      <c r="M7" s="119"/>
    </row>
    <row r="8" spans="2:17">
      <c r="B8" s="185" t="str">
        <f>+'Ввод данных'!A27&amp; " - в ("&amp;'Ввод данных'!C26&amp;")  "&amp;+K3&amp;" "&amp;+M3</f>
        <v>F1: Бюджет и выплаты Глобальным фондом - в ($)  Отчетный период P4</v>
      </c>
      <c r="C8" s="127"/>
      <c r="D8" s="2"/>
      <c r="E8" s="2"/>
      <c r="F8" s="2"/>
      <c r="J8" s="185" t="str">
        <f>+'Ввод данных'!A58&amp; " - в ("&amp;'Ввод данных'!C26&amp;")         "&amp;+K3&amp;" "&amp;+M3</f>
        <v>F3: Выплаты и расходы - в ($)         Отчетный период P4</v>
      </c>
      <c r="K8" s="3"/>
      <c r="L8" s="3"/>
      <c r="M8" s="3"/>
    </row>
    <row r="9" spans="2:17" ht="21.75" customHeight="1">
      <c r="B9" s="290" t="s">
        <v>435</v>
      </c>
      <c r="C9" s="945" t="s">
        <v>772</v>
      </c>
      <c r="D9" s="946"/>
      <c r="E9" s="946"/>
      <c r="F9" s="947"/>
      <c r="J9" s="291" t="s">
        <v>435</v>
      </c>
      <c r="K9" s="948" t="s">
        <v>786</v>
      </c>
      <c r="L9" s="946"/>
      <c r="M9" s="947"/>
    </row>
    <row r="10" spans="2:17">
      <c r="B10" s="2"/>
      <c r="C10" s="2"/>
      <c r="D10" s="2"/>
      <c r="E10" s="2"/>
      <c r="F10" s="2"/>
      <c r="G10" s="3"/>
      <c r="H10" s="3"/>
      <c r="I10" s="3"/>
      <c r="J10" s="3"/>
      <c r="K10" s="3"/>
      <c r="L10" s="3"/>
      <c r="M10" s="3"/>
    </row>
    <row r="11" spans="2:17">
      <c r="B11" s="2"/>
      <c r="C11" s="2"/>
      <c r="D11" s="2"/>
      <c r="E11" s="2"/>
      <c r="F11" s="2"/>
      <c r="G11" s="3"/>
      <c r="H11" s="3"/>
      <c r="I11" s="3"/>
      <c r="J11" s="3"/>
      <c r="K11" s="3"/>
      <c r="L11" s="3"/>
      <c r="M11" s="3"/>
    </row>
    <row r="12" spans="2:17">
      <c r="B12" s="2"/>
      <c r="C12" s="2"/>
      <c r="D12" s="2"/>
      <c r="E12" s="2"/>
      <c r="F12" s="2"/>
      <c r="G12" s="3"/>
      <c r="H12" s="3"/>
      <c r="I12" s="3"/>
      <c r="J12" s="3"/>
      <c r="K12" s="3"/>
      <c r="L12" s="3"/>
      <c r="M12" s="3"/>
    </row>
    <row r="13" spans="2:17">
      <c r="B13" s="2"/>
      <c r="C13" s="2"/>
      <c r="D13" s="2"/>
      <c r="E13" s="2"/>
      <c r="F13" s="2"/>
      <c r="G13" s="3"/>
      <c r="H13" s="3"/>
      <c r="I13" s="3"/>
      <c r="J13" s="3"/>
      <c r="K13" s="3"/>
      <c r="L13" s="3"/>
      <c r="M13" s="3"/>
    </row>
    <row r="14" spans="2:17">
      <c r="B14" s="2"/>
      <c r="C14" s="2"/>
      <c r="D14" s="2"/>
      <c r="E14" s="2"/>
      <c r="F14" s="2"/>
      <c r="G14" s="3"/>
      <c r="H14" s="3"/>
      <c r="I14" s="3"/>
      <c r="J14" s="3"/>
      <c r="K14" s="3"/>
      <c r="L14" s="3"/>
      <c r="M14" s="3"/>
    </row>
    <row r="15" spans="2:17">
      <c r="B15" s="2"/>
      <c r="C15" s="2"/>
      <c r="D15" s="2"/>
      <c r="E15" s="2"/>
      <c r="F15" s="2"/>
      <c r="G15" s="3"/>
      <c r="H15" s="3"/>
      <c r="I15" s="3"/>
      <c r="J15" s="3"/>
      <c r="K15" s="3"/>
      <c r="L15" s="3"/>
      <c r="M15" s="3"/>
    </row>
    <row r="16" spans="2:17">
      <c r="B16" s="2"/>
      <c r="C16" s="2"/>
      <c r="D16" s="2"/>
      <c r="E16" s="2"/>
      <c r="F16" s="2"/>
      <c r="G16" s="3"/>
      <c r="H16" s="3"/>
      <c r="I16" s="3"/>
      <c r="J16" s="3"/>
      <c r="K16" s="3"/>
      <c r="L16" s="3"/>
      <c r="M16" s="3"/>
    </row>
    <row r="17" spans="1:13">
      <c r="B17" s="2"/>
      <c r="C17" s="2"/>
      <c r="D17" s="2"/>
      <c r="E17" s="2"/>
      <c r="F17" s="2"/>
      <c r="G17" s="3"/>
      <c r="H17" s="3"/>
      <c r="I17" s="3"/>
      <c r="J17" s="3"/>
      <c r="K17" s="3"/>
      <c r="L17" s="3"/>
      <c r="M17" s="3"/>
    </row>
    <row r="18" spans="1:13">
      <c r="B18" s="2"/>
      <c r="C18" s="2"/>
      <c r="D18" s="2"/>
      <c r="E18" s="2"/>
      <c r="F18" s="2"/>
      <c r="G18" s="3"/>
      <c r="H18" s="3"/>
      <c r="I18" s="3"/>
      <c r="J18" s="3"/>
      <c r="K18" s="3"/>
      <c r="L18" s="3"/>
      <c r="M18" s="3"/>
    </row>
    <row r="19" spans="1:13">
      <c r="B19" s="2"/>
      <c r="C19" s="2"/>
      <c r="D19" s="2"/>
      <c r="E19" s="2"/>
      <c r="F19" s="2"/>
      <c r="G19" s="3"/>
      <c r="H19" s="3"/>
      <c r="I19" s="3"/>
      <c r="J19" s="3"/>
      <c r="K19" s="3"/>
      <c r="L19" s="3"/>
      <c r="M19" s="3"/>
    </row>
    <row r="20" spans="1:13">
      <c r="B20" s="2"/>
      <c r="C20" s="2"/>
      <c r="D20" s="2"/>
      <c r="E20" s="2"/>
      <c r="F20" s="2"/>
      <c r="G20" s="3"/>
      <c r="H20" s="3"/>
      <c r="I20" s="3"/>
      <c r="J20" s="3"/>
      <c r="K20" s="3"/>
      <c r="L20" s="3"/>
      <c r="M20" s="3"/>
    </row>
    <row r="21" spans="1:13">
      <c r="A21" s="19"/>
      <c r="B21" s="19"/>
      <c r="C21" s="19"/>
      <c r="D21" s="19"/>
      <c r="E21" s="19"/>
      <c r="F21" s="19"/>
      <c r="G21" s="19"/>
      <c r="H21" s="19"/>
      <c r="I21" s="19"/>
      <c r="J21" s="19"/>
      <c r="K21" s="19"/>
      <c r="L21" s="19"/>
      <c r="M21" s="19"/>
    </row>
    <row r="22" spans="1:13" ht="17.25" customHeight="1">
      <c r="B22" s="186" t="str">
        <f>+'Ввод данных'!A36&amp; " - в ("&amp;'Ввод данных'!C26&amp;")  "&amp;+K3&amp;" "&amp;+M3</f>
        <v>F2: Бюджет и фактические расходы согласно задачам гранта - в ($)  Отчетный период P4</v>
      </c>
      <c r="C22" s="2"/>
      <c r="D22" s="2"/>
      <c r="E22" s="2"/>
      <c r="F22" s="2"/>
      <c r="J22" s="186" t="str">
        <f>+'Ввод данных'!A67&amp;"      "&amp;+K3&amp;" "&amp;+M3</f>
        <v>F4: Последний отчетный и платежный цикл ОР      Отчетный период P4</v>
      </c>
      <c r="L22" s="3"/>
      <c r="M22" s="3"/>
    </row>
    <row r="23" spans="1:13" ht="25.5" customHeight="1">
      <c r="B23" s="290" t="s">
        <v>435</v>
      </c>
      <c r="C23" s="948" t="s">
        <v>488</v>
      </c>
      <c r="D23" s="946"/>
      <c r="E23" s="946"/>
      <c r="F23" s="947"/>
      <c r="G23" s="304"/>
      <c r="H23" s="304"/>
      <c r="I23" s="304"/>
      <c r="J23" s="290" t="s">
        <v>435</v>
      </c>
      <c r="K23" s="948" t="s">
        <v>771</v>
      </c>
      <c r="L23" s="949"/>
      <c r="M23" s="950"/>
    </row>
    <row r="24" spans="1:13" ht="15.75" thickBot="1">
      <c r="B24" s="194"/>
      <c r="C24" s="194"/>
      <c r="D24" s="194"/>
      <c r="E24" s="194"/>
      <c r="F24" s="194"/>
      <c r="G24" s="194"/>
      <c r="H24" s="194"/>
      <c r="I24" s="194"/>
      <c r="J24" s="195"/>
      <c r="K24" s="195"/>
      <c r="L24" s="194"/>
      <c r="M24" s="194"/>
    </row>
    <row r="25" spans="1:13" ht="29.25" customHeight="1" thickBot="1">
      <c r="B25" s="3"/>
      <c r="C25" s="3"/>
      <c r="D25" s="3"/>
      <c r="E25" s="3"/>
      <c r="F25" s="3"/>
      <c r="G25" s="277"/>
      <c r="H25" s="277"/>
      <c r="I25" s="277"/>
      <c r="J25" s="940" t="s">
        <v>364</v>
      </c>
      <c r="K25" s="941"/>
      <c r="L25" s="941"/>
      <c r="M25" s="942"/>
    </row>
    <row r="26" spans="1:13" ht="24.75">
      <c r="B26" s="3"/>
      <c r="C26" s="3"/>
      <c r="D26" s="3"/>
      <c r="E26" s="3"/>
      <c r="F26" s="3"/>
      <c r="G26" s="252"/>
      <c r="H26" s="252"/>
      <c r="I26" s="252"/>
      <c r="J26" s="943"/>
      <c r="K26" s="944"/>
      <c r="L26" s="262" t="s">
        <v>356</v>
      </c>
      <c r="M26" s="263" t="s">
        <v>357</v>
      </c>
    </row>
    <row r="27" spans="1:13" ht="23.25" customHeight="1">
      <c r="B27" s="3"/>
      <c r="C27" s="3"/>
      <c r="D27" s="3"/>
      <c r="E27" s="3"/>
      <c r="F27" s="3"/>
      <c r="G27" s="278"/>
      <c r="H27" s="278"/>
      <c r="I27" s="278"/>
      <c r="J27" s="928" t="str">
        <f>'Ввод данных'!A71</f>
        <v xml:space="preserve">Сколько дней понадобилось для подачи ИОР/ЗПС в офис МАФ </v>
      </c>
      <c r="K27" s="929"/>
      <c r="L27" s="264">
        <f>+'Ввод данных'!C71</f>
        <v>60</v>
      </c>
      <c r="M27" s="261">
        <f>+'Ввод данных'!D71</f>
        <v>60</v>
      </c>
    </row>
    <row r="28" spans="1:13" ht="21" customHeight="1">
      <c r="B28" s="3"/>
      <c r="C28" s="3"/>
      <c r="D28" s="3"/>
      <c r="E28" s="3"/>
      <c r="F28" s="3"/>
      <c r="G28" s="278"/>
      <c r="H28" s="278"/>
      <c r="I28" s="278"/>
      <c r="J28" s="928" t="str">
        <f>'Ввод данных'!A72</f>
        <v xml:space="preserve">Спустя сколько дней ОР получил платеж </v>
      </c>
      <c r="K28" s="929"/>
      <c r="L28" s="264">
        <f>+'Ввод данных'!C72</f>
        <v>60</v>
      </c>
      <c r="M28" s="261" t="str">
        <f>+'Ввод данных'!D72</f>
        <v>н/п</v>
      </c>
    </row>
    <row r="29" spans="1:13" ht="21" customHeight="1" thickBot="1">
      <c r="B29" s="3"/>
      <c r="C29" s="3"/>
      <c r="D29" s="3"/>
      <c r="E29" s="3"/>
      <c r="F29" s="3"/>
      <c r="G29" s="278"/>
      <c r="H29" s="278"/>
      <c r="I29" s="278"/>
      <c r="J29" s="930" t="str">
        <f>'Ввод данных'!A73</f>
        <v>Спустя сколько дней суб-реципиенты получили платежи</v>
      </c>
      <c r="K29" s="931"/>
      <c r="L29" s="265">
        <f>+'Ввод данных'!C73</f>
        <v>10</v>
      </c>
      <c r="M29" s="266" t="str">
        <f>+'Ввод данных'!D73</f>
        <v>н/п</v>
      </c>
    </row>
    <row r="30" spans="1:13">
      <c r="B30" s="3"/>
      <c r="C30" s="3"/>
      <c r="D30" s="3"/>
      <c r="E30" s="3"/>
      <c r="F30" s="3"/>
      <c r="G30" s="3"/>
      <c r="H30" s="3"/>
      <c r="I30" s="3"/>
      <c r="J30" s="3"/>
      <c r="K30" s="3"/>
      <c r="L30" s="3"/>
      <c r="M30" s="3"/>
    </row>
    <row r="31" spans="1:13">
      <c r="B31" s="3"/>
      <c r="C31" s="15"/>
      <c r="D31" s="210"/>
      <c r="E31" s="3"/>
      <c r="F31" s="3"/>
      <c r="G31" s="3"/>
      <c r="H31" s="3"/>
      <c r="I31" s="3"/>
      <c r="J31" s="3"/>
      <c r="K31" s="3"/>
      <c r="L31" s="3"/>
      <c r="M31" s="3"/>
    </row>
    <row r="32" spans="1:13">
      <c r="B32" s="3"/>
      <c r="C32" s="15"/>
      <c r="D32" s="210"/>
      <c r="E32" s="3"/>
      <c r="F32" s="3"/>
      <c r="G32" s="3"/>
      <c r="H32" s="3"/>
      <c r="I32" s="3"/>
      <c r="J32" s="3"/>
      <c r="K32" s="3"/>
      <c r="L32" s="3"/>
      <c r="M32" s="3"/>
    </row>
    <row r="34" spans="2:5">
      <c r="B34" s="386" t="s">
        <v>406</v>
      </c>
      <c r="E34" s="19"/>
    </row>
    <row r="35" spans="2:5">
      <c r="B35" s="385"/>
    </row>
    <row r="36" spans="2:5">
      <c r="B36" s="386" t="s">
        <v>407</v>
      </c>
    </row>
  </sheetData>
  <sheetProtection password="CFC9" sheet="1"/>
  <mergeCells count="18">
    <mergeCell ref="C23:F23"/>
    <mergeCell ref="K9:M9"/>
    <mergeCell ref="J28:K28"/>
    <mergeCell ref="J29:K29"/>
    <mergeCell ref="B2:M2"/>
    <mergeCell ref="D5:K5"/>
    <mergeCell ref="K4:L4"/>
    <mergeCell ref="K3:L3"/>
    <mergeCell ref="E3:J3"/>
    <mergeCell ref="C3:D3"/>
    <mergeCell ref="C4:D4"/>
    <mergeCell ref="E4:J4"/>
    <mergeCell ref="E6:J6"/>
    <mergeCell ref="J25:M25"/>
    <mergeCell ref="J26:K26"/>
    <mergeCell ref="J27:K27"/>
    <mergeCell ref="C9:F9"/>
    <mergeCell ref="K23:M23"/>
  </mergeCells>
  <phoneticPr fontId="30" type="noConversion"/>
  <conditionalFormatting sqref="C4:D4">
    <cfRule type="cellIs" dxfId="79" priority="3" stopIfTrue="1" operator="equal">
      <formula>"C"</formula>
    </cfRule>
    <cfRule type="cellIs" dxfId="78" priority="4" stopIfTrue="1" operator="equal">
      <formula>"B2"</formula>
    </cfRule>
    <cfRule type="cellIs" dxfId="77" priority="5" stopIfTrue="1" operator="equal">
      <formula>"B1"</formula>
    </cfRule>
  </conditionalFormatting>
  <conditionalFormatting sqref="M27:M29">
    <cfRule type="expression" dxfId="76" priority="1" stopIfTrue="1">
      <formula>$M27&gt;$L27</formula>
    </cfRule>
    <cfRule type="expression" dxfId="75"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Q71"/>
  <sheetViews>
    <sheetView showGridLines="0" topLeftCell="A40" zoomScaleNormal="100" workbookViewId="0">
      <selection activeCell="C19" sqref="C19:F19"/>
    </sheetView>
  </sheetViews>
  <sheetFormatPr defaultColWidth="11" defaultRowHeight="15"/>
  <cols>
    <col min="1" max="1" width="3.28515625" customWidth="1"/>
    <col min="2" max="2" width="12.140625" customWidth="1"/>
    <col min="3" max="3" width="13.140625" customWidth="1"/>
    <col min="4" max="4" width="14.28515625" customWidth="1"/>
    <col min="5" max="5" width="12.85546875" customWidth="1"/>
    <col min="6" max="7" width="17" customWidth="1"/>
    <col min="8" max="8" width="3.85546875" customWidth="1"/>
    <col min="9" max="9" width="17.85546875" customWidth="1"/>
    <col min="10" max="10" width="22.85546875" customWidth="1"/>
    <col min="11" max="11" width="13.7109375" customWidth="1"/>
    <col min="12" max="12" width="13.5703125" customWidth="1"/>
    <col min="13" max="13" width="14.140625" customWidth="1"/>
  </cols>
  <sheetData>
    <row r="1" spans="1:17" ht="28.5" customHeight="1">
      <c r="C1" s="206"/>
      <c r="E1" s="207"/>
    </row>
    <row r="2" spans="1:17" ht="27.75" customHeight="1">
      <c r="B2" s="932" t="str">
        <f>+"Панель показателей:  "&amp;"  "&amp;IF(+'Ввод данных'!B4="Выберите","",'Ввод данных'!B4&amp;" - ")&amp;IF('Ввод данных'!F6="Выберите","",'Ввод данных'!F6)</f>
        <v>Панель показателей:    Кыргызстан - ВИЧ/СПИД/ТБ</v>
      </c>
      <c r="C2" s="932"/>
      <c r="D2" s="932"/>
      <c r="E2" s="932"/>
      <c r="F2" s="932"/>
      <c r="G2" s="932"/>
      <c r="H2" s="932"/>
      <c r="I2" s="932"/>
      <c r="J2" s="932"/>
      <c r="K2" s="932"/>
      <c r="L2" s="932"/>
      <c r="M2" s="932"/>
      <c r="N2" s="25"/>
      <c r="O2" s="25"/>
      <c r="P2" s="25"/>
      <c r="Q2" s="25"/>
    </row>
    <row r="3" spans="1:17" ht="22.5" customHeight="1">
      <c r="A3" s="357"/>
      <c r="B3" s="358">
        <f>+IF('Ввод данных'!F8="Пожалуйста выберите","",'Ввод данных'!F8)</f>
        <v>0</v>
      </c>
      <c r="C3" s="968">
        <f>+IF('Ввод данных'!H8="Пожалуйста выберите","",'Ввод данных'!H8)</f>
        <v>0</v>
      </c>
      <c r="D3" s="968"/>
      <c r="E3" s="964"/>
      <c r="F3" s="964"/>
      <c r="G3" s="964"/>
      <c r="H3" s="964"/>
      <c r="I3" s="964"/>
      <c r="J3" s="964"/>
      <c r="K3" s="965" t="str">
        <f>+'Ввод данных'!A16</f>
        <v>Отчетный период</v>
      </c>
      <c r="L3" s="965"/>
      <c r="M3" s="180" t="str">
        <f>+'Ввод данных'!B16</f>
        <v>P4</v>
      </c>
    </row>
    <row r="4" spans="1:17" ht="25.5" customHeight="1">
      <c r="A4" s="357"/>
      <c r="B4" s="370" t="str">
        <f>+'Ввод данных'!A12</f>
        <v>Последняя оценка:</v>
      </c>
      <c r="C4" s="963" t="str">
        <f>+IF('Ввод данных'!B12="Выберите","",'Ввод данных'!B12)</f>
        <v>A1</v>
      </c>
      <c r="D4" s="963"/>
      <c r="E4" s="964" t="str">
        <f>+'Ввод данных'!B8</f>
        <v>ПРООН</v>
      </c>
      <c r="F4" s="964"/>
      <c r="G4" s="964"/>
      <c r="H4" s="964"/>
      <c r="I4" s="964"/>
      <c r="J4" s="964"/>
      <c r="K4" s="965" t="str">
        <f>+'Ввод данных'!C16</f>
        <v>с:</v>
      </c>
      <c r="L4" s="965"/>
      <c r="M4" s="182">
        <f>+IF(ISBLANK('Ввод данных'!D16),"",'Ввод данных'!D16)</f>
        <v>43101</v>
      </c>
    </row>
    <row r="5" spans="1:17" ht="18.75" customHeight="1">
      <c r="B5" s="23"/>
      <c r="C5" s="23"/>
      <c r="D5" s="964" t="str">
        <f>+'Ввод данных'!F4</f>
        <v>«Эффективный контроль за туберкулезом и ВИЧ-инфекцией в Кыргызской Республике»</v>
      </c>
      <c r="E5" s="964"/>
      <c r="F5" s="964"/>
      <c r="G5" s="964"/>
      <c r="H5" s="964"/>
      <c r="I5" s="964"/>
      <c r="J5" s="964"/>
      <c r="K5" s="964"/>
      <c r="L5" s="23" t="str">
        <f>+'Ввод данных'!E16</f>
        <v>до:</v>
      </c>
      <c r="M5" s="182">
        <f>+IF(ISBLANK('Ввод данных'!F16),"",'Ввод данных'!F16)</f>
        <v>43281</v>
      </c>
    </row>
    <row r="6" spans="1:17" ht="18.75">
      <c r="B6" s="22"/>
      <c r="C6" s="23"/>
      <c r="D6" s="24"/>
      <c r="E6" s="361" t="s">
        <v>392</v>
      </c>
      <c r="F6" s="361"/>
      <c r="G6" s="361"/>
      <c r="H6" s="361"/>
      <c r="I6" s="361"/>
      <c r="J6" s="361"/>
    </row>
    <row r="7" spans="1:17" ht="22.5" customHeight="1" thickBot="1">
      <c r="B7" s="966" t="str">
        <f>+'Ввод данных'!A78&amp;" "&amp;+K3&amp;"   "&amp;+M3</f>
        <v>M1: Статус Предварительных условий (ПУ) и Действий с установленным сроком исполнения (ДУС) Отчетный период   P4</v>
      </c>
      <c r="C7" s="966"/>
      <c r="D7" s="966"/>
      <c r="E7" s="966"/>
      <c r="F7" s="966"/>
      <c r="G7" s="360"/>
      <c r="I7" s="305" t="str">
        <f>+'Ввод данных'!A87&amp;"                                       "&amp;+K3&amp;"  "&amp;+M3</f>
        <v>M2: Статус ключевых руководящих должностей в структуре ОР                                       Отчетный период  P4</v>
      </c>
    </row>
    <row r="8" spans="1:17" ht="24.75" customHeight="1" thickBot="1">
      <c r="B8" s="581" t="s">
        <v>435</v>
      </c>
      <c r="C8" s="951" t="s">
        <v>707</v>
      </c>
      <c r="D8" s="951"/>
      <c r="E8" s="951"/>
      <c r="F8" s="952"/>
      <c r="G8" s="582"/>
      <c r="H8" s="583"/>
      <c r="I8" s="581" t="s">
        <v>435</v>
      </c>
      <c r="J8" s="951" t="s">
        <v>708</v>
      </c>
      <c r="K8" s="951"/>
      <c r="L8" s="951"/>
      <c r="M8" s="952"/>
    </row>
    <row r="9" spans="1:17">
      <c r="B9" s="19"/>
      <c r="C9" s="19"/>
      <c r="D9" s="19"/>
      <c r="E9" s="19"/>
      <c r="F9" s="19"/>
      <c r="G9" s="19"/>
      <c r="H9" s="19"/>
      <c r="I9" s="19"/>
    </row>
    <row r="10" spans="1:17">
      <c r="A10" s="46"/>
      <c r="B10" s="19"/>
      <c r="C10" s="19"/>
      <c r="D10" s="967"/>
      <c r="E10" s="737"/>
      <c r="F10" s="737"/>
      <c r="G10" s="343"/>
      <c r="H10" s="343"/>
      <c r="I10" s="19"/>
      <c r="O10" s="48"/>
      <c r="P10" s="48"/>
      <c r="Q10" s="47"/>
    </row>
    <row r="11" spans="1:17">
      <c r="B11" s="19"/>
      <c r="C11" s="27"/>
      <c r="D11" s="967"/>
      <c r="E11" s="27"/>
      <c r="F11" s="27"/>
      <c r="G11" s="27"/>
      <c r="H11" s="27"/>
      <c r="I11" s="27"/>
      <c r="O11" s="19"/>
      <c r="P11" s="19"/>
    </row>
    <row r="12" spans="1:17">
      <c r="B12" s="19"/>
      <c r="C12" s="574"/>
      <c r="D12" s="574"/>
      <c r="E12" s="574"/>
      <c r="F12" s="574"/>
      <c r="G12" s="574"/>
      <c r="H12" s="574"/>
      <c r="I12" s="574"/>
      <c r="O12" s="19"/>
      <c r="P12" s="19"/>
    </row>
    <row r="13" spans="1:17">
      <c r="B13" s="19"/>
      <c r="C13" s="574"/>
      <c r="D13" s="574"/>
      <c r="E13" s="574"/>
      <c r="F13" s="574"/>
      <c r="G13" s="574"/>
      <c r="H13" s="574"/>
      <c r="I13" s="574"/>
      <c r="O13" s="19"/>
      <c r="P13" s="19"/>
    </row>
    <row r="14" spans="1:17">
      <c r="B14" s="19"/>
      <c r="C14" s="574"/>
      <c r="D14" s="574"/>
      <c r="E14" s="574"/>
      <c r="F14" s="574"/>
      <c r="G14" s="574"/>
      <c r="H14" s="574"/>
      <c r="I14" s="574"/>
      <c r="O14" s="19"/>
      <c r="P14" s="19"/>
    </row>
    <row r="15" spans="1:17">
      <c r="B15" s="27"/>
      <c r="C15" s="77"/>
      <c r="D15" s="78"/>
      <c r="E15" s="78"/>
      <c r="F15" s="78"/>
      <c r="G15" s="78"/>
      <c r="H15" s="78"/>
      <c r="I15" s="79"/>
    </row>
    <row r="16" spans="1:17">
      <c r="B16" s="27"/>
      <c r="C16" s="77"/>
      <c r="D16" s="78"/>
      <c r="E16" s="78"/>
      <c r="F16" s="78"/>
      <c r="G16" s="78"/>
      <c r="H16" s="78"/>
      <c r="I16" s="79"/>
    </row>
    <row r="17" spans="2:14" ht="40.5" customHeight="1"/>
    <row r="18" spans="2:14" ht="27.75" customHeight="1" thickBot="1">
      <c r="B18" s="305" t="str">
        <f>+'Ввод данных'!A93&amp;"                                                                                                  "&amp;+K3&amp;" "&amp;+M3</f>
        <v>M3: Контрактные соглашения (СР)                                                                                                   Отчетный период P4</v>
      </c>
      <c r="I18" s="305" t="str">
        <f>+'Ввод данных'!A99&amp;"                                       "&amp;+K3&amp;" "&amp;+M3</f>
        <v>M4: Количество полных отчетов, полученных к установленному сроку                                       Отчетный период P4</v>
      </c>
    </row>
    <row r="19" spans="2:14" ht="84" customHeight="1" thickBot="1">
      <c r="B19" s="580" t="s">
        <v>435</v>
      </c>
      <c r="C19" s="951" t="s">
        <v>709</v>
      </c>
      <c r="D19" s="951"/>
      <c r="E19" s="951"/>
      <c r="F19" s="952"/>
      <c r="I19" s="580" t="s">
        <v>611</v>
      </c>
      <c r="J19" s="951" t="s">
        <v>710</v>
      </c>
      <c r="K19" s="951"/>
      <c r="L19" s="951"/>
      <c r="M19" s="952"/>
    </row>
    <row r="20" spans="2:14" ht="27.75" customHeight="1">
      <c r="B20" s="305"/>
    </row>
    <row r="21" spans="2:14" ht="27.75" customHeight="1">
      <c r="B21" s="305"/>
      <c r="I21" s="305"/>
    </row>
    <row r="22" spans="2:14" ht="27.75" customHeight="1">
      <c r="B22" s="305"/>
      <c r="I22" s="305"/>
    </row>
    <row r="23" spans="2:14" ht="27.75" customHeight="1">
      <c r="B23" s="305"/>
    </row>
    <row r="24" spans="2:14">
      <c r="B24" s="28"/>
      <c r="I24" s="29"/>
    </row>
    <row r="25" spans="2:14">
      <c r="N25" s="81"/>
    </row>
    <row r="28" spans="2:14" ht="24.75" customHeight="1">
      <c r="B28" s="953" t="str">
        <f>+'Ввод данных'!A107</f>
        <v>M5: Бюджет и закупки товаров медицинского назначения, медицинского оборудования,  лекарственных средств и фармацевтических препаратов</v>
      </c>
      <c r="C28" s="953"/>
      <c r="D28" s="953"/>
      <c r="E28" s="953"/>
      <c r="F28" s="953"/>
      <c r="I28" s="954" t="str">
        <f>+'Ввод данных'!A120&amp;"                    "&amp;+K3&amp;"  "&amp;+M3</f>
        <v>M6: Разница между текущим и резервным запасами                    Отчетный период  P4</v>
      </c>
      <c r="J28" s="954"/>
      <c r="K28" s="954"/>
      <c r="L28" s="954"/>
      <c r="M28" s="954"/>
    </row>
    <row r="29" spans="2:14" ht="41.25" customHeight="1">
      <c r="B29" s="290" t="s">
        <v>435</v>
      </c>
      <c r="C29" s="956" t="s">
        <v>769</v>
      </c>
      <c r="D29" s="956"/>
      <c r="E29" s="956"/>
      <c r="F29" s="956"/>
      <c r="G29" s="363"/>
      <c r="H29" s="306"/>
      <c r="I29" s="575" t="s">
        <v>612</v>
      </c>
      <c r="J29" s="957" t="s">
        <v>745</v>
      </c>
      <c r="K29" s="957"/>
      <c r="L29" s="957"/>
      <c r="M29" s="957"/>
    </row>
    <row r="30" spans="2:14" ht="51" customHeight="1" thickBot="1">
      <c r="I30" s="575" t="s">
        <v>611</v>
      </c>
      <c r="J30" s="957" t="s">
        <v>765</v>
      </c>
      <c r="K30" s="957"/>
      <c r="L30" s="957"/>
      <c r="M30" s="957"/>
    </row>
    <row r="31" spans="2:14" ht="102.75">
      <c r="F31" s="280"/>
      <c r="G31" s="280"/>
      <c r="H31" s="280"/>
      <c r="I31" s="576" t="s">
        <v>269</v>
      </c>
      <c r="J31" s="577" t="s">
        <v>384</v>
      </c>
      <c r="K31" s="578" t="s">
        <v>382</v>
      </c>
      <c r="L31" s="578" t="s">
        <v>383</v>
      </c>
      <c r="M31" s="579" t="s">
        <v>337</v>
      </c>
    </row>
    <row r="32" spans="2:14">
      <c r="F32" s="280"/>
      <c r="G32" s="280"/>
      <c r="H32" s="280"/>
      <c r="I32" s="960" t="str">
        <f>+'Ввод данных'!A122</f>
        <v>ВИЧ / СПИД</v>
      </c>
      <c r="J32" s="593" t="s">
        <v>749</v>
      </c>
      <c r="K32" s="594">
        <v>8.4619791666666675</v>
      </c>
      <c r="L32" s="594">
        <v>3</v>
      </c>
      <c r="M32" s="595">
        <f t="shared" ref="M32:M43" si="0">K32-L32</f>
        <v>5.4619791666666675</v>
      </c>
    </row>
    <row r="33" spans="6:13">
      <c r="F33" s="280"/>
      <c r="G33" s="280"/>
      <c r="H33" s="280"/>
      <c r="I33" s="961"/>
      <c r="J33" s="593" t="s">
        <v>750</v>
      </c>
      <c r="K33" s="594">
        <v>8.0307228915662652</v>
      </c>
      <c r="L33" s="594">
        <v>3</v>
      </c>
      <c r="M33" s="595">
        <f t="shared" si="0"/>
        <v>5.0307228915662652</v>
      </c>
    </row>
    <row r="34" spans="6:13">
      <c r="F34" s="280"/>
      <c r="G34" s="280"/>
      <c r="H34" s="280"/>
      <c r="I34" s="961"/>
      <c r="J34" s="593" t="s">
        <v>751</v>
      </c>
      <c r="K34" s="594">
        <v>20.5</v>
      </c>
      <c r="L34" s="594">
        <v>3</v>
      </c>
      <c r="M34" s="595">
        <f t="shared" si="0"/>
        <v>17.5</v>
      </c>
    </row>
    <row r="35" spans="6:13">
      <c r="F35" s="280"/>
      <c r="G35" s="280"/>
      <c r="H35" s="280"/>
      <c r="I35" s="961"/>
      <c r="J35" s="593" t="s">
        <v>752</v>
      </c>
      <c r="K35" s="594">
        <v>6.9847062579821202</v>
      </c>
      <c r="L35" s="594">
        <v>3</v>
      </c>
      <c r="M35" s="595">
        <f t="shared" si="0"/>
        <v>3.9847062579821202</v>
      </c>
    </row>
    <row r="36" spans="6:13">
      <c r="F36" s="280"/>
      <c r="G36" s="280"/>
      <c r="H36" s="280"/>
      <c r="I36" s="961"/>
      <c r="J36" s="593" t="s">
        <v>753</v>
      </c>
      <c r="K36" s="594">
        <v>11.869555555555555</v>
      </c>
      <c r="L36" s="594">
        <v>3</v>
      </c>
      <c r="M36" s="595">
        <f t="shared" si="0"/>
        <v>8.8695555555555554</v>
      </c>
    </row>
    <row r="37" spans="6:13">
      <c r="F37" s="280"/>
      <c r="G37" s="280"/>
      <c r="H37" s="280"/>
      <c r="I37" s="961"/>
      <c r="J37" s="593" t="s">
        <v>754</v>
      </c>
      <c r="K37" s="594">
        <v>9.6800623052959498</v>
      </c>
      <c r="L37" s="594">
        <v>3</v>
      </c>
      <c r="M37" s="595">
        <f t="shared" si="0"/>
        <v>6.6800623052959498</v>
      </c>
    </row>
    <row r="38" spans="6:13">
      <c r="F38" s="280"/>
      <c r="G38" s="280"/>
      <c r="H38" s="280"/>
      <c r="I38" s="961"/>
      <c r="J38" s="593" t="s">
        <v>755</v>
      </c>
      <c r="K38" s="594">
        <v>14.841295662100457</v>
      </c>
      <c r="L38" s="594">
        <v>3</v>
      </c>
      <c r="M38" s="595">
        <f t="shared" si="0"/>
        <v>11.841295662100457</v>
      </c>
    </row>
    <row r="39" spans="6:13">
      <c r="F39" s="280"/>
      <c r="G39" s="280"/>
      <c r="H39" s="280"/>
      <c r="I39" s="961"/>
      <c r="J39" s="593" t="s">
        <v>756</v>
      </c>
      <c r="K39" s="594">
        <v>4.3604166666666666</v>
      </c>
      <c r="L39" s="594">
        <v>3</v>
      </c>
      <c r="M39" s="595">
        <f t="shared" si="0"/>
        <v>1.3604166666666666</v>
      </c>
    </row>
    <row r="40" spans="6:13">
      <c r="F40" s="280"/>
      <c r="G40" s="280"/>
      <c r="H40" s="280"/>
      <c r="I40" s="961"/>
      <c r="J40" s="593" t="s">
        <v>757</v>
      </c>
      <c r="K40" s="594">
        <v>11.116666666666667</v>
      </c>
      <c r="L40" s="594">
        <v>3</v>
      </c>
      <c r="M40" s="595">
        <f t="shared" si="0"/>
        <v>8.1166666666666671</v>
      </c>
    </row>
    <row r="41" spans="6:13">
      <c r="F41" s="280"/>
      <c r="G41" s="280"/>
      <c r="H41" s="280"/>
      <c r="I41" s="961"/>
      <c r="J41" s="593" t="s">
        <v>758</v>
      </c>
      <c r="K41" s="594">
        <v>11.7165548098434</v>
      </c>
      <c r="L41" s="594">
        <v>3</v>
      </c>
      <c r="M41" s="595">
        <f t="shared" si="0"/>
        <v>8.7165548098433998</v>
      </c>
    </row>
    <row r="42" spans="6:13">
      <c r="F42" s="280"/>
      <c r="G42" s="280"/>
      <c r="H42" s="280"/>
      <c r="I42" s="961"/>
      <c r="J42" s="593" t="s">
        <v>759</v>
      </c>
      <c r="K42" s="594">
        <v>6.1798558421851286</v>
      </c>
      <c r="L42" s="594">
        <v>3</v>
      </c>
      <c r="M42" s="595">
        <f t="shared" si="0"/>
        <v>3.1798558421851286</v>
      </c>
    </row>
    <row r="43" spans="6:13">
      <c r="F43" s="280"/>
      <c r="G43" s="280"/>
      <c r="H43" s="280"/>
      <c r="I43" s="961"/>
      <c r="J43" s="593" t="s">
        <v>760</v>
      </c>
      <c r="K43" s="594">
        <v>10.189487179487179</v>
      </c>
      <c r="L43" s="594">
        <v>3</v>
      </c>
      <c r="M43" s="595">
        <f t="shared" si="0"/>
        <v>7.1894871794871786</v>
      </c>
    </row>
    <row r="44" spans="6:13" ht="15" customHeight="1">
      <c r="F44" s="280"/>
      <c r="G44" s="280"/>
      <c r="H44" s="280"/>
      <c r="I44" s="961"/>
      <c r="J44" s="593" t="s">
        <v>761</v>
      </c>
      <c r="K44" s="594">
        <v>8.0340579710144926</v>
      </c>
      <c r="L44" s="594">
        <v>3</v>
      </c>
      <c r="M44" s="595">
        <f>K44-L44</f>
        <v>5.0340579710144926</v>
      </c>
    </row>
    <row r="45" spans="6:13">
      <c r="F45" s="280"/>
      <c r="G45" s="280"/>
      <c r="H45" s="280"/>
      <c r="I45" s="961"/>
      <c r="J45" s="593" t="s">
        <v>762</v>
      </c>
      <c r="K45" s="594">
        <v>3.8180555555555555</v>
      </c>
      <c r="L45" s="594">
        <v>3</v>
      </c>
      <c r="M45" s="595">
        <f>K45-L45</f>
        <v>0.81805555555555554</v>
      </c>
    </row>
    <row r="46" spans="6:13">
      <c r="F46" s="280"/>
      <c r="G46" s="280"/>
      <c r="H46" s="280"/>
      <c r="I46" s="961"/>
      <c r="J46" s="593" t="s">
        <v>763</v>
      </c>
      <c r="K46" s="594">
        <v>6.25</v>
      </c>
      <c r="L46" s="594">
        <v>3</v>
      </c>
      <c r="M46" s="595">
        <f t="shared" ref="M46:M70" si="1">K46-L46</f>
        <v>3.25</v>
      </c>
    </row>
    <row r="47" spans="6:13">
      <c r="F47" s="280"/>
      <c r="G47" s="280"/>
      <c r="H47" s="280"/>
      <c r="I47" s="961"/>
      <c r="J47" s="593" t="s">
        <v>764</v>
      </c>
      <c r="K47" s="594">
        <v>4</v>
      </c>
      <c r="L47" s="594">
        <v>3</v>
      </c>
      <c r="M47" s="595">
        <f t="shared" si="1"/>
        <v>1</v>
      </c>
    </row>
    <row r="48" spans="6:13">
      <c r="F48" s="280"/>
      <c r="G48" s="280"/>
      <c r="H48" s="280"/>
      <c r="I48" s="961"/>
      <c r="J48" s="593" t="s">
        <v>654</v>
      </c>
      <c r="K48" s="594">
        <v>4</v>
      </c>
      <c r="L48" s="594">
        <v>3</v>
      </c>
      <c r="M48" s="595">
        <f t="shared" ref="M48:M50" si="2">K48-L48</f>
        <v>1</v>
      </c>
    </row>
    <row r="49" spans="2:13">
      <c r="F49" s="280"/>
      <c r="G49" s="280"/>
      <c r="H49" s="280"/>
      <c r="I49" s="961"/>
      <c r="J49" s="593" t="s">
        <v>767</v>
      </c>
      <c r="K49" s="593">
        <v>4</v>
      </c>
      <c r="L49" s="594">
        <v>3</v>
      </c>
      <c r="M49" s="595">
        <f t="shared" si="1"/>
        <v>1</v>
      </c>
    </row>
    <row r="50" spans="2:13">
      <c r="F50" s="280"/>
      <c r="G50" s="280"/>
      <c r="H50" s="280"/>
      <c r="I50" s="961"/>
      <c r="J50" s="593" t="s">
        <v>766</v>
      </c>
      <c r="K50" s="593">
        <v>6</v>
      </c>
      <c r="L50" s="594">
        <v>3</v>
      </c>
      <c r="M50" s="595">
        <f t="shared" si="2"/>
        <v>3</v>
      </c>
    </row>
    <row r="51" spans="2:13">
      <c r="F51" s="280"/>
      <c r="G51" s="280"/>
      <c r="H51" s="280"/>
      <c r="I51" s="962"/>
      <c r="J51" s="593" t="s">
        <v>768</v>
      </c>
      <c r="K51" s="593">
        <v>8</v>
      </c>
      <c r="L51" s="594">
        <v>3</v>
      </c>
      <c r="M51" s="595">
        <f t="shared" si="1"/>
        <v>5</v>
      </c>
    </row>
    <row r="52" spans="2:13">
      <c r="F52" s="19"/>
      <c r="G52" s="19"/>
      <c r="H52" s="19"/>
      <c r="I52" s="958" t="str">
        <f>+'Ввод данных'!A138</f>
        <v>ТБ</v>
      </c>
      <c r="J52" s="590" t="s">
        <v>638</v>
      </c>
      <c r="K52" s="591">
        <v>7.583530393656976</v>
      </c>
      <c r="L52" s="591">
        <v>3</v>
      </c>
      <c r="M52" s="592">
        <f t="shared" si="1"/>
        <v>4.583530393656976</v>
      </c>
    </row>
    <row r="53" spans="2:13">
      <c r="F53" s="19"/>
      <c r="G53" s="19"/>
      <c r="H53" s="19"/>
      <c r="I53" s="958"/>
      <c r="J53" s="590" t="s">
        <v>639</v>
      </c>
      <c r="K53" s="591">
        <v>14.069711538461538</v>
      </c>
      <c r="L53" s="591">
        <v>3</v>
      </c>
      <c r="M53" s="592">
        <f t="shared" si="1"/>
        <v>11.069711538461538</v>
      </c>
    </row>
    <row r="54" spans="2:13">
      <c r="B54" s="955" t="str">
        <f>+'Ввод данных'!A117</f>
        <v>* Включает только категории 4 и 5 ПФО (товары медицинского назначения и медицинское оборудование, лекарственные средства и фармацевтические препараты)</v>
      </c>
      <c r="C54" s="955"/>
      <c r="D54" s="955"/>
      <c r="E54" s="955"/>
      <c r="F54" s="19"/>
      <c r="G54" s="19"/>
      <c r="H54" s="19"/>
      <c r="I54" s="958"/>
      <c r="J54" s="590" t="s">
        <v>640</v>
      </c>
      <c r="K54" s="591">
        <v>137.39738562091503</v>
      </c>
      <c r="L54" s="591">
        <v>3</v>
      </c>
      <c r="M54" s="592">
        <f t="shared" si="1"/>
        <v>134.39738562091503</v>
      </c>
    </row>
    <row r="55" spans="2:13">
      <c r="F55" s="19"/>
      <c r="G55" s="19"/>
      <c r="H55" s="19"/>
      <c r="I55" s="958"/>
      <c r="J55" s="590" t="s">
        <v>641</v>
      </c>
      <c r="K55" s="591">
        <v>6.14810298102981</v>
      </c>
      <c r="L55" s="591">
        <v>3</v>
      </c>
      <c r="M55" s="592">
        <f t="shared" si="1"/>
        <v>3.14810298102981</v>
      </c>
    </row>
    <row r="56" spans="2:13">
      <c r="F56" s="19"/>
      <c r="G56" s="19"/>
      <c r="H56" s="19"/>
      <c r="I56" s="958"/>
      <c r="J56" s="590" t="s">
        <v>642</v>
      </c>
      <c r="K56" s="591">
        <v>10.343956336528221</v>
      </c>
      <c r="L56" s="591">
        <v>3</v>
      </c>
      <c r="M56" s="592">
        <f t="shared" si="1"/>
        <v>7.3439563365282208</v>
      </c>
    </row>
    <row r="57" spans="2:13">
      <c r="F57" s="19"/>
      <c r="G57" s="19"/>
      <c r="H57" s="19"/>
      <c r="I57" s="958"/>
      <c r="J57" s="590" t="s">
        <v>643</v>
      </c>
      <c r="K57" s="591">
        <v>19.928008298755188</v>
      </c>
      <c r="L57" s="591">
        <v>3</v>
      </c>
      <c r="M57" s="592">
        <f t="shared" si="1"/>
        <v>16.928008298755188</v>
      </c>
    </row>
    <row r="58" spans="2:13">
      <c r="F58" s="19"/>
      <c r="G58" s="19"/>
      <c r="H58" s="19"/>
      <c r="I58" s="958"/>
      <c r="J58" s="590" t="s">
        <v>644</v>
      </c>
      <c r="K58" s="591">
        <v>4.0271206409048066</v>
      </c>
      <c r="L58" s="591">
        <v>3</v>
      </c>
      <c r="M58" s="592">
        <f t="shared" si="1"/>
        <v>1.0271206409048066</v>
      </c>
    </row>
    <row r="59" spans="2:13">
      <c r="F59" s="19"/>
      <c r="G59" s="19"/>
      <c r="H59" s="19"/>
      <c r="I59" s="958"/>
      <c r="J59" s="590" t="s">
        <v>645</v>
      </c>
      <c r="K59" s="591">
        <v>22.075802469135802</v>
      </c>
      <c r="L59" s="591">
        <v>3</v>
      </c>
      <c r="M59" s="592">
        <f t="shared" si="1"/>
        <v>19.075802469135802</v>
      </c>
    </row>
    <row r="60" spans="2:13">
      <c r="F60" s="19"/>
      <c r="G60" s="19"/>
      <c r="H60" s="19"/>
      <c r="I60" s="958"/>
      <c r="J60" s="590" t="s">
        <v>646</v>
      </c>
      <c r="K60" s="591">
        <v>4.0065663474692199</v>
      </c>
      <c r="L60" s="591">
        <v>3</v>
      </c>
      <c r="M60" s="592">
        <f t="shared" si="1"/>
        <v>1.0065663474692199</v>
      </c>
    </row>
    <row r="61" spans="2:13">
      <c r="F61" s="19"/>
      <c r="G61" s="19"/>
      <c r="H61" s="19"/>
      <c r="I61" s="958"/>
      <c r="J61" s="590" t="s">
        <v>647</v>
      </c>
      <c r="K61" s="591">
        <v>6.3431366850721691</v>
      </c>
      <c r="L61" s="591">
        <v>3</v>
      </c>
      <c r="M61" s="592">
        <f t="shared" si="1"/>
        <v>3.3431366850721691</v>
      </c>
    </row>
    <row r="62" spans="2:13">
      <c r="F62" s="19"/>
      <c r="G62" s="19"/>
      <c r="H62" s="19"/>
      <c r="I62" s="958"/>
      <c r="J62" s="590" t="s">
        <v>648</v>
      </c>
      <c r="K62" s="591">
        <v>5.6189210950080515</v>
      </c>
      <c r="L62" s="591">
        <v>3</v>
      </c>
      <c r="M62" s="592">
        <f t="shared" si="1"/>
        <v>2.6189210950080515</v>
      </c>
    </row>
    <row r="63" spans="2:13">
      <c r="F63" s="19"/>
      <c r="G63" s="19"/>
      <c r="H63" s="19"/>
      <c r="I63" s="958"/>
      <c r="J63" s="590" t="s">
        <v>649</v>
      </c>
      <c r="K63" s="591">
        <v>6.0447479674796751</v>
      </c>
      <c r="L63" s="591">
        <v>3</v>
      </c>
      <c r="M63" s="592">
        <f t="shared" si="1"/>
        <v>3.0447479674796751</v>
      </c>
    </row>
    <row r="64" spans="2:13">
      <c r="F64" s="19"/>
      <c r="G64" s="19"/>
      <c r="H64" s="19"/>
      <c r="I64" s="958"/>
      <c r="J64" s="590" t="s">
        <v>650</v>
      </c>
      <c r="K64" s="591">
        <v>14.619172494172494</v>
      </c>
      <c r="L64" s="591">
        <v>3</v>
      </c>
      <c r="M64" s="592">
        <f t="shared" si="1"/>
        <v>11.619172494172494</v>
      </c>
    </row>
    <row r="65" spans="9:13">
      <c r="I65" s="958"/>
      <c r="J65" s="590" t="s">
        <v>651</v>
      </c>
      <c r="K65" s="591">
        <v>13.854365079365079</v>
      </c>
      <c r="L65" s="591">
        <v>3</v>
      </c>
      <c r="M65" s="592">
        <f t="shared" si="1"/>
        <v>10.854365079365079</v>
      </c>
    </row>
    <row r="66" spans="9:13">
      <c r="I66" s="958"/>
      <c r="J66" s="590" t="s">
        <v>652</v>
      </c>
      <c r="K66" s="591">
        <v>23.752507374631268</v>
      </c>
      <c r="L66" s="591">
        <v>3</v>
      </c>
      <c r="M66" s="592">
        <f t="shared" ref="M66:M68" si="3">K66-L66</f>
        <v>20.752507374631268</v>
      </c>
    </row>
    <row r="67" spans="9:13">
      <c r="I67" s="958"/>
      <c r="J67" s="590" t="s">
        <v>653</v>
      </c>
      <c r="K67" s="591">
        <v>40.415825977301388</v>
      </c>
      <c r="L67" s="591">
        <v>3</v>
      </c>
      <c r="M67" s="592">
        <f t="shared" si="3"/>
        <v>37.415825977301388</v>
      </c>
    </row>
    <row r="68" spans="9:13">
      <c r="I68" s="958"/>
      <c r="J68" s="610" t="s">
        <v>743</v>
      </c>
      <c r="K68" s="611">
        <v>7</v>
      </c>
      <c r="L68" s="611">
        <v>3</v>
      </c>
      <c r="M68" s="612">
        <f t="shared" si="3"/>
        <v>4</v>
      </c>
    </row>
    <row r="69" spans="9:13">
      <c r="I69" s="958"/>
      <c r="J69" s="610" t="s">
        <v>746</v>
      </c>
      <c r="K69" s="591">
        <v>9</v>
      </c>
      <c r="L69" s="591">
        <v>3</v>
      </c>
      <c r="M69" s="592">
        <f t="shared" si="1"/>
        <v>6</v>
      </c>
    </row>
    <row r="70" spans="9:13">
      <c r="I70" s="958"/>
      <c r="J70" s="610" t="s">
        <v>747</v>
      </c>
      <c r="K70" s="591">
        <v>6</v>
      </c>
      <c r="L70" s="591">
        <v>3</v>
      </c>
      <c r="M70" s="592">
        <f t="shared" si="1"/>
        <v>3</v>
      </c>
    </row>
    <row r="71" spans="9:13" ht="15.75" thickBot="1">
      <c r="I71" s="959"/>
      <c r="J71" s="596" t="s">
        <v>748</v>
      </c>
      <c r="K71" s="597">
        <v>8</v>
      </c>
      <c r="L71" s="597">
        <v>3</v>
      </c>
      <c r="M71" s="598">
        <f t="shared" ref="M71" si="4">K71-L71</f>
        <v>5</v>
      </c>
    </row>
  </sheetData>
  <mergeCells count="23">
    <mergeCell ref="B2:M2"/>
    <mergeCell ref="C4:D4"/>
    <mergeCell ref="E3:J3"/>
    <mergeCell ref="K3:L3"/>
    <mergeCell ref="E10:F10"/>
    <mergeCell ref="C8:F8"/>
    <mergeCell ref="B7:F7"/>
    <mergeCell ref="D10:D11"/>
    <mergeCell ref="C3:D3"/>
    <mergeCell ref="E4:J4"/>
    <mergeCell ref="K4:L4"/>
    <mergeCell ref="J8:M8"/>
    <mergeCell ref="D5:K5"/>
    <mergeCell ref="J19:M19"/>
    <mergeCell ref="B28:F28"/>
    <mergeCell ref="I28:M28"/>
    <mergeCell ref="B54:E54"/>
    <mergeCell ref="C29:F29"/>
    <mergeCell ref="J29:M29"/>
    <mergeCell ref="J30:M30"/>
    <mergeCell ref="C19:F19"/>
    <mergeCell ref="I52:I71"/>
    <mergeCell ref="I32:I51"/>
  </mergeCells>
  <phoneticPr fontId="30" type="noConversion"/>
  <conditionalFormatting sqref="D15:D16">
    <cfRule type="cellIs" dxfId="74" priority="1" stopIfTrue="1" operator="greaterThan">
      <formula>0</formula>
    </cfRule>
  </conditionalFormatting>
  <conditionalFormatting sqref="E15:E16">
    <cfRule type="cellIs" dxfId="73" priority="2" stopIfTrue="1" operator="greaterThan">
      <formula>0</formula>
    </cfRule>
  </conditionalFormatting>
  <conditionalFormatting sqref="F15:H16">
    <cfRule type="cellIs" dxfId="72" priority="3" stopIfTrue="1" operator="greaterThan">
      <formula>0</formula>
    </cfRule>
  </conditionalFormatting>
  <conditionalFormatting sqref="C4:D4">
    <cfRule type="cellIs" dxfId="71" priority="4" stopIfTrue="1" operator="equal">
      <formula>"C"</formula>
    </cfRule>
    <cfRule type="cellIs" dxfId="70" priority="5" stopIfTrue="1" operator="equal">
      <formula>"B2"</formula>
    </cfRule>
    <cfRule type="cellIs" dxfId="69" priority="6" stopIfTrue="1" operator="equal">
      <formula>"B1"</formula>
    </cfRule>
  </conditionalFormatting>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77"/>
  <sheetViews>
    <sheetView showGridLines="0" tabSelected="1" zoomScaleNormal="100" workbookViewId="0">
      <selection activeCell="R38" sqref="R38"/>
    </sheetView>
  </sheetViews>
  <sheetFormatPr defaultColWidth="11" defaultRowHeight="15"/>
  <cols>
    <col min="1" max="1" width="3.42578125" customWidth="1"/>
    <col min="2" max="2" width="11.28515625" customWidth="1"/>
    <col min="3" max="3" width="16.140625" customWidth="1"/>
    <col min="4" max="4" width="26.140625" customWidth="1"/>
    <col min="5" max="5" width="9.42578125" customWidth="1"/>
    <col min="6" max="6" width="20.7109375" customWidth="1"/>
    <col min="7" max="7" width="5.7109375" customWidth="1"/>
    <col min="8" max="8" width="6.28515625" customWidth="1"/>
    <col min="9" max="9" width="6" customWidth="1"/>
    <col min="10" max="10" width="4.140625" customWidth="1"/>
    <col min="11" max="11" width="17.85546875" customWidth="1"/>
    <col min="12" max="12" width="12" customWidth="1"/>
    <col min="13" max="13" width="5" customWidth="1"/>
    <col min="14" max="14" width="6.5703125" customWidth="1"/>
    <col min="15" max="15" width="4.140625" customWidth="1"/>
    <col min="16" max="16" width="10.7109375" customWidth="1"/>
    <col min="17" max="17" width="39.5703125" customWidth="1"/>
    <col min="18" max="18" width="87.28515625" customWidth="1"/>
    <col min="19" max="19" width="21.42578125" customWidth="1"/>
  </cols>
  <sheetData>
    <row r="1" spans="1:35" ht="26.25" customHeight="1">
      <c r="A1" s="3"/>
      <c r="B1" s="3"/>
      <c r="C1" s="3"/>
      <c r="D1" s="3"/>
      <c r="E1" s="3"/>
      <c r="F1" s="3"/>
      <c r="G1" s="3"/>
      <c r="H1" s="3"/>
      <c r="I1" s="3"/>
      <c r="J1" s="3"/>
      <c r="K1" s="3"/>
      <c r="L1" s="3"/>
      <c r="M1" s="3"/>
      <c r="N1" s="3"/>
      <c r="O1" s="3"/>
      <c r="P1" s="3"/>
    </row>
    <row r="2" spans="1:35" ht="21.75" customHeight="1">
      <c r="A2" s="3"/>
      <c r="B2" s="1046" t="str">
        <f>+"Панель показателей:  "&amp;"  "&amp;IF(+'Ввод данных'!B4="Выберите","",'Ввод данных'!B4&amp;" - ")&amp;IF('Ввод данных'!F6="Выберите","",'Ввод данных'!F6)</f>
        <v>Панель показателей:    Кыргызстан - ВИЧ/СПИД/ТБ</v>
      </c>
      <c r="C2" s="1046"/>
      <c r="D2" s="1046"/>
      <c r="E2" s="1046"/>
      <c r="F2" s="1046"/>
      <c r="G2" s="1046"/>
      <c r="H2" s="1046"/>
      <c r="I2" s="1046"/>
      <c r="J2" s="1046"/>
      <c r="K2" s="1046"/>
      <c r="L2" s="1046"/>
      <c r="M2" s="1046"/>
      <c r="N2" s="1046"/>
      <c r="O2" s="1046"/>
      <c r="P2" s="1046"/>
      <c r="Q2" s="1046"/>
    </row>
    <row r="3" spans="1:35" ht="18.75">
      <c r="A3" s="3"/>
      <c r="B3" s="117">
        <f>+IF('Ввод данных'!F8="Выберите","",'Ввод данных'!F8)</f>
        <v>0</v>
      </c>
      <c r="C3" s="937">
        <f>+IF('Ввод данных'!H8="Выберите","",'Ввод данных'!H8)</f>
        <v>0</v>
      </c>
      <c r="D3" s="937"/>
      <c r="E3" s="936"/>
      <c r="F3" s="936"/>
      <c r="G3" s="936"/>
      <c r="H3" s="936"/>
      <c r="I3" s="1047"/>
      <c r="J3" s="1047"/>
      <c r="K3" s="1047"/>
      <c r="L3" s="3"/>
      <c r="M3" s="3"/>
      <c r="O3" s="934" t="str">
        <f>+'Ввод данных'!A16</f>
        <v>Отчетный период</v>
      </c>
      <c r="P3" s="934"/>
      <c r="Q3" s="181" t="str">
        <f>+'Ввод данных'!B16</f>
        <v>P4</v>
      </c>
    </row>
    <row r="4" spans="1:35" ht="23.25">
      <c r="A4" s="3"/>
      <c r="B4" s="371" t="str">
        <f>+'Ввод данных'!A12</f>
        <v>Последняя оценка:</v>
      </c>
      <c r="C4" s="1048" t="str">
        <f>+IF('Ввод данных'!B12="Выберите","",'Ввод данных'!B12)</f>
        <v>A1</v>
      </c>
      <c r="D4" s="1048"/>
      <c r="E4" s="936" t="str">
        <f>+'Ввод данных'!B8</f>
        <v>ПРООН</v>
      </c>
      <c r="F4" s="936"/>
      <c r="G4" s="936"/>
      <c r="H4" s="936"/>
      <c r="I4" s="936"/>
      <c r="J4" s="936"/>
      <c r="K4" s="936"/>
      <c r="L4" s="936"/>
      <c r="M4" s="3"/>
      <c r="O4" s="281"/>
      <c r="P4" s="117" t="str">
        <f>+'Ввод данных'!C16</f>
        <v>с:</v>
      </c>
      <c r="Q4" s="282">
        <f>+IF(ISBLANK('Ввод данных'!D16),"",'Ввод данных'!D16)</f>
        <v>43101</v>
      </c>
      <c r="Y4" s="70"/>
      <c r="Z4" s="70"/>
      <c r="AA4" s="70"/>
      <c r="AB4" s="70"/>
      <c r="AC4" s="70"/>
    </row>
    <row r="5" spans="1:35" ht="15.75" customHeight="1">
      <c r="A5" s="3"/>
      <c r="B5" s="117"/>
      <c r="C5" s="117"/>
      <c r="D5" s="936" t="str">
        <f>+'Ввод данных'!F4</f>
        <v>«Эффективный контроль за туберкулезом и ВИЧ-инфекцией в Кыргызской Республике»</v>
      </c>
      <c r="E5" s="936"/>
      <c r="F5" s="936"/>
      <c r="G5" s="936"/>
      <c r="H5" s="936"/>
      <c r="I5" s="936"/>
      <c r="J5" s="936"/>
      <c r="K5" s="936"/>
      <c r="L5" s="936"/>
      <c r="M5" s="936"/>
      <c r="N5" s="936"/>
      <c r="P5" s="117" t="str">
        <f>+'Ввод данных'!E16</f>
        <v>до:</v>
      </c>
      <c r="Q5" s="282">
        <f>+IF(ISBLANK('Ввод данных'!F16),"",'Ввод данных'!F16)</f>
        <v>43281</v>
      </c>
      <c r="S5" s="201"/>
      <c r="T5" s="201"/>
      <c r="U5" s="201"/>
      <c r="V5" s="201"/>
      <c r="W5" s="201"/>
      <c r="X5" s="201"/>
      <c r="Y5" s="70"/>
      <c r="Z5" s="70"/>
      <c r="AA5" s="70" t="s">
        <v>23</v>
      </c>
      <c r="AB5" s="70"/>
      <c r="AC5" s="70" t="s">
        <v>74</v>
      </c>
      <c r="AD5" s="201"/>
      <c r="AE5" s="201"/>
      <c r="AF5" s="201"/>
      <c r="AG5" s="201"/>
      <c r="AH5" s="201"/>
      <c r="AI5" s="201"/>
    </row>
    <row r="6" spans="1:35" ht="15.75" customHeight="1">
      <c r="A6" s="3"/>
      <c r="B6" s="483"/>
      <c r="C6" s="483"/>
      <c r="D6" s="484"/>
      <c r="E6" s="977" t="s">
        <v>627</v>
      </c>
      <c r="F6" s="978"/>
      <c r="G6" s="978"/>
      <c r="H6" s="978"/>
      <c r="I6" s="978"/>
      <c r="J6" s="978"/>
      <c r="K6" s="978"/>
      <c r="L6" s="978"/>
      <c r="M6" s="3"/>
      <c r="N6" s="3"/>
      <c r="O6" s="183"/>
      <c r="P6" s="527"/>
      <c r="S6" s="201"/>
      <c r="T6" s="201"/>
      <c r="U6" s="201"/>
      <c r="V6" s="201"/>
      <c r="W6" s="201"/>
      <c r="X6" s="201"/>
      <c r="Y6" s="70"/>
      <c r="Z6" s="70"/>
      <c r="AA6" s="70"/>
      <c r="AB6" s="70"/>
      <c r="AC6" s="70"/>
      <c r="AD6" s="201"/>
      <c r="AE6" s="201"/>
      <c r="AF6" s="201"/>
      <c r="AG6" s="201"/>
      <c r="AH6" s="201"/>
      <c r="AI6" s="201"/>
    </row>
    <row r="7" spans="1:35" ht="3" customHeight="1">
      <c r="A7" s="3"/>
      <c r="B7" s="483"/>
      <c r="C7" s="483"/>
      <c r="D7" s="484"/>
      <c r="E7" s="484"/>
      <c r="F7" s="484"/>
      <c r="G7" s="484"/>
      <c r="H7" s="484"/>
      <c r="I7" s="484"/>
      <c r="J7" s="484"/>
      <c r="K7" s="484"/>
      <c r="L7" s="484"/>
      <c r="M7" s="3"/>
      <c r="N7" s="3"/>
      <c r="O7" s="183"/>
      <c r="P7" s="182"/>
      <c r="Q7" s="182"/>
      <c r="S7" s="201"/>
      <c r="T7" s="201"/>
      <c r="U7" s="201"/>
      <c r="V7" s="201"/>
      <c r="W7" s="201"/>
      <c r="X7" s="201"/>
      <c r="Y7" s="70"/>
      <c r="Z7" s="70"/>
      <c r="AA7" s="70"/>
      <c r="AB7" s="70"/>
      <c r="AC7" s="70"/>
      <c r="AD7" s="201"/>
      <c r="AE7" s="201"/>
      <c r="AF7" s="201"/>
      <c r="AG7" s="201"/>
      <c r="AH7" s="201"/>
      <c r="AI7" s="201"/>
    </row>
    <row r="8" spans="1:35" ht="18.75" customHeight="1" thickBot="1">
      <c r="A8" s="3"/>
      <c r="B8" s="984" t="e">
        <f>+#REF!</f>
        <v>#REF!</v>
      </c>
      <c r="C8" s="984"/>
      <c r="D8" s="984"/>
      <c r="E8" s="984"/>
      <c r="F8" s="984" t="e">
        <f>+#REF!</f>
        <v>#REF!</v>
      </c>
      <c r="G8" s="984"/>
      <c r="H8" s="984"/>
      <c r="I8" s="984"/>
      <c r="J8" s="984"/>
      <c r="K8" s="984"/>
      <c r="L8" s="984" t="e">
        <f>+#REF!</f>
        <v>#REF!</v>
      </c>
      <c r="M8" s="984"/>
      <c r="N8" s="984"/>
      <c r="O8" s="984"/>
      <c r="P8" s="984"/>
      <c r="Q8" s="984"/>
      <c r="S8" s="201"/>
      <c r="T8" s="201"/>
      <c r="U8" s="201"/>
      <c r="V8" s="201"/>
      <c r="W8" s="201"/>
      <c r="X8" s="201"/>
      <c r="Y8" s="70"/>
      <c r="Z8" s="70"/>
      <c r="AA8" s="70"/>
      <c r="AB8" s="70"/>
      <c r="AC8" s="70"/>
      <c r="AD8" s="201"/>
      <c r="AE8" s="201"/>
      <c r="AF8" s="201"/>
      <c r="AG8" s="201"/>
      <c r="AH8" s="201"/>
      <c r="AI8" s="201"/>
    </row>
    <row r="9" spans="1:35" ht="119.25" customHeight="1" thickBot="1">
      <c r="A9" s="3"/>
      <c r="B9" s="584" t="s">
        <v>613</v>
      </c>
      <c r="C9" s="1049" t="s">
        <v>715</v>
      </c>
      <c r="D9" s="1050"/>
      <c r="E9" s="1051"/>
      <c r="F9" s="585" t="s">
        <v>613</v>
      </c>
      <c r="G9" s="1049" t="s">
        <v>716</v>
      </c>
      <c r="H9" s="1050"/>
      <c r="I9" s="1050"/>
      <c r="J9" s="1050"/>
      <c r="K9" s="1051"/>
      <c r="L9" s="585" t="s">
        <v>613</v>
      </c>
      <c r="M9" s="1049" t="s">
        <v>717</v>
      </c>
      <c r="N9" s="1050"/>
      <c r="O9" s="1050"/>
      <c r="P9" s="1050"/>
      <c r="Q9" s="1051"/>
      <c r="S9" s="608"/>
      <c r="T9" s="201"/>
      <c r="U9" s="201"/>
      <c r="V9" s="201"/>
      <c r="W9" s="201"/>
      <c r="X9" s="201"/>
      <c r="Y9" s="201"/>
      <c r="Z9" s="201"/>
      <c r="AA9" s="201"/>
      <c r="AB9" s="201"/>
      <c r="AC9" s="201"/>
      <c r="AD9" s="201"/>
      <c r="AE9" s="201"/>
      <c r="AF9" s="201"/>
      <c r="AG9" s="201"/>
      <c r="AH9" s="201"/>
      <c r="AI9" s="201"/>
    </row>
    <row r="10" spans="1:35" ht="18.75" customHeight="1">
      <c r="A10" s="3"/>
      <c r="B10" s="483"/>
      <c r="C10" s="483"/>
      <c r="D10" s="484"/>
      <c r="E10" s="484"/>
      <c r="F10" s="484"/>
      <c r="G10" s="484"/>
      <c r="H10" s="484"/>
      <c r="I10" s="484"/>
      <c r="J10" s="484"/>
      <c r="K10" s="484"/>
      <c r="L10" s="484"/>
      <c r="M10" s="3"/>
      <c r="N10" s="3"/>
      <c r="O10" s="183"/>
      <c r="P10" s="182"/>
      <c r="S10" s="201"/>
      <c r="T10" s="201"/>
      <c r="U10" s="201"/>
      <c r="V10" s="201"/>
      <c r="W10" s="201"/>
      <c r="X10" s="201"/>
      <c r="Y10" s="201"/>
      <c r="Z10" s="201"/>
      <c r="AA10" s="201"/>
      <c r="AB10" s="201"/>
      <c r="AC10" s="201"/>
      <c r="AD10" s="201"/>
      <c r="AE10" s="201"/>
      <c r="AF10" s="201"/>
      <c r="AG10" s="201"/>
      <c r="AH10" s="201"/>
      <c r="AI10" s="201"/>
    </row>
    <row r="11" spans="1:35" ht="18.75" customHeight="1">
      <c r="A11" s="3"/>
      <c r="B11" s="483"/>
      <c r="C11" s="483"/>
      <c r="D11" s="484"/>
      <c r="E11" s="484"/>
      <c r="F11" s="484"/>
      <c r="G11" s="484"/>
      <c r="H11" s="484"/>
      <c r="I11" s="484"/>
      <c r="J11" s="484"/>
      <c r="K11" s="484"/>
      <c r="L11" s="484"/>
      <c r="M11" s="3"/>
      <c r="N11" s="3"/>
      <c r="O11" s="183"/>
      <c r="P11" s="182"/>
      <c r="S11" s="201"/>
      <c r="T11" s="201"/>
      <c r="U11" s="201"/>
      <c r="V11" s="201"/>
      <c r="W11" s="201"/>
      <c r="X11" s="201"/>
      <c r="Y11" s="201"/>
      <c r="Z11" s="201"/>
      <c r="AA11" s="201"/>
      <c r="AB11" s="201"/>
      <c r="AC11" s="201"/>
      <c r="AD11" s="201"/>
      <c r="AE11" s="201"/>
      <c r="AF11" s="201"/>
      <c r="AG11" s="201"/>
      <c r="AH11" s="201"/>
      <c r="AI11" s="201"/>
    </row>
    <row r="12" spans="1:35" ht="18.75" customHeight="1">
      <c r="A12" s="3"/>
      <c r="B12" s="483"/>
      <c r="C12" s="483"/>
      <c r="D12" s="484"/>
      <c r="E12" s="484"/>
      <c r="F12" s="484"/>
      <c r="G12" s="484"/>
      <c r="H12" s="484"/>
      <c r="I12" s="484"/>
      <c r="J12" s="484"/>
      <c r="K12" s="484"/>
      <c r="L12" s="484"/>
      <c r="M12" s="3"/>
      <c r="N12" s="3"/>
      <c r="O12" s="183"/>
      <c r="P12" s="182"/>
      <c r="S12" s="201"/>
      <c r="T12" s="201"/>
      <c r="U12" s="201"/>
      <c r="V12" s="201"/>
      <c r="W12" s="201"/>
      <c r="X12" s="201"/>
      <c r="Y12" s="201"/>
      <c r="Z12" s="201"/>
      <c r="AA12" s="201"/>
      <c r="AB12" s="201"/>
      <c r="AC12" s="201"/>
      <c r="AD12" s="201"/>
      <c r="AE12" s="201"/>
      <c r="AF12" s="201"/>
      <c r="AG12" s="201"/>
      <c r="AH12" s="201"/>
      <c r="AI12" s="201"/>
    </row>
    <row r="13" spans="1:35" ht="18.75" customHeight="1">
      <c r="A13" s="3"/>
      <c r="B13" s="483"/>
      <c r="C13" s="483"/>
      <c r="D13" s="484"/>
      <c r="E13" s="484"/>
      <c r="F13" s="484"/>
      <c r="G13" s="484"/>
      <c r="H13" s="484"/>
      <c r="I13" s="484"/>
      <c r="J13" s="484"/>
      <c r="K13" s="484"/>
      <c r="L13" s="484"/>
      <c r="M13" s="3"/>
      <c r="N13" s="3"/>
      <c r="O13" s="183"/>
      <c r="P13" s="182"/>
      <c r="S13" s="201"/>
      <c r="T13" s="201"/>
      <c r="U13" s="201"/>
      <c r="V13" s="201"/>
      <c r="W13" s="201"/>
      <c r="X13" s="201"/>
      <c r="Y13" s="201"/>
      <c r="Z13" s="201"/>
      <c r="AA13" s="201"/>
      <c r="AB13" s="201"/>
      <c r="AC13" s="201"/>
      <c r="AD13" s="201"/>
      <c r="AE13" s="201"/>
      <c r="AF13" s="201"/>
      <c r="AG13" s="201"/>
      <c r="AH13" s="201"/>
      <c r="AI13" s="201"/>
    </row>
    <row r="14" spans="1:35" ht="18.75" customHeight="1">
      <c r="A14" s="3"/>
      <c r="B14" s="483"/>
      <c r="C14" s="483"/>
      <c r="D14" s="484"/>
      <c r="E14" s="484"/>
      <c r="F14" s="484"/>
      <c r="G14" s="484"/>
      <c r="H14" s="484"/>
      <c r="I14" s="484"/>
      <c r="J14" s="484"/>
      <c r="K14" s="484"/>
      <c r="L14" s="484"/>
      <c r="M14" s="3"/>
      <c r="N14" s="3"/>
      <c r="O14" s="183"/>
      <c r="P14" s="182"/>
      <c r="S14" s="201"/>
      <c r="T14" s="201"/>
      <c r="U14" s="201"/>
      <c r="V14" s="201"/>
      <c r="W14" s="201"/>
      <c r="X14" s="201"/>
      <c r="Y14" s="201"/>
      <c r="Z14" s="201"/>
      <c r="AA14" s="201"/>
      <c r="AB14" s="201"/>
      <c r="AC14" s="201"/>
      <c r="AD14" s="201"/>
      <c r="AE14" s="201"/>
      <c r="AF14" s="201"/>
      <c r="AG14" s="201"/>
      <c r="AH14" s="201"/>
      <c r="AI14" s="201"/>
    </row>
    <row r="15" spans="1:35" ht="18.75" customHeight="1">
      <c r="A15" s="3"/>
      <c r="B15" s="534"/>
      <c r="C15" s="534"/>
      <c r="D15" s="535"/>
      <c r="E15" s="535"/>
      <c r="F15" s="535"/>
      <c r="G15" s="535"/>
      <c r="H15" s="535"/>
      <c r="I15" s="535"/>
      <c r="J15" s="535"/>
      <c r="K15" s="535"/>
      <c r="L15" s="535"/>
      <c r="M15" s="3"/>
      <c r="N15" s="3"/>
      <c r="O15" s="183"/>
      <c r="P15" s="182"/>
      <c r="S15" s="201"/>
      <c r="T15" s="201"/>
      <c r="U15" s="201"/>
      <c r="V15" s="201"/>
      <c r="W15" s="201"/>
      <c r="X15" s="201"/>
      <c r="Y15" s="201"/>
      <c r="Z15" s="201"/>
      <c r="AA15" s="201"/>
      <c r="AB15" s="201"/>
      <c r="AC15" s="201"/>
      <c r="AD15" s="201"/>
      <c r="AE15" s="201"/>
      <c r="AF15" s="201"/>
      <c r="AG15" s="201"/>
      <c r="AH15" s="201"/>
      <c r="AI15" s="201"/>
    </row>
    <row r="16" spans="1:35" ht="18.75" customHeight="1">
      <c r="A16" s="3"/>
      <c r="B16" s="534"/>
      <c r="C16" s="534"/>
      <c r="D16" s="535"/>
      <c r="E16" s="535"/>
      <c r="F16" s="535"/>
      <c r="G16" s="535"/>
      <c r="H16" s="535"/>
      <c r="I16" s="535"/>
      <c r="J16" s="535"/>
      <c r="K16" s="535"/>
      <c r="L16" s="535"/>
      <c r="M16" s="3"/>
      <c r="N16" s="3"/>
      <c r="O16" s="183"/>
      <c r="P16" s="182"/>
      <c r="S16" s="201"/>
      <c r="T16" s="201"/>
      <c r="U16" s="201"/>
      <c r="V16" s="201"/>
      <c r="W16" s="201"/>
      <c r="X16" s="201"/>
      <c r="Y16" s="201"/>
      <c r="Z16" s="201"/>
      <c r="AA16" s="201"/>
      <c r="AB16" s="201"/>
      <c r="AC16" s="201"/>
      <c r="AD16" s="201"/>
      <c r="AE16" s="201"/>
      <c r="AF16" s="201"/>
      <c r="AG16" s="201"/>
      <c r="AH16" s="201"/>
      <c r="AI16" s="201"/>
    </row>
    <row r="17" spans="1:35" ht="18.75" customHeight="1">
      <c r="A17" s="3"/>
      <c r="B17" s="534"/>
      <c r="C17" s="534"/>
      <c r="D17" s="535"/>
      <c r="E17" s="535"/>
      <c r="F17" s="535"/>
      <c r="G17" s="535"/>
      <c r="H17" s="535"/>
      <c r="I17" s="535"/>
      <c r="J17" s="535"/>
      <c r="K17" s="535"/>
      <c r="L17" s="535"/>
      <c r="M17" s="3"/>
      <c r="N17" s="3"/>
      <c r="O17" s="183"/>
      <c r="P17" s="182"/>
      <c r="S17" s="201"/>
      <c r="T17" s="201"/>
      <c r="U17" s="201"/>
      <c r="V17" s="201"/>
      <c r="W17" s="201"/>
      <c r="X17" s="201"/>
      <c r="Y17" s="201"/>
      <c r="Z17" s="201"/>
      <c r="AA17" s="201"/>
      <c r="AB17" s="201"/>
      <c r="AC17" s="201"/>
      <c r="AD17" s="201"/>
      <c r="AE17" s="201"/>
      <c r="AF17" s="201"/>
      <c r="AG17" s="201"/>
      <c r="AH17" s="201"/>
      <c r="AI17" s="201"/>
    </row>
    <row r="18" spans="1:35" ht="18.75" customHeight="1">
      <c r="A18" s="3"/>
      <c r="B18" s="534"/>
      <c r="C18" s="534"/>
      <c r="D18" s="535"/>
      <c r="E18" s="535"/>
      <c r="F18" s="535"/>
      <c r="G18" s="535"/>
      <c r="H18" s="535"/>
      <c r="I18" s="535"/>
      <c r="J18" s="535"/>
      <c r="K18" s="535"/>
      <c r="L18" s="535"/>
      <c r="M18" s="3"/>
      <c r="N18" s="3"/>
      <c r="O18" s="183"/>
      <c r="P18" s="182"/>
      <c r="S18" s="201"/>
      <c r="T18" s="201"/>
      <c r="U18" s="201"/>
      <c r="V18" s="201"/>
      <c r="W18" s="201"/>
      <c r="X18" s="201"/>
      <c r="Y18" s="201"/>
      <c r="Z18" s="201"/>
      <c r="AA18" s="201"/>
      <c r="AB18" s="201"/>
      <c r="AC18" s="201"/>
      <c r="AD18" s="201"/>
      <c r="AE18" s="201"/>
      <c r="AF18" s="201"/>
      <c r="AG18" s="201"/>
      <c r="AH18" s="201"/>
      <c r="AI18" s="201"/>
    </row>
    <row r="19" spans="1:35" ht="17.25" customHeight="1">
      <c r="A19" s="3"/>
      <c r="B19" s="483"/>
      <c r="C19" s="483"/>
      <c r="D19" s="484"/>
      <c r="E19" s="484"/>
      <c r="F19" s="484"/>
      <c r="G19" s="484"/>
      <c r="H19" s="484"/>
      <c r="I19" s="484"/>
      <c r="J19" s="484"/>
      <c r="K19" s="484"/>
      <c r="L19" s="484"/>
      <c r="M19" s="3"/>
      <c r="N19" s="3"/>
      <c r="O19" s="183"/>
      <c r="P19" s="182"/>
      <c r="S19" s="201"/>
      <c r="T19" s="201"/>
      <c r="U19" s="201"/>
      <c r="V19" s="201"/>
      <c r="W19" s="201"/>
      <c r="X19" s="201"/>
      <c r="Y19" s="201"/>
      <c r="Z19" s="201"/>
      <c r="AA19" s="201"/>
      <c r="AB19" s="201"/>
      <c r="AC19" s="201"/>
      <c r="AD19" s="201"/>
      <c r="AE19" s="201"/>
      <c r="AF19" s="201"/>
      <c r="AG19" s="201"/>
      <c r="AH19" s="201"/>
      <c r="AI19" s="201"/>
    </row>
    <row r="20" spans="1:35" ht="6" customHeight="1">
      <c r="A20" s="3"/>
      <c r="B20" s="121"/>
      <c r="C20" s="483"/>
      <c r="D20" s="118"/>
      <c r="E20" s="1021"/>
      <c r="F20" s="1021"/>
      <c r="G20" s="1021"/>
      <c r="H20" s="1021"/>
      <c r="I20" s="1021"/>
      <c r="J20" s="1021"/>
      <c r="K20" s="1021"/>
      <c r="L20" s="3"/>
      <c r="M20" s="3"/>
      <c r="N20" s="3"/>
      <c r="O20" s="3"/>
      <c r="P20" s="3"/>
      <c r="S20" s="201"/>
      <c r="T20" s="201"/>
      <c r="U20" s="201"/>
      <c r="V20" s="201"/>
      <c r="W20" s="201"/>
      <c r="X20" s="201"/>
      <c r="Y20" s="201"/>
      <c r="Z20" s="201"/>
      <c r="AA20" s="201"/>
      <c r="AB20" s="201"/>
      <c r="AC20" s="201"/>
      <c r="AD20" s="201"/>
      <c r="AE20" s="201"/>
      <c r="AF20" s="201"/>
      <c r="AG20" s="201"/>
      <c r="AH20" s="201"/>
      <c r="AI20" s="201"/>
    </row>
    <row r="21" spans="1:35" ht="45" customHeight="1">
      <c r="A21" s="3"/>
      <c r="B21" s="1052" t="s">
        <v>391</v>
      </c>
      <c r="C21" s="1052"/>
      <c r="D21" s="1052"/>
      <c r="E21" s="528" t="s">
        <v>379</v>
      </c>
      <c r="F21" s="528" t="s">
        <v>271</v>
      </c>
      <c r="G21" s="979" t="s">
        <v>83</v>
      </c>
      <c r="H21" s="980"/>
      <c r="I21" s="985" t="s">
        <v>84</v>
      </c>
      <c r="J21" s="986"/>
      <c r="K21" s="529" t="s">
        <v>85</v>
      </c>
      <c r="L21" s="987" t="s">
        <v>614</v>
      </c>
      <c r="M21" s="988"/>
      <c r="N21" s="988"/>
      <c r="O21" s="988"/>
      <c r="P21" s="988"/>
      <c r="Q21" s="989"/>
      <c r="S21" s="64" t="s">
        <v>49</v>
      </c>
      <c r="T21" s="65">
        <v>0</v>
      </c>
      <c r="U21" s="66">
        <v>0.3</v>
      </c>
      <c r="V21" s="66">
        <v>0.6</v>
      </c>
      <c r="W21" s="66">
        <v>0.9</v>
      </c>
      <c r="X21" s="66">
        <v>1</v>
      </c>
      <c r="Y21" s="70"/>
      <c r="Z21" s="70"/>
      <c r="AA21" s="64" t="s">
        <v>49</v>
      </c>
      <c r="AB21" s="65">
        <v>0</v>
      </c>
      <c r="AC21" s="66">
        <v>0.2</v>
      </c>
      <c r="AD21" s="66">
        <v>0.4</v>
      </c>
      <c r="AE21" s="66">
        <v>0.6</v>
      </c>
      <c r="AF21" s="66">
        <v>0.8</v>
      </c>
      <c r="AG21" s="70"/>
      <c r="AH21" s="70"/>
      <c r="AI21" s="70"/>
    </row>
    <row r="22" spans="1:35" ht="79.5" customHeight="1">
      <c r="A22" s="3"/>
      <c r="B22" s="990" t="s">
        <v>557</v>
      </c>
      <c r="C22" s="991"/>
      <c r="D22" s="992"/>
      <c r="E22" s="609" t="s">
        <v>718</v>
      </c>
      <c r="F22" s="609" t="s">
        <v>719</v>
      </c>
      <c r="G22" s="993">
        <v>1.01</v>
      </c>
      <c r="H22" s="994"/>
      <c r="I22" s="994"/>
      <c r="J22" s="994"/>
      <c r="K22" s="995"/>
      <c r="L22" s="969" t="s">
        <v>715</v>
      </c>
      <c r="M22" s="970"/>
      <c r="N22" s="970"/>
      <c r="O22" s="970"/>
      <c r="P22" s="970"/>
      <c r="Q22" s="970"/>
      <c r="S22" s="64" t="s">
        <v>50</v>
      </c>
      <c r="T22" s="67">
        <v>0.3</v>
      </c>
      <c r="U22" s="66">
        <v>0.6</v>
      </c>
      <c r="V22" s="66">
        <v>0.9</v>
      </c>
      <c r="W22" s="66">
        <v>1</v>
      </c>
      <c r="X22" s="66">
        <v>2</v>
      </c>
      <c r="Y22" s="70"/>
      <c r="Z22" s="70"/>
      <c r="AA22" s="64" t="s">
        <v>50</v>
      </c>
      <c r="AB22" s="67">
        <v>0.2</v>
      </c>
      <c r="AC22" s="66">
        <v>0.4</v>
      </c>
      <c r="AD22" s="66">
        <v>0.6</v>
      </c>
      <c r="AE22" s="66">
        <v>0.8</v>
      </c>
      <c r="AF22" s="66">
        <v>1</v>
      </c>
      <c r="AG22" s="70"/>
      <c r="AH22" s="70"/>
      <c r="AI22" s="70"/>
    </row>
    <row r="23" spans="1:35" ht="87" customHeight="1">
      <c r="A23" s="3"/>
      <c r="B23" s="996" t="s">
        <v>561</v>
      </c>
      <c r="C23" s="996"/>
      <c r="D23" s="996"/>
      <c r="E23" s="609" t="s">
        <v>720</v>
      </c>
      <c r="F23" s="609" t="s">
        <v>721</v>
      </c>
      <c r="G23" s="993">
        <v>0.98</v>
      </c>
      <c r="H23" s="994"/>
      <c r="I23" s="994"/>
      <c r="J23" s="994"/>
      <c r="K23" s="995"/>
      <c r="L23" s="969" t="s">
        <v>716</v>
      </c>
      <c r="M23" s="970"/>
      <c r="N23" s="970"/>
      <c r="O23" s="970"/>
      <c r="P23" s="970"/>
      <c r="Q23" s="970"/>
      <c r="S23" s="68"/>
      <c r="T23" s="69" t="str">
        <f>"de "&amp;T21&amp;" a "&amp;T22</f>
        <v>de 0 a 0,3</v>
      </c>
      <c r="U23" s="69" t="str">
        <f>"de "&amp;U21&amp;" a "&amp;U22</f>
        <v>de 0,3 a 0,6</v>
      </c>
      <c r="V23" s="69" t="str">
        <f>"de "&amp;V21&amp;" a "&amp;V22</f>
        <v>de 0,6 a 0,9</v>
      </c>
      <c r="W23" s="69" t="str">
        <f>"de "&amp;W21&amp;" a "&amp;W22</f>
        <v>de 0,9 a 1</v>
      </c>
      <c r="X23" s="69" t="str">
        <f>"de "&amp;X21&amp;" a "&amp;X22</f>
        <v>de 1 a 2</v>
      </c>
      <c r="Y23" s="70"/>
      <c r="Z23" s="70" t="s">
        <v>75</v>
      </c>
      <c r="AA23" s="68" t="s">
        <v>74</v>
      </c>
      <c r="AB23" s="69" t="str">
        <f>"de "&amp;AB21&amp;" a "&amp;AB22</f>
        <v>de 0 a 0,2</v>
      </c>
      <c r="AC23" s="69" t="str">
        <f>"de "&amp;AC21&amp;" a "&amp;AC22</f>
        <v>de 0,2 a 0,4</v>
      </c>
      <c r="AD23" s="69" t="str">
        <f>"de "&amp;AD21&amp;" a "&amp;AD22</f>
        <v>de 0,4 a 0,6</v>
      </c>
      <c r="AE23" s="69" t="str">
        <f>"de "&amp;AE21&amp;" a "&amp;AE22</f>
        <v>de 0,6 a 0,8</v>
      </c>
      <c r="AF23" s="69" t="str">
        <f>"de "&amp;AF21&amp;" a "&amp;AF22</f>
        <v>de 0,8 a 1</v>
      </c>
      <c r="AG23" s="70"/>
      <c r="AH23" s="70"/>
      <c r="AI23" s="70"/>
    </row>
    <row r="24" spans="1:35" ht="92.25" customHeight="1">
      <c r="A24" s="3"/>
      <c r="B24" s="997" t="s">
        <v>493</v>
      </c>
      <c r="C24" s="998"/>
      <c r="D24" s="999"/>
      <c r="E24" s="609" t="s">
        <v>722</v>
      </c>
      <c r="F24" s="609" t="s">
        <v>723</v>
      </c>
      <c r="G24" s="993">
        <v>1.2</v>
      </c>
      <c r="H24" s="994"/>
      <c r="I24" s="994"/>
      <c r="J24" s="994"/>
      <c r="K24" s="995"/>
      <c r="L24" s="1000" t="s">
        <v>717</v>
      </c>
      <c r="M24" s="1000"/>
      <c r="N24" s="1000"/>
      <c r="O24" s="1000"/>
      <c r="P24" s="1000"/>
      <c r="Q24" s="1000"/>
      <c r="S24" s="68"/>
      <c r="T24" s="66" t="e">
        <f t="shared" ref="T24:W26" si="0">IF($K22&gt;T$21,IF($K22&lt;=T$22,$K22,NA()),NA())</f>
        <v>#N/A</v>
      </c>
      <c r="U24" s="66" t="e">
        <f t="shared" si="0"/>
        <v>#N/A</v>
      </c>
      <c r="V24" s="66" t="e">
        <f t="shared" si="0"/>
        <v>#N/A</v>
      </c>
      <c r="W24" s="66" t="e">
        <f t="shared" si="0"/>
        <v>#N/A</v>
      </c>
      <c r="X24" s="66" t="e">
        <f>IF($K22&gt;X$21,IF($K22&lt;=X$22,1,NA()),NA())</f>
        <v>#N/A</v>
      </c>
      <c r="Y24" s="70"/>
      <c r="Z24" s="179" t="e">
        <f>+'[2]Сведения о гранте'!#REF!</f>
        <v>#REF!</v>
      </c>
      <c r="AA24" s="66" t="e">
        <f>+IF(Z24="A1",1,IF(Z24="A2",0.8,IF(Z24="B1",0.6,IF(Z24="B2",0.4,0.2))))</f>
        <v>#REF!</v>
      </c>
      <c r="AB24" s="66" t="e">
        <f>IF($AA24&gt;AB$21,IF($AA24&lt;=AB$22,$AA24,NA()),NA())</f>
        <v>#REF!</v>
      </c>
      <c r="AC24" s="66" t="e">
        <f t="shared" ref="AC24:AF26" si="1">IF($AA24&gt;AC$21,IF($AA24&lt;=AC$22,$AA24,NA()),NA())</f>
        <v>#REF!</v>
      </c>
      <c r="AD24" s="66" t="e">
        <f t="shared" si="1"/>
        <v>#REF!</v>
      </c>
      <c r="AE24" s="66" t="e">
        <f t="shared" si="1"/>
        <v>#REF!</v>
      </c>
      <c r="AF24" s="66" t="e">
        <f t="shared" si="1"/>
        <v>#REF!</v>
      </c>
      <c r="AG24" s="70"/>
      <c r="AH24" s="70"/>
      <c r="AI24" s="70"/>
    </row>
    <row r="25" spans="1:35" ht="177.75" customHeight="1">
      <c r="A25" s="3"/>
      <c r="B25" s="1004" t="s">
        <v>505</v>
      </c>
      <c r="C25" s="1005"/>
      <c r="D25" s="1006"/>
      <c r="E25" s="530" t="s">
        <v>724</v>
      </c>
      <c r="F25" s="530" t="s">
        <v>688</v>
      </c>
      <c r="G25" s="993">
        <v>0.71</v>
      </c>
      <c r="H25" s="994"/>
      <c r="I25" s="994"/>
      <c r="J25" s="994"/>
      <c r="K25" s="995"/>
      <c r="L25" s="1000" t="s">
        <v>727</v>
      </c>
      <c r="M25" s="1000"/>
      <c r="N25" s="1000"/>
      <c r="O25" s="1000"/>
      <c r="P25" s="1000"/>
      <c r="Q25" s="1000"/>
      <c r="R25" s="415"/>
      <c r="S25" s="68"/>
      <c r="T25" s="66" t="e">
        <f t="shared" si="0"/>
        <v>#N/A</v>
      </c>
      <c r="U25" s="66" t="e">
        <f t="shared" si="0"/>
        <v>#N/A</v>
      </c>
      <c r="V25" s="66" t="e">
        <f t="shared" si="0"/>
        <v>#N/A</v>
      </c>
      <c r="W25" s="66" t="e">
        <f t="shared" si="0"/>
        <v>#N/A</v>
      </c>
      <c r="X25" s="66" t="e">
        <f>IF($K23&gt;X$21,IF($K23&lt;=X$22,1,1),NA())</f>
        <v>#N/A</v>
      </c>
      <c r="Y25" s="70"/>
      <c r="Z25" s="179" t="e">
        <f>+'[2]Сведения о гранте'!#REF!</f>
        <v>#REF!</v>
      </c>
      <c r="AA25" s="66" t="e">
        <f>+IF(Z25="A1",1,IF(Z25="A2",0.8,IF(Z25="B1",0.6,IF(Z25="B2",0.4,0.2))))</f>
        <v>#REF!</v>
      </c>
      <c r="AB25" s="66" t="e">
        <f>IF($AA25&gt;AB$21,IF($AA25&lt;=AB$22,$AA25,NA()),NA())</f>
        <v>#REF!</v>
      </c>
      <c r="AC25" s="66" t="e">
        <f t="shared" si="1"/>
        <v>#REF!</v>
      </c>
      <c r="AD25" s="66" t="e">
        <f t="shared" si="1"/>
        <v>#REF!</v>
      </c>
      <c r="AE25" s="66" t="e">
        <f t="shared" si="1"/>
        <v>#REF!</v>
      </c>
      <c r="AF25" s="66" t="e">
        <f t="shared" si="1"/>
        <v>#REF!</v>
      </c>
      <c r="AG25" s="70"/>
      <c r="AH25" s="70"/>
      <c r="AI25" s="70"/>
    </row>
    <row r="26" spans="1:35" ht="84.75" customHeight="1">
      <c r="A26" s="3"/>
      <c r="B26" s="990" t="s">
        <v>511</v>
      </c>
      <c r="C26" s="991"/>
      <c r="D26" s="992"/>
      <c r="E26" s="531" t="s">
        <v>690</v>
      </c>
      <c r="F26" s="531" t="s">
        <v>691</v>
      </c>
      <c r="G26" s="993">
        <v>1.1399999999999999</v>
      </c>
      <c r="H26" s="994"/>
      <c r="I26" s="994"/>
      <c r="J26" s="994"/>
      <c r="K26" s="995"/>
      <c r="L26" s="1000" t="s">
        <v>728</v>
      </c>
      <c r="M26" s="1000"/>
      <c r="N26" s="1000"/>
      <c r="O26" s="1000"/>
      <c r="P26" s="1000"/>
      <c r="Q26" s="1000"/>
      <c r="R26" s="608"/>
      <c r="S26" s="68"/>
      <c r="T26" s="66" t="e">
        <f t="shared" si="0"/>
        <v>#N/A</v>
      </c>
      <c r="U26" s="66" t="e">
        <f t="shared" si="0"/>
        <v>#N/A</v>
      </c>
      <c r="V26" s="66" t="e">
        <f t="shared" si="0"/>
        <v>#N/A</v>
      </c>
      <c r="W26" s="66" t="e">
        <f t="shared" si="0"/>
        <v>#N/A</v>
      </c>
      <c r="X26" s="66" t="e">
        <f>IF($K24&gt;X$21,IF($K24&lt;=X$22,1,NA()),NA())</f>
        <v>#N/A</v>
      </c>
      <c r="Y26" s="70"/>
      <c r="Z26" s="179" t="e">
        <f>+'[2]Сведения о гранте'!#REF!</f>
        <v>#REF!</v>
      </c>
      <c r="AA26" s="66" t="e">
        <f>+IF(Z26="A1",1,IF(Z26="A2",0.8,IF(Z26="B1",0.6,IF(Z26="B2",0.4,0.2))))</f>
        <v>#REF!</v>
      </c>
      <c r="AB26" s="66" t="e">
        <f>IF($AA26&gt;AB$21,IF($AA26&lt;=AB$22,$AA26,NA()),NA())</f>
        <v>#REF!</v>
      </c>
      <c r="AC26" s="66" t="e">
        <f t="shared" si="1"/>
        <v>#REF!</v>
      </c>
      <c r="AD26" s="66" t="e">
        <f t="shared" si="1"/>
        <v>#REF!</v>
      </c>
      <c r="AE26" s="66" t="e">
        <f t="shared" si="1"/>
        <v>#REF!</v>
      </c>
      <c r="AF26" s="66" t="e">
        <f t="shared" si="1"/>
        <v>#REF!</v>
      </c>
      <c r="AG26" s="70"/>
      <c r="AH26" s="70"/>
      <c r="AI26" s="70"/>
    </row>
    <row r="27" spans="1:35" ht="303" customHeight="1">
      <c r="A27" s="3"/>
      <c r="B27" s="990" t="s">
        <v>515</v>
      </c>
      <c r="C27" s="991"/>
      <c r="D27" s="992"/>
      <c r="E27" s="531" t="s">
        <v>693</v>
      </c>
      <c r="F27" s="531" t="s">
        <v>694</v>
      </c>
      <c r="G27" s="993">
        <v>0.79</v>
      </c>
      <c r="H27" s="994"/>
      <c r="I27" s="994"/>
      <c r="J27" s="994"/>
      <c r="K27" s="995"/>
      <c r="L27" s="1000" t="s">
        <v>729</v>
      </c>
      <c r="M27" s="1000"/>
      <c r="N27" s="1000"/>
      <c r="O27" s="1000"/>
      <c r="P27" s="1000"/>
      <c r="Q27" s="1000"/>
      <c r="R27" s="608"/>
      <c r="S27" s="68"/>
      <c r="T27" s="66"/>
      <c r="U27" s="66"/>
      <c r="V27" s="66"/>
      <c r="W27" s="66"/>
      <c r="X27" s="66"/>
      <c r="Y27" s="70"/>
      <c r="Z27" s="179"/>
      <c r="AA27" s="532"/>
      <c r="AB27" s="532"/>
      <c r="AC27" s="532"/>
      <c r="AD27" s="532"/>
      <c r="AE27" s="532"/>
      <c r="AF27" s="532"/>
      <c r="AG27" s="70"/>
      <c r="AH27" s="70"/>
      <c r="AI27" s="70"/>
    </row>
    <row r="28" spans="1:35" ht="84.75" customHeight="1">
      <c r="A28" s="3"/>
      <c r="B28" s="990" t="s">
        <v>522</v>
      </c>
      <c r="C28" s="991"/>
      <c r="D28" s="992"/>
      <c r="E28" s="531" t="s">
        <v>696</v>
      </c>
      <c r="F28" s="531" t="s">
        <v>725</v>
      </c>
      <c r="G28" s="993">
        <v>1.2</v>
      </c>
      <c r="H28" s="994"/>
      <c r="I28" s="994"/>
      <c r="J28" s="994"/>
      <c r="K28" s="995"/>
      <c r="L28" s="1001" t="s">
        <v>730</v>
      </c>
      <c r="M28" s="1002"/>
      <c r="N28" s="1002"/>
      <c r="O28" s="1002"/>
      <c r="P28" s="1002"/>
      <c r="Q28" s="1003"/>
      <c r="R28" s="608"/>
      <c r="S28" s="68"/>
      <c r="T28" s="66" t="e">
        <f t="shared" ref="T28:W29" si="2">IF($K25&gt;T$21,IF($K25&lt;=T$22,$K25,NA()),NA())</f>
        <v>#N/A</v>
      </c>
      <c r="U28" s="66" t="e">
        <f t="shared" si="2"/>
        <v>#N/A</v>
      </c>
      <c r="V28" s="66" t="e">
        <f t="shared" si="2"/>
        <v>#N/A</v>
      </c>
      <c r="W28" s="66" t="e">
        <f t="shared" si="2"/>
        <v>#N/A</v>
      </c>
      <c r="X28" s="66" t="e">
        <f>IF($K25&gt;X$21,IF($K25&lt;=X$22,1,NA()),NA())</f>
        <v>#N/A</v>
      </c>
      <c r="Y28" s="70"/>
      <c r="Z28" s="70"/>
      <c r="AA28" s="70"/>
      <c r="AB28" s="70"/>
      <c r="AC28" s="70"/>
      <c r="AD28" s="70"/>
      <c r="AE28" s="70"/>
      <c r="AF28" s="70"/>
      <c r="AG28" s="70"/>
      <c r="AH28" s="70"/>
      <c r="AI28" s="70"/>
    </row>
    <row r="29" spans="1:35" ht="93.75" customHeight="1">
      <c r="A29" s="3"/>
      <c r="B29" s="974" t="s">
        <v>508</v>
      </c>
      <c r="C29" s="1011"/>
      <c r="D29" s="1012"/>
      <c r="E29" s="533" t="s">
        <v>698</v>
      </c>
      <c r="F29" s="533" t="s">
        <v>699</v>
      </c>
      <c r="G29" s="1024">
        <v>1.1399999999999999</v>
      </c>
      <c r="H29" s="1025"/>
      <c r="I29" s="1025"/>
      <c r="J29" s="1025"/>
      <c r="K29" s="1026"/>
      <c r="L29" s="1001" t="s">
        <v>739</v>
      </c>
      <c r="M29" s="1005"/>
      <c r="N29" s="1005"/>
      <c r="O29" s="1005"/>
      <c r="P29" s="1005"/>
      <c r="Q29" s="1006"/>
      <c r="R29" s="608"/>
      <c r="S29" s="68"/>
      <c r="T29" s="66" t="e">
        <f t="shared" si="2"/>
        <v>#N/A</v>
      </c>
      <c r="U29" s="66" t="e">
        <f t="shared" si="2"/>
        <v>#N/A</v>
      </c>
      <c r="V29" s="66" t="e">
        <f t="shared" si="2"/>
        <v>#N/A</v>
      </c>
      <c r="W29" s="66" t="e">
        <f t="shared" si="2"/>
        <v>#N/A</v>
      </c>
      <c r="X29" s="66" t="e">
        <f>IF($K26&gt;X$21,IF($K26&lt;=X$22,1,NA()),NA())</f>
        <v>#N/A</v>
      </c>
      <c r="Y29" s="70"/>
      <c r="Z29" s="70"/>
      <c r="AA29" s="70"/>
      <c r="AB29" s="70"/>
      <c r="AC29" s="70"/>
      <c r="AD29" s="70"/>
      <c r="AE29" s="70"/>
      <c r="AF29" s="70"/>
      <c r="AG29" s="70"/>
      <c r="AH29" s="70"/>
      <c r="AI29" s="70"/>
    </row>
    <row r="30" spans="1:35" ht="107.25" customHeight="1">
      <c r="A30" s="3"/>
      <c r="B30" s="974" t="s">
        <v>519</v>
      </c>
      <c r="C30" s="1011"/>
      <c r="D30" s="1012"/>
      <c r="E30" s="533" t="s">
        <v>700</v>
      </c>
      <c r="F30" s="533" t="s">
        <v>701</v>
      </c>
      <c r="G30" s="1024">
        <v>0.95</v>
      </c>
      <c r="H30" s="1025"/>
      <c r="I30" s="1025"/>
      <c r="J30" s="1025"/>
      <c r="K30" s="1026"/>
      <c r="L30" s="1001" t="s">
        <v>731</v>
      </c>
      <c r="M30" s="1005"/>
      <c r="N30" s="1005"/>
      <c r="O30" s="1005"/>
      <c r="P30" s="1005"/>
      <c r="Q30" s="1006"/>
      <c r="R30" s="608"/>
      <c r="S30" s="68"/>
      <c r="T30" s="66"/>
      <c r="U30" s="66"/>
      <c r="V30" s="66"/>
      <c r="W30" s="66"/>
      <c r="X30" s="66"/>
      <c r="Y30" s="70"/>
      <c r="Z30" s="70"/>
      <c r="AA30" s="70"/>
      <c r="AB30" s="70"/>
      <c r="AC30" s="70"/>
      <c r="AD30" s="70"/>
      <c r="AE30" s="70"/>
      <c r="AF30" s="70"/>
      <c r="AG30" s="70"/>
      <c r="AH30" s="70"/>
      <c r="AI30" s="70"/>
    </row>
    <row r="31" spans="1:35" ht="88.5" customHeight="1">
      <c r="A31" s="3"/>
      <c r="B31" s="974" t="s">
        <v>525</v>
      </c>
      <c r="C31" s="975"/>
      <c r="D31" s="976"/>
      <c r="E31" s="533" t="s">
        <v>703</v>
      </c>
      <c r="F31" s="533" t="s">
        <v>704</v>
      </c>
      <c r="G31" s="1053">
        <v>1.05</v>
      </c>
      <c r="H31" s="1054"/>
      <c r="I31" s="1054"/>
      <c r="J31" s="1054"/>
      <c r="K31" s="1055"/>
      <c r="L31" s="1001" t="s">
        <v>732</v>
      </c>
      <c r="M31" s="1005"/>
      <c r="N31" s="1005"/>
      <c r="O31" s="1005"/>
      <c r="P31" s="1005"/>
      <c r="Q31" s="1006"/>
      <c r="R31" s="608"/>
      <c r="S31" s="68"/>
      <c r="T31" s="66"/>
      <c r="U31" s="66"/>
      <c r="V31" s="66"/>
      <c r="W31" s="66"/>
      <c r="X31" s="66"/>
      <c r="Y31" s="70"/>
      <c r="Z31" s="70"/>
      <c r="AA31" s="70"/>
      <c r="AB31" s="70"/>
      <c r="AC31" s="70"/>
      <c r="AD31" s="70"/>
      <c r="AE31" s="70"/>
      <c r="AF31" s="70"/>
      <c r="AG31" s="70"/>
      <c r="AH31" s="70"/>
      <c r="AI31" s="70"/>
    </row>
    <row r="32" spans="1:35" ht="70.5" customHeight="1">
      <c r="A32" s="3"/>
      <c r="B32" s="974" t="s">
        <v>528</v>
      </c>
      <c r="C32" s="975"/>
      <c r="D32" s="976"/>
      <c r="E32" s="530">
        <v>0.93</v>
      </c>
      <c r="F32" s="530">
        <v>0.97</v>
      </c>
      <c r="G32" s="971">
        <v>1.04</v>
      </c>
      <c r="H32" s="972"/>
      <c r="I32" s="972"/>
      <c r="J32" s="972"/>
      <c r="K32" s="973"/>
      <c r="L32" s="969" t="s">
        <v>733</v>
      </c>
      <c r="M32" s="970"/>
      <c r="N32" s="970"/>
      <c r="O32" s="970"/>
      <c r="P32" s="970"/>
      <c r="Q32" s="970"/>
      <c r="R32" s="608"/>
      <c r="S32" s="68"/>
      <c r="T32" s="66" t="e">
        <f t="shared" ref="T32:W33" si="3">IF($K28&gt;T$21,IF($K28&lt;=T$22,$K28,NA()),NA())</f>
        <v>#N/A</v>
      </c>
      <c r="U32" s="66" t="e">
        <f t="shared" si="3"/>
        <v>#N/A</v>
      </c>
      <c r="V32" s="66" t="e">
        <f t="shared" si="3"/>
        <v>#N/A</v>
      </c>
      <c r="W32" s="66" t="e">
        <f t="shared" si="3"/>
        <v>#N/A</v>
      </c>
      <c r="X32" s="66" t="e">
        <f>IF($K28&gt;X$21,IF($K28&lt;=X$22,1,NA()),NA())</f>
        <v>#N/A</v>
      </c>
      <c r="Y32" s="70"/>
      <c r="Z32" s="70"/>
      <c r="AA32" s="70"/>
      <c r="AB32" s="70"/>
      <c r="AC32" s="70"/>
      <c r="AD32" s="70"/>
      <c r="AE32" s="70"/>
      <c r="AF32" s="70"/>
      <c r="AG32" s="70"/>
      <c r="AH32" s="70"/>
      <c r="AI32" s="70"/>
    </row>
    <row r="33" spans="1:35" ht="89.25" customHeight="1">
      <c r="A33" s="3"/>
      <c r="B33" s="974" t="s">
        <v>532</v>
      </c>
      <c r="C33" s="975"/>
      <c r="D33" s="976"/>
      <c r="E33" s="530">
        <v>0.9</v>
      </c>
      <c r="F33" s="530">
        <v>0.93</v>
      </c>
      <c r="G33" s="971">
        <v>1.03</v>
      </c>
      <c r="H33" s="972"/>
      <c r="I33" s="972"/>
      <c r="J33" s="972"/>
      <c r="K33" s="973"/>
      <c r="L33" s="969" t="s">
        <v>734</v>
      </c>
      <c r="M33" s="970"/>
      <c r="N33" s="970"/>
      <c r="O33" s="970"/>
      <c r="P33" s="970"/>
      <c r="Q33" s="970"/>
      <c r="R33" s="608"/>
      <c r="S33" s="68"/>
      <c r="T33" s="66" t="e">
        <f t="shared" si="3"/>
        <v>#N/A</v>
      </c>
      <c r="U33" s="66" t="e">
        <f t="shared" si="3"/>
        <v>#N/A</v>
      </c>
      <c r="V33" s="66" t="e">
        <f t="shared" si="3"/>
        <v>#N/A</v>
      </c>
      <c r="W33" s="66" t="e">
        <f t="shared" si="3"/>
        <v>#N/A</v>
      </c>
      <c r="X33" s="66" t="e">
        <f>IF($K29&gt;X$21,IF($K29&lt;=X$22,1,NA()),NA())</f>
        <v>#N/A</v>
      </c>
      <c r="Y33" s="70"/>
      <c r="Z33" s="70"/>
      <c r="AA33" s="70"/>
      <c r="AB33" s="70"/>
      <c r="AC33" s="70"/>
      <c r="AD33" s="70"/>
      <c r="AE33" s="70"/>
      <c r="AF33" s="70"/>
      <c r="AG33" s="70"/>
      <c r="AH33" s="70"/>
      <c r="AI33" s="70"/>
    </row>
    <row r="34" spans="1:35" ht="89.25" customHeight="1">
      <c r="A34" s="3"/>
      <c r="B34" s="974" t="s">
        <v>536</v>
      </c>
      <c r="C34" s="975"/>
      <c r="D34" s="976"/>
      <c r="E34" s="530">
        <v>0.9</v>
      </c>
      <c r="F34" s="530">
        <v>0.86</v>
      </c>
      <c r="G34" s="971">
        <v>0.96</v>
      </c>
      <c r="H34" s="972"/>
      <c r="I34" s="972"/>
      <c r="J34" s="972"/>
      <c r="K34" s="973"/>
      <c r="L34" s="969" t="s">
        <v>735</v>
      </c>
      <c r="M34" s="970"/>
      <c r="N34" s="970"/>
      <c r="O34" s="970"/>
      <c r="P34" s="970"/>
      <c r="Q34" s="970"/>
      <c r="R34" s="608"/>
      <c r="S34" s="68"/>
      <c r="T34" s="66" t="e">
        <f>IF($K33&gt;T$21,IF($K33&lt;=T$22,$K33,NA()),NA())</f>
        <v>#N/A</v>
      </c>
      <c r="U34" s="66" t="e">
        <f>IF($K33&gt;U$21,IF($K33&lt;=U$22,$K33,NA()),NA())</f>
        <v>#N/A</v>
      </c>
      <c r="V34" s="66" t="e">
        <f>IF($K33&gt;V$21,IF($K33&lt;=V$22,$K33,NA()),NA())</f>
        <v>#N/A</v>
      </c>
      <c r="W34" s="66" t="e">
        <f>IF($K33&gt;W$21,IF($K33&lt;=W$22,$K33,NA()),NA())</f>
        <v>#N/A</v>
      </c>
      <c r="X34" s="66" t="e">
        <f>IF($K33&gt;X$21,IF($K33&lt;=X$22,1,NA()),NA())</f>
        <v>#N/A</v>
      </c>
      <c r="Y34" s="70"/>
      <c r="Z34" s="70"/>
      <c r="AA34" s="70"/>
      <c r="AB34" s="70"/>
      <c r="AC34" s="70"/>
      <c r="AD34" s="70"/>
      <c r="AE34" s="70"/>
      <c r="AF34" s="70"/>
      <c r="AG34" s="70"/>
      <c r="AH34" s="70"/>
      <c r="AI34" s="70"/>
    </row>
    <row r="35" spans="1:35" ht="63" customHeight="1">
      <c r="A35" s="3"/>
      <c r="B35" s="974" t="s">
        <v>598</v>
      </c>
      <c r="C35" s="975"/>
      <c r="D35" s="976"/>
      <c r="E35" s="533">
        <v>350</v>
      </c>
      <c r="F35" s="533">
        <v>497</v>
      </c>
      <c r="G35" s="971">
        <v>1.2</v>
      </c>
      <c r="H35" s="972"/>
      <c r="I35" s="972"/>
      <c r="J35" s="972"/>
      <c r="K35" s="973"/>
      <c r="L35" s="969" t="s">
        <v>736</v>
      </c>
      <c r="M35" s="970"/>
      <c r="N35" s="970"/>
      <c r="O35" s="970"/>
      <c r="P35" s="970"/>
      <c r="Q35" s="970"/>
      <c r="R35" s="608"/>
      <c r="S35" s="68"/>
      <c r="T35" s="66" t="e">
        <f>IF(#REF!&gt;T$21,IF(#REF!&lt;=T$22,#REF!,NA()),NA())</f>
        <v>#REF!</v>
      </c>
      <c r="U35" s="66" t="e">
        <f>IF(#REF!&gt;U$21,IF(#REF!&lt;=U$22,#REF!,NA()),NA())</f>
        <v>#REF!</v>
      </c>
      <c r="V35" s="66" t="e">
        <f>IF(#REF!&gt;V$21,IF(#REF!&lt;=V$22,#REF!,NA()),NA())</f>
        <v>#REF!</v>
      </c>
      <c r="W35" s="66" t="e">
        <f>IF(#REF!&gt;W$21,IF(#REF!&lt;=W$22,#REF!,NA()),NA())</f>
        <v>#REF!</v>
      </c>
      <c r="X35" s="66" t="e">
        <f>IF(#REF!&gt;X$21,IF(#REF!&lt;=X$22,1,NA()),NA())</f>
        <v>#REF!</v>
      </c>
      <c r="Y35" s="70"/>
      <c r="Z35" s="70"/>
      <c r="AA35" s="70"/>
      <c r="AB35" s="70"/>
      <c r="AC35" s="70"/>
      <c r="AD35" s="70"/>
      <c r="AE35" s="70"/>
      <c r="AF35" s="70"/>
      <c r="AG35" s="70"/>
      <c r="AH35" s="70"/>
      <c r="AI35" s="70"/>
    </row>
    <row r="36" spans="1:35" ht="60.75" customHeight="1">
      <c r="A36" s="3"/>
      <c r="B36" s="974" t="s">
        <v>550</v>
      </c>
      <c r="C36" s="975"/>
      <c r="D36" s="976"/>
      <c r="E36" s="533">
        <v>24</v>
      </c>
      <c r="F36" s="533">
        <v>22</v>
      </c>
      <c r="G36" s="971">
        <v>0.92</v>
      </c>
      <c r="H36" s="972"/>
      <c r="I36" s="972"/>
      <c r="J36" s="972"/>
      <c r="K36" s="973"/>
      <c r="L36" s="969" t="s">
        <v>737</v>
      </c>
      <c r="M36" s="970"/>
      <c r="N36" s="970"/>
      <c r="O36" s="970"/>
      <c r="P36" s="970"/>
      <c r="Q36" s="970"/>
      <c r="R36" s="608"/>
      <c r="S36" s="68"/>
      <c r="T36" s="66" t="e">
        <f>IF($K33&gt;T$21,IF($K33&lt;=T$22,$K33,NA()),NA())</f>
        <v>#N/A</v>
      </c>
      <c r="U36" s="66" t="e">
        <f>IF($K33&gt;U$21,IF($K33&lt;=U$22,$K33,NA()),NA())</f>
        <v>#N/A</v>
      </c>
      <c r="V36" s="66" t="e">
        <f>IF($K33&gt;V$21,IF($K33&lt;=V$22,$K33,NA()),NA())</f>
        <v>#N/A</v>
      </c>
      <c r="W36" s="66" t="e">
        <f>IF($K33&gt;W$21,IF($K33&lt;=W$22,$K33,NA()),NA())</f>
        <v>#N/A</v>
      </c>
      <c r="X36" s="66" t="e">
        <f>IF($K33&gt;X$21,IF($K33&lt;=X$22,1,NA()),NA())</f>
        <v>#N/A</v>
      </c>
      <c r="Y36" s="70"/>
      <c r="Z36" s="70"/>
      <c r="AA36" s="70"/>
      <c r="AB36" s="70"/>
      <c r="AC36" s="70"/>
      <c r="AD36" s="70"/>
      <c r="AE36" s="70"/>
      <c r="AF36" s="70"/>
      <c r="AG36" s="70"/>
      <c r="AH36" s="70"/>
      <c r="AI36" s="70"/>
    </row>
    <row r="37" spans="1:35" ht="70.5" customHeight="1">
      <c r="A37" s="3"/>
      <c r="B37" s="974" t="s">
        <v>667</v>
      </c>
      <c r="C37" s="975"/>
      <c r="D37" s="976"/>
      <c r="E37" s="533" t="s">
        <v>712</v>
      </c>
      <c r="F37" s="533" t="s">
        <v>726</v>
      </c>
      <c r="G37" s="971">
        <v>0.85</v>
      </c>
      <c r="H37" s="972"/>
      <c r="I37" s="972"/>
      <c r="J37" s="972"/>
      <c r="K37" s="973"/>
      <c r="L37" s="969" t="s">
        <v>738</v>
      </c>
      <c r="M37" s="970"/>
      <c r="N37" s="970"/>
      <c r="O37" s="970"/>
      <c r="P37" s="970"/>
      <c r="Q37" s="970"/>
      <c r="R37" s="608"/>
      <c r="S37" s="68"/>
      <c r="T37" s="66" t="e">
        <f t="shared" ref="T37:W38" si="4">IF($K35&gt;T$21,IF($K35&lt;=T$22,$K35,NA()),NA())</f>
        <v>#N/A</v>
      </c>
      <c r="U37" s="66" t="e">
        <f t="shared" si="4"/>
        <v>#N/A</v>
      </c>
      <c r="V37" s="66" t="e">
        <f t="shared" si="4"/>
        <v>#N/A</v>
      </c>
      <c r="W37" s="66" t="e">
        <f t="shared" si="4"/>
        <v>#N/A</v>
      </c>
      <c r="X37" s="66" t="e">
        <f>IF($K35&gt;X$21,IF($K35&lt;=X$22,1,NA()),NA())</f>
        <v>#N/A</v>
      </c>
      <c r="Y37" s="70"/>
      <c r="Z37" s="70"/>
      <c r="AA37" s="70"/>
      <c r="AB37" s="70"/>
      <c r="AC37" s="70"/>
      <c r="AD37" s="70"/>
      <c r="AE37" s="70"/>
      <c r="AF37" s="70"/>
      <c r="AG37" s="70"/>
      <c r="AH37" s="70"/>
      <c r="AI37" s="70"/>
    </row>
    <row r="38" spans="1:35" ht="96" customHeight="1">
      <c r="A38" s="3"/>
      <c r="B38" s="974" t="s">
        <v>668</v>
      </c>
      <c r="C38" s="975"/>
      <c r="D38" s="976"/>
      <c r="E38" s="533"/>
      <c r="F38" s="533" t="s">
        <v>711</v>
      </c>
      <c r="G38" s="971"/>
      <c r="H38" s="972"/>
      <c r="I38" s="972"/>
      <c r="J38" s="972"/>
      <c r="K38" s="973"/>
      <c r="L38" s="969" t="s">
        <v>787</v>
      </c>
      <c r="M38" s="970"/>
      <c r="N38" s="970"/>
      <c r="O38" s="970"/>
      <c r="P38" s="970"/>
      <c r="Q38" s="970"/>
      <c r="R38" s="608"/>
      <c r="S38" s="68"/>
      <c r="T38" s="66" t="e">
        <f t="shared" si="4"/>
        <v>#N/A</v>
      </c>
      <c r="U38" s="66" t="e">
        <f t="shared" si="4"/>
        <v>#N/A</v>
      </c>
      <c r="V38" s="66" t="e">
        <f t="shared" si="4"/>
        <v>#N/A</v>
      </c>
      <c r="W38" s="66" t="e">
        <f t="shared" si="4"/>
        <v>#N/A</v>
      </c>
      <c r="X38" s="66" t="e">
        <f>IF($K36&gt;X$21,IF($K36&lt;=X$22,1,NA()),NA())</f>
        <v>#N/A</v>
      </c>
      <c r="Y38" s="70"/>
      <c r="Z38" s="70"/>
      <c r="AA38" s="70"/>
      <c r="AB38" s="70"/>
      <c r="AC38" s="70"/>
      <c r="AD38" s="70"/>
      <c r="AE38" s="70"/>
      <c r="AF38" s="70"/>
      <c r="AG38" s="70"/>
      <c r="AH38" s="70"/>
      <c r="AI38" s="70"/>
    </row>
    <row r="40" spans="1:35" ht="18.75">
      <c r="E40" s="605"/>
      <c r="F40" s="977" t="s">
        <v>626</v>
      </c>
      <c r="G40" s="978"/>
      <c r="H40" s="978"/>
      <c r="I40" s="978"/>
      <c r="J40" s="978"/>
      <c r="K40" s="978"/>
      <c r="L40" s="978"/>
      <c r="M40" s="978"/>
    </row>
    <row r="41" spans="1:35" ht="18.75" customHeight="1" thickBot="1">
      <c r="A41" s="3"/>
      <c r="B41" s="984" t="str">
        <f>+'Ввод данных'!A218</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C41" s="984"/>
      <c r="D41" s="984"/>
      <c r="E41" s="984"/>
      <c r="F41" s="984" t="str">
        <f>+'Ввод данных'!A220</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G41" s="984"/>
      <c r="H41" s="984"/>
      <c r="I41" s="984"/>
      <c r="J41" s="984"/>
      <c r="K41" s="984"/>
      <c r="L41" s="984" t="str">
        <f>+'Ввод данных'!A222</f>
        <v xml:space="preserve">MDR TB-1: Процент ранее леченных ТБ пациентов, прошедших ТЛЧ (только бактериологически положительные случаи) </v>
      </c>
      <c r="M41" s="984"/>
      <c r="N41" s="984"/>
      <c r="O41" s="984"/>
      <c r="P41" s="984"/>
      <c r="Q41" s="984"/>
      <c r="S41" s="201"/>
      <c r="T41" s="201"/>
      <c r="U41" s="201"/>
      <c r="V41" s="201"/>
      <c r="W41" s="201"/>
      <c r="X41" s="201"/>
      <c r="Y41" s="70"/>
      <c r="Z41" s="70"/>
      <c r="AA41" s="70"/>
      <c r="AB41" s="70"/>
      <c r="AC41" s="70"/>
      <c r="AD41" s="201"/>
      <c r="AE41" s="201"/>
      <c r="AF41" s="201"/>
      <c r="AG41" s="201"/>
      <c r="AH41" s="201"/>
      <c r="AI41" s="201"/>
    </row>
    <row r="42" spans="1:35" ht="50.25" customHeight="1" thickBot="1">
      <c r="A42" s="3"/>
      <c r="B42" s="581" t="s">
        <v>435</v>
      </c>
      <c r="C42" s="981" t="s">
        <v>469</v>
      </c>
      <c r="D42" s="982"/>
      <c r="E42" s="1013"/>
      <c r="F42" s="586" t="s">
        <v>435</v>
      </c>
      <c r="G42" s="981" t="s">
        <v>470</v>
      </c>
      <c r="H42" s="982"/>
      <c r="I42" s="982"/>
      <c r="J42" s="982"/>
      <c r="K42" s="1013"/>
      <c r="L42" s="586" t="s">
        <v>435</v>
      </c>
      <c r="M42" s="981" t="s">
        <v>471</v>
      </c>
      <c r="N42" s="982"/>
      <c r="O42" s="982"/>
      <c r="P42" s="982"/>
      <c r="Q42" s="983"/>
      <c r="S42" s="201"/>
      <c r="T42" s="201"/>
      <c r="U42" s="201"/>
      <c r="V42" s="201"/>
      <c r="W42" s="201"/>
      <c r="X42" s="201"/>
      <c r="Y42" s="201"/>
      <c r="Z42" s="201"/>
      <c r="AA42" s="201"/>
      <c r="AB42" s="201"/>
      <c r="AC42" s="201"/>
      <c r="AD42" s="201"/>
      <c r="AE42" s="201"/>
      <c r="AF42" s="201"/>
      <c r="AG42" s="201"/>
      <c r="AH42" s="201"/>
      <c r="AI42" s="201"/>
    </row>
    <row r="43" spans="1:35" ht="18.75" customHeight="1">
      <c r="A43" s="3"/>
      <c r="B43" s="117"/>
      <c r="C43" s="117"/>
      <c r="D43" s="199"/>
      <c r="E43" s="199"/>
      <c r="F43" s="199"/>
      <c r="G43" s="199"/>
      <c r="H43" s="199"/>
      <c r="I43" s="199"/>
      <c r="J43" s="199"/>
      <c r="K43" s="199"/>
      <c r="L43" s="199"/>
      <c r="M43" s="3"/>
      <c r="N43" s="3"/>
      <c r="O43" s="183"/>
      <c r="P43" s="182"/>
      <c r="S43" s="201"/>
      <c r="T43" s="201"/>
      <c r="U43" s="201"/>
      <c r="V43" s="201"/>
      <c r="W43" s="201"/>
      <c r="X43" s="201"/>
      <c r="Y43" s="201"/>
      <c r="Z43" s="201"/>
      <c r="AA43" s="201"/>
      <c r="AB43" s="201"/>
      <c r="AC43" s="201"/>
      <c r="AD43" s="201"/>
      <c r="AE43" s="201"/>
      <c r="AF43" s="201"/>
      <c r="AG43" s="201"/>
      <c r="AH43" s="201"/>
      <c r="AI43" s="201"/>
    </row>
    <row r="44" spans="1:35" ht="18.75" customHeight="1">
      <c r="A44" s="3"/>
      <c r="B44" s="117"/>
      <c r="C44" s="117"/>
      <c r="D44" s="199"/>
      <c r="E44" s="199"/>
      <c r="F44" s="199"/>
      <c r="G44" s="199"/>
      <c r="H44" s="199"/>
      <c r="I44" s="199"/>
      <c r="J44" s="199"/>
      <c r="K44" s="199"/>
      <c r="L44" s="199"/>
      <c r="M44" s="3"/>
      <c r="N44" s="3"/>
      <c r="O44" s="183"/>
      <c r="P44" s="182"/>
      <c r="S44" s="201"/>
      <c r="T44" s="201"/>
      <c r="U44" s="201"/>
      <c r="V44" s="201"/>
      <c r="W44" s="201"/>
      <c r="X44" s="201"/>
      <c r="Y44" s="201"/>
      <c r="Z44" s="201"/>
      <c r="AA44" s="201"/>
      <c r="AB44" s="201"/>
      <c r="AC44" s="201"/>
      <c r="AD44" s="201"/>
      <c r="AE44" s="201"/>
      <c r="AF44" s="201"/>
      <c r="AG44" s="201"/>
      <c r="AH44" s="201"/>
      <c r="AI44" s="201"/>
    </row>
    <row r="45" spans="1:35" ht="18.75" customHeight="1">
      <c r="A45" s="3"/>
      <c r="B45" s="534"/>
      <c r="C45" s="534"/>
      <c r="D45" s="535"/>
      <c r="E45" s="535"/>
      <c r="F45" s="535"/>
      <c r="G45" s="535"/>
      <c r="H45" s="535"/>
      <c r="I45" s="535"/>
      <c r="J45" s="535"/>
      <c r="K45" s="535"/>
      <c r="L45" s="535"/>
      <c r="M45" s="3"/>
      <c r="N45" s="3"/>
      <c r="O45" s="183"/>
      <c r="P45" s="182"/>
      <c r="S45" s="201"/>
      <c r="T45" s="201"/>
      <c r="U45" s="201"/>
      <c r="V45" s="201"/>
      <c r="W45" s="201"/>
      <c r="X45" s="201"/>
      <c r="Y45" s="201"/>
      <c r="Z45" s="201"/>
      <c r="AA45" s="201"/>
      <c r="AB45" s="201"/>
      <c r="AC45" s="201"/>
      <c r="AD45" s="201"/>
      <c r="AE45" s="201"/>
      <c r="AF45" s="201"/>
      <c r="AG45" s="201"/>
      <c r="AH45" s="201"/>
      <c r="AI45" s="201"/>
    </row>
    <row r="46" spans="1:35" ht="18.75" customHeight="1">
      <c r="A46" s="3"/>
      <c r="B46" s="534"/>
      <c r="C46" s="534"/>
      <c r="D46" s="535"/>
      <c r="E46" s="535"/>
      <c r="F46" s="535"/>
      <c r="G46" s="535"/>
      <c r="H46" s="535"/>
      <c r="I46" s="535"/>
      <c r="J46" s="535"/>
      <c r="K46" s="535"/>
      <c r="L46" s="535"/>
      <c r="M46" s="3"/>
      <c r="N46" s="3"/>
      <c r="O46" s="183"/>
      <c r="P46" s="182"/>
      <c r="S46" s="201"/>
      <c r="T46" s="201"/>
      <c r="U46" s="201"/>
      <c r="V46" s="201"/>
      <c r="W46" s="201"/>
      <c r="X46" s="201"/>
      <c r="Y46" s="201"/>
      <c r="Z46" s="201"/>
      <c r="AA46" s="201"/>
      <c r="AB46" s="201"/>
      <c r="AC46" s="201"/>
      <c r="AD46" s="201"/>
      <c r="AE46" s="201"/>
      <c r="AF46" s="201"/>
      <c r="AG46" s="201"/>
      <c r="AH46" s="201"/>
      <c r="AI46" s="201"/>
    </row>
    <row r="47" spans="1:35" ht="18.75" customHeight="1">
      <c r="A47" s="3"/>
      <c r="B47" s="117"/>
      <c r="C47" s="117"/>
      <c r="D47" s="199"/>
      <c r="E47" s="199"/>
      <c r="F47" s="199"/>
      <c r="G47" s="199"/>
      <c r="H47" s="199"/>
      <c r="I47" s="199"/>
      <c r="J47" s="199"/>
      <c r="K47" s="199"/>
      <c r="L47" s="199"/>
      <c r="M47" s="3"/>
      <c r="N47" s="3"/>
      <c r="O47" s="183"/>
      <c r="P47" s="182"/>
      <c r="S47" s="201"/>
      <c r="T47" s="201"/>
      <c r="U47" s="201"/>
      <c r="V47" s="201"/>
      <c r="W47" s="201"/>
      <c r="X47" s="201"/>
      <c r="Y47" s="201"/>
      <c r="Z47" s="201"/>
      <c r="AA47" s="201"/>
      <c r="AB47" s="201"/>
      <c r="AC47" s="201"/>
      <c r="AD47" s="201"/>
      <c r="AE47" s="201"/>
      <c r="AF47" s="201"/>
      <c r="AG47" s="201"/>
      <c r="AH47" s="201"/>
      <c r="AI47" s="201"/>
    </row>
    <row r="48" spans="1:35" ht="18.75" customHeight="1">
      <c r="A48" s="3"/>
      <c r="B48" s="117"/>
      <c r="C48" s="117"/>
      <c r="D48" s="199"/>
      <c r="E48" s="199"/>
      <c r="F48" s="199"/>
      <c r="G48" s="199"/>
      <c r="H48" s="199"/>
      <c r="I48" s="199"/>
      <c r="J48" s="199"/>
      <c r="K48" s="199"/>
      <c r="L48" s="199"/>
      <c r="M48" s="3"/>
      <c r="N48" s="3"/>
      <c r="O48" s="183"/>
      <c r="P48" s="182"/>
      <c r="S48" s="201"/>
      <c r="T48" s="201"/>
      <c r="U48" s="201"/>
      <c r="V48" s="201"/>
      <c r="W48" s="201"/>
      <c r="X48" s="201"/>
      <c r="Y48" s="201"/>
      <c r="Z48" s="201"/>
      <c r="AA48" s="201"/>
      <c r="AB48" s="201"/>
      <c r="AC48" s="201"/>
      <c r="AD48" s="201"/>
      <c r="AE48" s="201"/>
      <c r="AF48" s="201"/>
      <c r="AG48" s="201"/>
      <c r="AH48" s="201"/>
      <c r="AI48" s="201"/>
    </row>
    <row r="49" spans="1:35" ht="18.75" customHeight="1">
      <c r="A49" s="3"/>
      <c r="B49" s="117"/>
      <c r="C49" s="117"/>
      <c r="D49" s="199"/>
      <c r="E49" s="199"/>
      <c r="F49" s="199"/>
      <c r="G49" s="199"/>
      <c r="H49" s="199"/>
      <c r="I49" s="199"/>
      <c r="J49" s="199"/>
      <c r="K49" s="199"/>
      <c r="L49" s="199"/>
      <c r="M49" s="3"/>
      <c r="N49" s="3"/>
      <c r="O49" s="183"/>
      <c r="P49" s="182"/>
      <c r="S49" s="201"/>
      <c r="T49" s="201"/>
      <c r="U49" s="201"/>
      <c r="V49" s="201"/>
      <c r="W49" s="201"/>
      <c r="X49" s="201"/>
      <c r="Y49" s="201"/>
      <c r="Z49" s="201"/>
      <c r="AA49" s="201"/>
      <c r="AB49" s="201"/>
      <c r="AC49" s="201"/>
      <c r="AD49" s="201"/>
      <c r="AE49" s="201"/>
      <c r="AF49" s="201"/>
      <c r="AG49" s="201"/>
      <c r="AH49" s="201"/>
      <c r="AI49" s="201"/>
    </row>
    <row r="50" spans="1:35" ht="18.75" customHeight="1">
      <c r="A50" s="3"/>
      <c r="B50" s="117"/>
      <c r="C50" s="117"/>
      <c r="D50" s="199"/>
      <c r="E50" s="199"/>
      <c r="F50" s="199"/>
      <c r="G50" s="199"/>
      <c r="H50" s="199"/>
      <c r="I50" s="199"/>
      <c r="J50" s="199"/>
      <c r="K50" s="199"/>
      <c r="L50" s="199"/>
      <c r="M50" s="3"/>
      <c r="N50" s="3"/>
      <c r="O50" s="183"/>
      <c r="P50" s="182"/>
      <c r="S50" s="201"/>
      <c r="T50" s="201"/>
      <c r="U50" s="201"/>
      <c r="V50" s="201"/>
      <c r="W50" s="201"/>
      <c r="X50" s="201"/>
      <c r="Y50" s="201"/>
      <c r="Z50" s="201"/>
      <c r="AA50" s="201"/>
      <c r="AB50" s="201"/>
      <c r="AC50" s="201"/>
      <c r="AD50" s="201"/>
      <c r="AE50" s="201"/>
      <c r="AF50" s="201"/>
      <c r="AG50" s="201"/>
      <c r="AH50" s="201"/>
      <c r="AI50" s="201"/>
    </row>
    <row r="51" spans="1:35" ht="18.75" customHeight="1">
      <c r="A51" s="3"/>
      <c r="B51" s="117"/>
      <c r="C51" s="117"/>
      <c r="D51" s="199"/>
      <c r="E51" s="199"/>
      <c r="F51" s="199"/>
      <c r="G51" s="199"/>
      <c r="H51" s="199"/>
      <c r="I51" s="199"/>
      <c r="J51" s="199"/>
      <c r="K51" s="199"/>
      <c r="L51" s="199"/>
      <c r="M51" s="3"/>
      <c r="N51" s="3"/>
      <c r="O51" s="183"/>
      <c r="P51" s="182"/>
      <c r="S51" s="201"/>
      <c r="T51" s="201"/>
      <c r="U51" s="201"/>
      <c r="V51" s="201"/>
      <c r="W51" s="201"/>
      <c r="X51" s="201"/>
      <c r="Y51" s="201"/>
      <c r="Z51" s="201"/>
      <c r="AA51" s="201"/>
      <c r="AB51" s="201"/>
      <c r="AC51" s="201"/>
      <c r="AD51" s="201"/>
      <c r="AE51" s="201"/>
      <c r="AF51" s="201"/>
      <c r="AG51" s="201"/>
      <c r="AH51" s="201"/>
      <c r="AI51" s="201"/>
    </row>
    <row r="52" spans="1:35" ht="17.25" customHeight="1">
      <c r="A52" s="3"/>
      <c r="B52" s="117"/>
      <c r="C52" s="117"/>
      <c r="D52" s="199"/>
      <c r="E52" s="199"/>
      <c r="F52" s="199"/>
      <c r="G52" s="199"/>
      <c r="H52" s="199"/>
      <c r="I52" s="199"/>
      <c r="J52" s="199"/>
      <c r="K52" s="199"/>
      <c r="L52" s="199"/>
      <c r="M52" s="3"/>
      <c r="N52" s="3"/>
      <c r="O52" s="183"/>
      <c r="P52" s="182"/>
      <c r="S52" s="201"/>
      <c r="T52" s="201"/>
      <c r="U52" s="201"/>
      <c r="V52" s="201"/>
      <c r="W52" s="201"/>
      <c r="X52" s="201"/>
      <c r="Y52" s="201"/>
      <c r="Z52" s="201"/>
      <c r="AA52" s="201"/>
      <c r="AB52" s="201"/>
      <c r="AC52" s="201"/>
      <c r="AD52" s="201"/>
      <c r="AE52" s="201"/>
      <c r="AF52" s="201"/>
      <c r="AG52" s="201"/>
      <c r="AH52" s="201"/>
      <c r="AI52" s="201"/>
    </row>
    <row r="53" spans="1:35" ht="6" customHeight="1">
      <c r="A53" s="3"/>
      <c r="B53" s="121"/>
      <c r="C53" s="117"/>
      <c r="D53" s="118"/>
      <c r="E53" s="1021"/>
      <c r="F53" s="1021"/>
      <c r="G53" s="1021"/>
      <c r="H53" s="1021"/>
      <c r="I53" s="1021"/>
      <c r="J53" s="1021"/>
      <c r="K53" s="1021"/>
      <c r="L53" s="3"/>
      <c r="M53" s="3"/>
      <c r="N53" s="3"/>
      <c r="O53" s="3"/>
      <c r="P53" s="3"/>
      <c r="S53" s="201"/>
      <c r="T53" s="201"/>
      <c r="U53" s="201"/>
      <c r="V53" s="201"/>
      <c r="W53" s="201"/>
      <c r="X53" s="201"/>
      <c r="Y53" s="201"/>
      <c r="Z53" s="201"/>
      <c r="AA53" s="201"/>
      <c r="AB53" s="201"/>
      <c r="AC53" s="201"/>
      <c r="AD53" s="201"/>
      <c r="AE53" s="201"/>
      <c r="AF53" s="201"/>
      <c r="AG53" s="201"/>
      <c r="AH53" s="201"/>
      <c r="AI53" s="201"/>
    </row>
    <row r="54" spans="1:35" ht="24" customHeight="1">
      <c r="A54" s="3"/>
      <c r="B54" s="1022" t="s">
        <v>391</v>
      </c>
      <c r="C54" s="1022"/>
      <c r="D54" s="1022"/>
      <c r="E54" s="400" t="s">
        <v>379</v>
      </c>
      <c r="F54" s="400" t="s">
        <v>271</v>
      </c>
      <c r="G54" s="1017" t="s">
        <v>83</v>
      </c>
      <c r="H54" s="1018"/>
      <c r="I54" s="1019" t="s">
        <v>84</v>
      </c>
      <c r="J54" s="1020"/>
      <c r="K54" s="407" t="s">
        <v>85</v>
      </c>
      <c r="L54" s="987" t="s">
        <v>456</v>
      </c>
      <c r="M54" s="988"/>
      <c r="N54" s="988"/>
      <c r="O54" s="988"/>
      <c r="P54" s="988"/>
      <c r="Q54" s="989"/>
      <c r="S54" s="64" t="s">
        <v>49</v>
      </c>
      <c r="T54" s="65">
        <v>0</v>
      </c>
      <c r="U54" s="66">
        <v>0.3</v>
      </c>
      <c r="V54" s="66">
        <v>0.6</v>
      </c>
      <c r="W54" s="66">
        <v>0.9</v>
      </c>
      <c r="X54" s="66">
        <v>1</v>
      </c>
      <c r="Y54" s="70"/>
      <c r="Z54" s="70"/>
      <c r="AA54" s="64" t="s">
        <v>49</v>
      </c>
      <c r="AB54" s="65">
        <v>0</v>
      </c>
      <c r="AC54" s="66">
        <v>0.2</v>
      </c>
      <c r="AD54" s="66">
        <v>0.4</v>
      </c>
      <c r="AE54" s="66">
        <v>0.6</v>
      </c>
      <c r="AF54" s="66">
        <v>0.8</v>
      </c>
      <c r="AG54" s="70"/>
      <c r="AH54" s="70"/>
      <c r="AI54" s="70"/>
    </row>
    <row r="55" spans="1:35" ht="75.75" customHeight="1">
      <c r="A55" s="3"/>
      <c r="B55" s="1023" t="str">
        <f>+'Ввод данных'!A218</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C55" s="1015"/>
      <c r="D55" s="1016"/>
      <c r="E55" s="401">
        <v>2413</v>
      </c>
      <c r="F55" s="402" t="s">
        <v>677</v>
      </c>
      <c r="G55" s="1029"/>
      <c r="H55" s="1030"/>
      <c r="I55" s="1030"/>
      <c r="J55" s="1030"/>
      <c r="K55" s="1031"/>
      <c r="L55" s="1009" t="s">
        <v>678</v>
      </c>
      <c r="M55" s="1009"/>
      <c r="N55" s="1009"/>
      <c r="O55" s="1009"/>
      <c r="P55" s="1009"/>
      <c r="Q55" s="1009"/>
      <c r="S55" s="64" t="s">
        <v>50</v>
      </c>
      <c r="T55" s="67">
        <v>0.3</v>
      </c>
      <c r="U55" s="66">
        <v>0.6</v>
      </c>
      <c r="V55" s="66">
        <v>0.9</v>
      </c>
      <c r="W55" s="66">
        <v>1</v>
      </c>
      <c r="X55" s="66">
        <v>2</v>
      </c>
      <c r="Y55" s="70"/>
      <c r="Z55" s="70"/>
      <c r="AA55" s="64" t="s">
        <v>50</v>
      </c>
      <c r="AB55" s="67">
        <v>0.2</v>
      </c>
      <c r="AC55" s="66">
        <v>0.4</v>
      </c>
      <c r="AD55" s="66">
        <v>0.6</v>
      </c>
      <c r="AE55" s="66">
        <v>0.8</v>
      </c>
      <c r="AF55" s="66">
        <v>1</v>
      </c>
      <c r="AG55" s="70"/>
      <c r="AH55" s="70"/>
      <c r="AI55" s="70"/>
    </row>
    <row r="56" spans="1:35" ht="73.5" customHeight="1">
      <c r="A56" s="3"/>
      <c r="B56" s="1023" t="str">
        <f>+'Ввод данных'!A220</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C56" s="1015"/>
      <c r="D56" s="1016"/>
      <c r="E56" s="401">
        <v>1798</v>
      </c>
      <c r="F56" s="402" t="s">
        <v>677</v>
      </c>
      <c r="G56" s="1032"/>
      <c r="H56" s="1033"/>
      <c r="I56" s="1033"/>
      <c r="J56" s="1033"/>
      <c r="K56" s="1034"/>
      <c r="L56" s="1009" t="s">
        <v>678</v>
      </c>
      <c r="M56" s="1009"/>
      <c r="N56" s="1009"/>
      <c r="O56" s="1009"/>
      <c r="P56" s="1009"/>
      <c r="Q56" s="1009"/>
      <c r="S56" s="68"/>
      <c r="T56" s="69" t="str">
        <f>"de "&amp;T54&amp;" a "&amp;T55</f>
        <v>de 0 a 0,3</v>
      </c>
      <c r="U56" s="69" t="str">
        <f>"de "&amp;U54&amp;" a "&amp;U55</f>
        <v>de 0,3 a 0,6</v>
      </c>
      <c r="AH56" s="70"/>
      <c r="AI56" s="70"/>
    </row>
    <row r="57" spans="1:35" ht="67.5" customHeight="1">
      <c r="A57" s="3"/>
      <c r="B57" s="1014" t="str">
        <f>+'Ввод данных'!A222</f>
        <v xml:space="preserve">MDR TB-1: Процент ранее леченных ТБ пациентов, прошедших ТЛЧ (только бактериологически положительные случаи) </v>
      </c>
      <c r="C57" s="1015"/>
      <c r="D57" s="1016"/>
      <c r="E57" s="477">
        <v>0.95</v>
      </c>
      <c r="F57" s="402" t="s">
        <v>679</v>
      </c>
      <c r="G57" s="1029">
        <v>1</v>
      </c>
      <c r="H57" s="1030"/>
      <c r="I57" s="1030"/>
      <c r="J57" s="1030"/>
      <c r="K57" s="1031"/>
      <c r="L57" s="1009" t="s">
        <v>683</v>
      </c>
      <c r="M57" s="1009"/>
      <c r="N57" s="1009"/>
      <c r="O57" s="1009"/>
      <c r="P57" s="1009"/>
      <c r="Q57" s="1009"/>
      <c r="S57" s="68"/>
      <c r="T57" s="66" t="e">
        <f>IF($K55&gt;T$54,IF($K55&lt;=T$55,$K55,NA()),NA())</f>
        <v>#N/A</v>
      </c>
      <c r="U57" s="66" t="e">
        <f>IF($K55&gt;U$54,IF($K55&lt;=U$55,$K55,NA()),NA())</f>
        <v>#N/A</v>
      </c>
      <c r="AH57" s="70"/>
      <c r="AI57" s="70"/>
    </row>
    <row r="58" spans="1:35" ht="66.75" customHeight="1">
      <c r="A58" s="3"/>
      <c r="B58" s="1014" t="str">
        <f>+'Ввод данных'!A224</f>
        <v>MDR TB-2: Количество бактериологически подтвержденных зарегистрированных  РУ-ТБ и/или МЛУ-ТБ случаев ТБ</v>
      </c>
      <c r="C58" s="1027"/>
      <c r="D58" s="1028"/>
      <c r="E58" s="479">
        <v>712</v>
      </c>
      <c r="F58" s="402" t="s">
        <v>740</v>
      </c>
      <c r="G58" s="1029">
        <v>0.91</v>
      </c>
      <c r="H58" s="1030"/>
      <c r="I58" s="1030"/>
      <c r="J58" s="1030"/>
      <c r="K58" s="1031"/>
      <c r="L58" s="1009" t="s">
        <v>741</v>
      </c>
      <c r="M58" s="1009"/>
      <c r="N58" s="1009"/>
      <c r="O58" s="1009"/>
      <c r="P58" s="1009"/>
      <c r="Q58" s="1009"/>
      <c r="S58" s="68"/>
      <c r="T58" s="66"/>
      <c r="U58" s="66"/>
      <c r="AH58" s="70"/>
      <c r="AI58" s="70"/>
    </row>
    <row r="59" spans="1:35" ht="119.25" customHeight="1">
      <c r="A59" s="3"/>
      <c r="B59" s="1036" t="str">
        <f>+'Ввод данных'!A226</f>
        <v>MDR TB-3: Число больных  с устойчивыми формами РУ-ТБ и/или МЛУ-ТБ ТБ, включенных в лечение препаратами второго ряда ( включая пенитенциарную службу)</v>
      </c>
      <c r="C59" s="1037"/>
      <c r="D59" s="1038"/>
      <c r="E59" s="403">
        <v>712</v>
      </c>
      <c r="F59" s="406" t="s">
        <v>680</v>
      </c>
      <c r="G59" s="1029">
        <v>0.84</v>
      </c>
      <c r="H59" s="1030"/>
      <c r="I59" s="1030"/>
      <c r="J59" s="1030"/>
      <c r="K59" s="1031"/>
      <c r="L59" s="1009" t="s">
        <v>742</v>
      </c>
      <c r="M59" s="1009"/>
      <c r="N59" s="1009"/>
      <c r="O59" s="1009"/>
      <c r="P59" s="1009"/>
      <c r="Q59" s="1009"/>
      <c r="AH59" s="70"/>
      <c r="AI59" s="70"/>
    </row>
    <row r="60" spans="1:35" ht="98.25" customHeight="1">
      <c r="A60" s="3"/>
      <c r="B60" s="1036" t="str">
        <f>+'Ввод данных'!A228</f>
        <v xml:space="preserve">Процент и количество пациентов с симптомами или подозрениями на ТБ, обследованных методом Xpert MTB/RIF и подтвержденным активным ТБ  </v>
      </c>
      <c r="C60" s="1037"/>
      <c r="D60" s="1038"/>
      <c r="E60" s="404" t="s">
        <v>681</v>
      </c>
      <c r="F60" s="405" t="s">
        <v>682</v>
      </c>
      <c r="G60" s="1039" t="s">
        <v>472</v>
      </c>
      <c r="H60" s="1040"/>
      <c r="I60" s="1040"/>
      <c r="J60" s="1040"/>
      <c r="K60" s="1041"/>
      <c r="L60" s="1009" t="s">
        <v>684</v>
      </c>
      <c r="M60" s="1009"/>
      <c r="N60" s="1009"/>
      <c r="O60" s="1009"/>
      <c r="P60" s="1009"/>
      <c r="Q60" s="1009"/>
      <c r="AH60" s="70"/>
      <c r="AI60" s="70"/>
    </row>
    <row r="61" spans="1:35" ht="22.5" customHeight="1">
      <c r="A61" s="3"/>
      <c r="B61" s="1045"/>
      <c r="C61" s="1045"/>
      <c r="D61" s="1045"/>
      <c r="E61" s="1045"/>
      <c r="F61" s="1044"/>
      <c r="G61" s="1044"/>
      <c r="H61" s="1044"/>
      <c r="I61" s="1044"/>
      <c r="J61" s="1044"/>
      <c r="K61" s="1044"/>
      <c r="L61" s="1010"/>
      <c r="M61" s="1010"/>
      <c r="N61" s="1010"/>
      <c r="O61" s="1010"/>
      <c r="P61" s="1010"/>
      <c r="AH61" s="70"/>
      <c r="AI61" s="70"/>
    </row>
    <row r="62" spans="1:35" ht="22.5" customHeight="1">
      <c r="A62" s="3"/>
      <c r="B62" s="1042"/>
      <c r="C62" s="1042"/>
      <c r="D62" s="1042"/>
      <c r="E62" s="1043"/>
      <c r="F62" s="1007"/>
      <c r="G62" s="1008"/>
      <c r="H62" s="1008"/>
      <c r="I62" s="1008"/>
      <c r="J62" s="1008"/>
      <c r="K62" s="1043"/>
      <c r="L62" s="1007"/>
      <c r="M62" s="1008"/>
      <c r="N62" s="1008"/>
      <c r="O62" s="1008"/>
      <c r="P62" s="1008"/>
      <c r="Y62" s="70"/>
      <c r="Z62" s="70"/>
      <c r="AA62" s="70"/>
      <c r="AB62" s="70"/>
      <c r="AC62" s="70"/>
      <c r="AD62" s="70"/>
      <c r="AE62" s="70"/>
      <c r="AF62" s="70"/>
      <c r="AG62" s="70"/>
      <c r="AH62" s="70"/>
      <c r="AI62" s="70"/>
    </row>
    <row r="63" spans="1:35">
      <c r="A63" s="3"/>
      <c r="B63" s="202"/>
      <c r="C63" s="202"/>
      <c r="D63" s="202"/>
      <c r="E63" s="202"/>
      <c r="F63" s="202"/>
      <c r="G63" s="202"/>
      <c r="H63" s="203"/>
      <c r="I63" s="202"/>
      <c r="J63" s="202"/>
      <c r="K63" s="202"/>
      <c r="L63" s="202"/>
      <c r="M63" s="202"/>
      <c r="N63" s="202"/>
      <c r="O63" s="202"/>
      <c r="P63" s="202"/>
      <c r="Y63" s="70"/>
      <c r="Z63" s="70"/>
      <c r="AA63" s="70"/>
      <c r="AB63" s="70"/>
      <c r="AC63" s="70"/>
      <c r="AD63" s="70"/>
      <c r="AE63" s="70"/>
      <c r="AF63" s="70"/>
      <c r="AG63" s="70"/>
      <c r="AH63" s="70"/>
      <c r="AI63" s="70"/>
    </row>
    <row r="64" spans="1:35">
      <c r="A64" s="3"/>
      <c r="B64" s="1035"/>
      <c r="C64" s="1035"/>
      <c r="D64" s="1035"/>
      <c r="E64" s="1035"/>
      <c r="F64" s="1035"/>
      <c r="G64" s="1035"/>
      <c r="H64" s="1035"/>
      <c r="I64" s="1035"/>
      <c r="J64" s="1035"/>
      <c r="K64" s="1035"/>
      <c r="L64" s="202"/>
      <c r="M64" s="202"/>
      <c r="N64" s="202"/>
      <c r="O64" s="202"/>
      <c r="P64" s="202"/>
      <c r="Y64" s="70"/>
      <c r="Z64" s="70"/>
      <c r="AA64" s="70"/>
      <c r="AB64" s="70"/>
      <c r="AC64" s="70"/>
      <c r="AD64" s="70"/>
      <c r="AE64" s="70"/>
      <c r="AF64" s="70"/>
      <c r="AG64" s="70"/>
      <c r="AH64" s="70"/>
      <c r="AI64" s="70"/>
    </row>
    <row r="65" spans="1:35">
      <c r="A65" s="3"/>
      <c r="B65" s="1035"/>
      <c r="C65" s="1035"/>
      <c r="D65" s="1035"/>
      <c r="E65" s="1035"/>
      <c r="F65" s="1035"/>
      <c r="G65" s="1035"/>
      <c r="H65" s="1035"/>
      <c r="I65" s="1035"/>
      <c r="J65" s="1035"/>
      <c r="K65" s="1035"/>
      <c r="L65" s="202"/>
      <c r="M65" s="202"/>
      <c r="N65" s="202"/>
      <c r="O65" s="202"/>
      <c r="P65" s="202"/>
      <c r="S65" s="70"/>
      <c r="T65" s="70"/>
      <c r="U65" s="70"/>
      <c r="V65" s="70"/>
      <c r="W65" s="70"/>
      <c r="X65" s="70"/>
      <c r="Y65" s="70"/>
      <c r="Z65" s="70"/>
      <c r="AA65" s="70"/>
      <c r="AB65" s="70"/>
      <c r="AC65" s="70"/>
      <c r="AD65" s="70"/>
      <c r="AE65" s="70"/>
      <c r="AF65" s="70"/>
      <c r="AG65" s="70"/>
      <c r="AH65" s="70"/>
      <c r="AI65" s="70"/>
    </row>
    <row r="66" spans="1:35">
      <c r="A66" s="3"/>
      <c r="B66" s="3"/>
      <c r="C66" s="3"/>
      <c r="D66" s="3"/>
      <c r="E66" s="3"/>
      <c r="F66" s="3"/>
      <c r="G66" s="3"/>
      <c r="H66" s="3"/>
      <c r="I66" s="97"/>
      <c r="J66" s="97"/>
      <c r="K66" s="97"/>
      <c r="L66" s="3"/>
      <c r="M66" s="3"/>
      <c r="N66" s="3"/>
      <c r="O66" s="3"/>
      <c r="P66" s="3"/>
      <c r="S66" s="70"/>
      <c r="T66" s="70"/>
      <c r="U66" s="70"/>
      <c r="V66" s="70"/>
      <c r="W66" s="70"/>
      <c r="X66" s="70"/>
      <c r="Y66" s="70"/>
      <c r="Z66" s="70"/>
      <c r="AA66" s="70"/>
      <c r="AB66" s="70"/>
      <c r="AC66" s="70"/>
      <c r="AD66" s="70"/>
      <c r="AE66" s="70"/>
      <c r="AF66" s="70"/>
      <c r="AG66" s="70"/>
      <c r="AH66" s="70"/>
      <c r="AI66" s="70"/>
    </row>
    <row r="67" spans="1:35">
      <c r="A67" s="3"/>
      <c r="B67" s="3"/>
      <c r="C67" s="3"/>
      <c r="D67" s="3"/>
      <c r="E67" s="3"/>
      <c r="F67" s="3"/>
      <c r="G67" s="3"/>
      <c r="H67" s="3"/>
      <c r="I67" s="128"/>
      <c r="J67" s="129"/>
      <c r="K67" s="129"/>
      <c r="L67" s="3"/>
      <c r="M67" s="3"/>
      <c r="N67" s="3"/>
      <c r="O67" s="3"/>
      <c r="P67" s="3"/>
      <c r="S67" s="70"/>
      <c r="T67" s="70"/>
      <c r="U67" s="70"/>
      <c r="V67" s="70"/>
      <c r="W67" s="70"/>
      <c r="X67" s="70"/>
      <c r="Y67" s="70"/>
      <c r="Z67" s="70"/>
      <c r="AA67" s="70"/>
      <c r="AB67" s="70"/>
      <c r="AC67" s="70"/>
      <c r="AD67" s="70"/>
      <c r="AE67" s="70"/>
      <c r="AF67" s="70"/>
      <c r="AG67" s="70"/>
      <c r="AH67" s="70"/>
      <c r="AI67" s="70"/>
    </row>
    <row r="68" spans="1:35">
      <c r="A68" s="3"/>
      <c r="B68" s="3"/>
      <c r="C68" s="3"/>
      <c r="D68" s="3"/>
      <c r="E68" s="3"/>
      <c r="F68" s="3"/>
      <c r="G68" s="3"/>
      <c r="H68" s="3"/>
      <c r="I68" s="130"/>
      <c r="J68" s="131"/>
      <c r="K68" s="99"/>
      <c r="L68" s="3"/>
      <c r="M68" s="3"/>
      <c r="N68" s="3"/>
      <c r="O68" s="3"/>
      <c r="P68" s="3"/>
      <c r="S68" s="70"/>
      <c r="T68" s="70"/>
      <c r="U68" s="70"/>
      <c r="V68" s="70"/>
      <c r="W68" s="70"/>
      <c r="X68" s="70"/>
      <c r="Y68" s="70"/>
      <c r="Z68" s="70"/>
      <c r="AA68" s="70"/>
      <c r="AB68" s="70"/>
      <c r="AC68" s="70"/>
      <c r="AD68" s="70"/>
      <c r="AE68" s="70"/>
      <c r="AF68" s="70"/>
      <c r="AG68" s="70"/>
      <c r="AH68" s="70"/>
      <c r="AI68" s="70"/>
    </row>
    <row r="69" spans="1:35">
      <c r="A69" s="3"/>
      <c r="B69" s="3"/>
      <c r="C69" s="3"/>
      <c r="D69" s="3"/>
      <c r="E69" s="3"/>
      <c r="F69" s="3"/>
      <c r="G69" s="3"/>
      <c r="H69" s="3"/>
      <c r="I69" s="132"/>
      <c r="J69" s="131"/>
      <c r="K69" s="99"/>
      <c r="L69" s="3"/>
      <c r="M69" s="3"/>
      <c r="N69" s="3"/>
      <c r="O69" s="3"/>
      <c r="P69" s="3"/>
      <c r="S69" s="70"/>
      <c r="T69" s="70"/>
      <c r="U69" s="70"/>
      <c r="V69" s="70"/>
      <c r="W69" s="70"/>
      <c r="X69" s="70"/>
      <c r="Y69" s="70"/>
      <c r="Z69" s="70"/>
      <c r="AA69" s="70"/>
      <c r="AB69" s="70"/>
      <c r="AC69" s="70"/>
      <c r="AD69" s="70"/>
      <c r="AE69" s="70"/>
      <c r="AF69" s="70"/>
      <c r="AG69" s="70"/>
      <c r="AH69" s="70"/>
      <c r="AI69" s="70"/>
    </row>
    <row r="70" spans="1:35">
      <c r="A70" s="3"/>
      <c r="B70" s="3"/>
      <c r="C70" s="3"/>
      <c r="D70" s="3"/>
      <c r="E70" s="3"/>
      <c r="F70" s="3"/>
      <c r="G70" s="3"/>
      <c r="H70" s="3"/>
      <c r="I70" s="130"/>
      <c r="J70" s="131"/>
      <c r="K70" s="99"/>
      <c r="L70" s="3"/>
      <c r="M70" s="3"/>
      <c r="N70" s="3"/>
      <c r="O70" s="3"/>
      <c r="P70" s="3"/>
      <c r="S70" s="70"/>
      <c r="T70" s="70"/>
      <c r="U70" s="70"/>
      <c r="V70" s="70"/>
      <c r="W70" s="70"/>
      <c r="X70" s="70"/>
      <c r="Y70" s="70"/>
      <c r="Z70" s="70"/>
      <c r="AA70" s="70"/>
      <c r="AB70" s="70"/>
      <c r="AC70" s="70"/>
      <c r="AD70" s="70"/>
      <c r="AE70" s="70"/>
      <c r="AF70" s="70"/>
      <c r="AG70" s="70"/>
      <c r="AH70" s="70"/>
      <c r="AI70" s="70"/>
    </row>
    <row r="71" spans="1:35">
      <c r="A71" s="3"/>
      <c r="B71" s="3"/>
      <c r="C71" s="3"/>
      <c r="D71" s="3"/>
      <c r="E71" s="3"/>
      <c r="F71" s="3"/>
      <c r="G71" s="3"/>
      <c r="H71" s="3"/>
      <c r="I71" s="3"/>
      <c r="J71" s="3"/>
      <c r="K71" s="3"/>
      <c r="L71" s="3"/>
      <c r="M71" s="3"/>
      <c r="N71" s="3"/>
      <c r="O71" s="3"/>
      <c r="P71" s="3"/>
      <c r="S71" s="70"/>
      <c r="T71" s="70"/>
      <c r="U71" s="70"/>
      <c r="V71" s="70"/>
      <c r="W71" s="70"/>
      <c r="X71" s="70"/>
      <c r="Y71" s="70"/>
      <c r="Z71" s="70"/>
      <c r="AA71" s="70"/>
      <c r="AB71" s="70"/>
      <c r="AC71" s="70"/>
      <c r="AD71" s="70"/>
      <c r="AE71" s="70"/>
      <c r="AF71" s="70"/>
      <c r="AG71" s="70"/>
      <c r="AH71" s="70"/>
      <c r="AI71" s="70"/>
    </row>
    <row r="72" spans="1:35">
      <c r="A72" s="3"/>
      <c r="B72" s="3"/>
      <c r="C72" s="3"/>
      <c r="D72" s="3"/>
      <c r="E72" s="3"/>
      <c r="F72" s="3"/>
      <c r="G72" s="3"/>
      <c r="H72" s="3"/>
      <c r="I72" s="3"/>
      <c r="J72" s="3"/>
      <c r="K72" s="3"/>
      <c r="L72" s="3"/>
      <c r="M72" s="3"/>
      <c r="N72" s="3"/>
      <c r="O72" s="3"/>
      <c r="P72" s="3"/>
      <c r="S72" s="70"/>
      <c r="T72" s="70"/>
      <c r="U72" s="70"/>
      <c r="V72" s="70"/>
      <c r="W72" s="70"/>
      <c r="X72" s="70"/>
      <c r="Y72" s="70"/>
      <c r="Z72" s="70"/>
      <c r="AA72" s="70"/>
      <c r="AB72" s="70"/>
      <c r="AC72" s="70"/>
      <c r="AD72" s="70"/>
      <c r="AE72" s="70"/>
      <c r="AF72" s="70"/>
      <c r="AG72" s="70"/>
      <c r="AH72" s="70"/>
      <c r="AI72" s="70"/>
    </row>
    <row r="73" spans="1:35">
      <c r="A73" s="3"/>
      <c r="B73" s="3"/>
      <c r="C73" s="3"/>
      <c r="D73" s="3"/>
      <c r="E73" s="3"/>
      <c r="F73" s="3"/>
      <c r="G73" s="3"/>
      <c r="H73" s="3"/>
      <c r="I73" s="3"/>
      <c r="J73" s="3"/>
      <c r="K73" s="3"/>
      <c r="L73" s="3"/>
      <c r="M73" s="3"/>
      <c r="N73" s="3"/>
      <c r="O73" s="3"/>
      <c r="P73" s="3"/>
      <c r="S73" s="63"/>
      <c r="T73" s="63"/>
      <c r="U73" s="63"/>
      <c r="V73" s="63"/>
      <c r="W73" s="63"/>
      <c r="X73" s="63"/>
      <c r="Y73" s="63"/>
      <c r="Z73" s="63"/>
      <c r="AA73" s="63"/>
      <c r="AB73" s="63"/>
    </row>
    <row r="74" spans="1:35">
      <c r="S74" s="63"/>
      <c r="T74" s="63"/>
      <c r="U74" s="63"/>
      <c r="V74" s="63"/>
      <c r="W74" s="63"/>
      <c r="X74" s="63"/>
      <c r="Y74" s="63"/>
      <c r="Z74" s="63"/>
      <c r="AA74" s="63"/>
      <c r="AB74" s="63"/>
    </row>
    <row r="75" spans="1:35">
      <c r="S75" s="63"/>
      <c r="T75" s="63"/>
      <c r="U75" s="63"/>
      <c r="V75" s="63"/>
      <c r="W75" s="63"/>
      <c r="X75" s="63"/>
      <c r="Y75" s="63"/>
      <c r="Z75" s="63"/>
      <c r="AA75" s="63"/>
      <c r="AB75" s="63"/>
    </row>
    <row r="76" spans="1:35">
      <c r="S76" s="63"/>
      <c r="T76" s="63"/>
      <c r="U76" s="63"/>
      <c r="V76" s="63"/>
      <c r="W76" s="63"/>
      <c r="X76" s="63"/>
      <c r="Y76" s="63"/>
      <c r="Z76" s="63"/>
      <c r="AA76" s="63"/>
      <c r="AB76" s="63"/>
    </row>
    <row r="77" spans="1:35">
      <c r="S77" s="63"/>
      <c r="T77" s="63"/>
      <c r="U77" s="63"/>
      <c r="V77" s="63"/>
      <c r="W77" s="63"/>
      <c r="X77" s="63"/>
      <c r="Y77" s="63"/>
      <c r="Z77" s="63"/>
      <c r="AA77" s="63"/>
      <c r="AB77" s="63"/>
    </row>
  </sheetData>
  <mergeCells count="109">
    <mergeCell ref="B37:D37"/>
    <mergeCell ref="G37:K37"/>
    <mergeCell ref="L37:Q37"/>
    <mergeCell ref="B34:D34"/>
    <mergeCell ref="G34:K34"/>
    <mergeCell ref="L34:Q34"/>
    <mergeCell ref="B35:D35"/>
    <mergeCell ref="G35:K35"/>
    <mergeCell ref="L35:Q35"/>
    <mergeCell ref="G33:K33"/>
    <mergeCell ref="L33:Q33"/>
    <mergeCell ref="L29:Q29"/>
    <mergeCell ref="G30:K30"/>
    <mergeCell ref="L30:Q30"/>
    <mergeCell ref="G31:K31"/>
    <mergeCell ref="L31:Q31"/>
    <mergeCell ref="B36:D36"/>
    <mergeCell ref="G36:K36"/>
    <mergeCell ref="L36:Q36"/>
    <mergeCell ref="B2:Q2"/>
    <mergeCell ref="O3:P3"/>
    <mergeCell ref="D5:N5"/>
    <mergeCell ref="L41:Q41"/>
    <mergeCell ref="E3:K3"/>
    <mergeCell ref="C4:D4"/>
    <mergeCell ref="E6:L6"/>
    <mergeCell ref="B8:E8"/>
    <mergeCell ref="F8:K8"/>
    <mergeCell ref="L8:Q8"/>
    <mergeCell ref="C9:E9"/>
    <mergeCell ref="G9:K9"/>
    <mergeCell ref="M9:Q9"/>
    <mergeCell ref="E20:K20"/>
    <mergeCell ref="B21:D21"/>
    <mergeCell ref="G28:K28"/>
    <mergeCell ref="B27:D27"/>
    <mergeCell ref="G27:K27"/>
    <mergeCell ref="L27:Q27"/>
    <mergeCell ref="B28:D28"/>
    <mergeCell ref="B32:D32"/>
    <mergeCell ref="G32:K32"/>
    <mergeCell ref="L32:Q32"/>
    <mergeCell ref="B33:D33"/>
    <mergeCell ref="L54:Q54"/>
    <mergeCell ref="L60:Q60"/>
    <mergeCell ref="G55:K55"/>
    <mergeCell ref="G56:K56"/>
    <mergeCell ref="B64:D65"/>
    <mergeCell ref="E64:G65"/>
    <mergeCell ref="H64:K65"/>
    <mergeCell ref="B59:D59"/>
    <mergeCell ref="B60:D60"/>
    <mergeCell ref="G59:K59"/>
    <mergeCell ref="G60:K60"/>
    <mergeCell ref="B62:E62"/>
    <mergeCell ref="F62:K62"/>
    <mergeCell ref="F61:K61"/>
    <mergeCell ref="B61:E61"/>
    <mergeCell ref="G57:K57"/>
    <mergeCell ref="L58:Q58"/>
    <mergeCell ref="G58:K58"/>
    <mergeCell ref="L25:Q25"/>
    <mergeCell ref="B26:D26"/>
    <mergeCell ref="G26:K26"/>
    <mergeCell ref="L26:Q26"/>
    <mergeCell ref="L62:P62"/>
    <mergeCell ref="L55:Q55"/>
    <mergeCell ref="L56:Q56"/>
    <mergeCell ref="L57:Q57"/>
    <mergeCell ref="L61:P61"/>
    <mergeCell ref="L59:Q59"/>
    <mergeCell ref="B29:D29"/>
    <mergeCell ref="B31:D31"/>
    <mergeCell ref="C42:E42"/>
    <mergeCell ref="G42:K42"/>
    <mergeCell ref="B57:D57"/>
    <mergeCell ref="G54:H54"/>
    <mergeCell ref="I54:J54"/>
    <mergeCell ref="E53:K53"/>
    <mergeCell ref="B54:D54"/>
    <mergeCell ref="B55:D55"/>
    <mergeCell ref="B56:D56"/>
    <mergeCell ref="G29:K29"/>
    <mergeCell ref="B30:D30"/>
    <mergeCell ref="B58:D58"/>
    <mergeCell ref="L38:Q38"/>
    <mergeCell ref="G38:K38"/>
    <mergeCell ref="B38:D38"/>
    <mergeCell ref="F40:M40"/>
    <mergeCell ref="G21:H21"/>
    <mergeCell ref="M42:Q42"/>
    <mergeCell ref="C3:D3"/>
    <mergeCell ref="E4:L4"/>
    <mergeCell ref="B41:E41"/>
    <mergeCell ref="F41:K41"/>
    <mergeCell ref="I21:J21"/>
    <mergeCell ref="L21:Q21"/>
    <mergeCell ref="B22:D22"/>
    <mergeCell ref="G22:K22"/>
    <mergeCell ref="L22:Q22"/>
    <mergeCell ref="B23:D23"/>
    <mergeCell ref="G23:K23"/>
    <mergeCell ref="L23:Q23"/>
    <mergeCell ref="B24:D24"/>
    <mergeCell ref="G24:K24"/>
    <mergeCell ref="L24:Q24"/>
    <mergeCell ref="L28:Q28"/>
    <mergeCell ref="B25:D25"/>
    <mergeCell ref="G25:K25"/>
  </mergeCells>
  <phoneticPr fontId="30" type="noConversion"/>
  <conditionalFormatting sqref="C4:D4">
    <cfRule type="cellIs" dxfId="68" priority="239" stopIfTrue="1" operator="equal">
      <formula>"C"</formula>
    </cfRule>
    <cfRule type="cellIs" dxfId="67" priority="240" stopIfTrue="1" operator="equal">
      <formula>"B2"</formula>
    </cfRule>
    <cfRule type="cellIs" dxfId="66" priority="241" stopIfTrue="1" operator="equal">
      <formula>"B1"</formula>
    </cfRule>
  </conditionalFormatting>
  <conditionalFormatting sqref="G56:G60">
    <cfRule type="cellIs" dxfId="65" priority="67" stopIfTrue="1" operator="between">
      <formula>0</formula>
      <formula>0.599</formula>
    </cfRule>
    <cfRule type="cellIs" dxfId="64" priority="68" stopIfTrue="1" operator="between">
      <formula>0.6</formula>
      <formula>0.899</formula>
    </cfRule>
    <cfRule type="cellIs" dxfId="63" priority="69" stopIfTrue="1" operator="greaterThanOrEqual">
      <formula>0.9</formula>
    </cfRule>
  </conditionalFormatting>
  <conditionalFormatting sqref="G55">
    <cfRule type="cellIs" dxfId="62" priority="61" stopIfTrue="1" operator="between">
      <formula>0</formula>
      <formula>0.599</formula>
    </cfRule>
    <cfRule type="cellIs" dxfId="61" priority="62" stopIfTrue="1" operator="between">
      <formula>0.6</formula>
      <formula>0.899</formula>
    </cfRule>
    <cfRule type="cellIs" dxfId="60" priority="63" stopIfTrue="1" operator="greaterThanOrEqual">
      <formula>0.9</formula>
    </cfRule>
  </conditionalFormatting>
  <conditionalFormatting sqref="G55:K55">
    <cfRule type="cellIs" dxfId="59" priority="58" stopIfTrue="1" operator="greaterThan">
      <formula>0.9</formula>
    </cfRule>
    <cfRule type="cellIs" dxfId="58" priority="59" stopIfTrue="1" operator="between">
      <formula>0.6</formula>
      <formula>0.89</formula>
    </cfRule>
    <cfRule type="cellIs" dxfId="57" priority="60" stopIfTrue="1" operator="lessThan">
      <formula>0.59</formula>
    </cfRule>
  </conditionalFormatting>
  <conditionalFormatting sqref="G56:K60">
    <cfRule type="cellIs" dxfId="56" priority="64" stopIfTrue="1" operator="greaterThan">
      <formula>0.9</formula>
    </cfRule>
    <cfRule type="cellIs" dxfId="55" priority="65" stopIfTrue="1" operator="between">
      <formula>0.6</formula>
      <formula>0.89</formula>
    </cfRule>
    <cfRule type="cellIs" dxfId="54" priority="66" stopIfTrue="1" operator="lessThan">
      <formula>0.59</formula>
    </cfRule>
  </conditionalFormatting>
  <conditionalFormatting sqref="G22 G25">
    <cfRule type="cellIs" dxfId="53" priority="55" stopIfTrue="1" operator="between">
      <formula>0</formula>
      <formula>0.599</formula>
    </cfRule>
    <cfRule type="cellIs" dxfId="52" priority="56" stopIfTrue="1" operator="between">
      <formula>0.6</formula>
      <formula>0.899</formula>
    </cfRule>
    <cfRule type="cellIs" dxfId="51" priority="57" stopIfTrue="1" operator="greaterThanOrEqual">
      <formula>0.9</formula>
    </cfRule>
  </conditionalFormatting>
  <conditionalFormatting sqref="G33">
    <cfRule type="cellIs" dxfId="50" priority="52" stopIfTrue="1" operator="between">
      <formula>0</formula>
      <formula>0.599</formula>
    </cfRule>
    <cfRule type="cellIs" dxfId="49" priority="53" stopIfTrue="1" operator="between">
      <formula>0.6</formula>
      <formula>0.899</formula>
    </cfRule>
    <cfRule type="cellIs" dxfId="48" priority="54" stopIfTrue="1" operator="greaterThanOrEqual">
      <formula>0.9</formula>
    </cfRule>
  </conditionalFormatting>
  <conditionalFormatting sqref="G34">
    <cfRule type="cellIs" dxfId="47" priority="49" stopIfTrue="1" operator="between">
      <formula>0</formula>
      <formula>0.599</formula>
    </cfRule>
    <cfRule type="cellIs" dxfId="46" priority="50" stopIfTrue="1" operator="between">
      <formula>0.6</formula>
      <formula>0.899</formula>
    </cfRule>
    <cfRule type="cellIs" dxfId="45" priority="51" stopIfTrue="1" operator="greaterThanOrEqual">
      <formula>0.9</formula>
    </cfRule>
  </conditionalFormatting>
  <conditionalFormatting sqref="G23">
    <cfRule type="cellIs" dxfId="44" priority="46" stopIfTrue="1" operator="between">
      <formula>0</formula>
      <formula>0.599</formula>
    </cfRule>
    <cfRule type="cellIs" dxfId="43" priority="47" stopIfTrue="1" operator="between">
      <formula>0.6</formula>
      <formula>0.899</formula>
    </cfRule>
    <cfRule type="cellIs" dxfId="42" priority="48" stopIfTrue="1" operator="greaterThanOrEqual">
      <formula>0.9</formula>
    </cfRule>
  </conditionalFormatting>
  <conditionalFormatting sqref="G24">
    <cfRule type="cellIs" dxfId="41" priority="43" stopIfTrue="1" operator="between">
      <formula>0</formula>
      <formula>0.599</formula>
    </cfRule>
    <cfRule type="cellIs" dxfId="40" priority="44" stopIfTrue="1" operator="between">
      <formula>0.6</formula>
      <formula>0.899</formula>
    </cfRule>
    <cfRule type="cellIs" dxfId="39" priority="45" stopIfTrue="1" operator="greaterThanOrEqual">
      <formula>0.9</formula>
    </cfRule>
  </conditionalFormatting>
  <conditionalFormatting sqref="G26">
    <cfRule type="cellIs" dxfId="38" priority="40" stopIfTrue="1" operator="between">
      <formula>0</formula>
      <formula>0.599</formula>
    </cfRule>
    <cfRule type="cellIs" dxfId="37" priority="41" stopIfTrue="1" operator="between">
      <formula>0.6</formula>
      <formula>0.899</formula>
    </cfRule>
    <cfRule type="cellIs" dxfId="36" priority="42" stopIfTrue="1" operator="greaterThanOrEqual">
      <formula>0.9</formula>
    </cfRule>
  </conditionalFormatting>
  <conditionalFormatting sqref="G27">
    <cfRule type="cellIs" dxfId="35" priority="37" stopIfTrue="1" operator="between">
      <formula>0</formula>
      <formula>0.599</formula>
    </cfRule>
    <cfRule type="cellIs" dxfId="34" priority="38" stopIfTrue="1" operator="between">
      <formula>0.6</formula>
      <formula>0.899</formula>
    </cfRule>
    <cfRule type="cellIs" dxfId="33" priority="39" stopIfTrue="1" operator="greaterThanOrEqual">
      <formula>0.9</formula>
    </cfRule>
  </conditionalFormatting>
  <conditionalFormatting sqref="G28">
    <cfRule type="cellIs" dxfId="32" priority="34" stopIfTrue="1" operator="between">
      <formula>0</formula>
      <formula>0.599</formula>
    </cfRule>
    <cfRule type="cellIs" dxfId="31" priority="35" stopIfTrue="1" operator="between">
      <formula>0.6</formula>
      <formula>0.899</formula>
    </cfRule>
    <cfRule type="cellIs" dxfId="30" priority="36" stopIfTrue="1" operator="greaterThanOrEqual">
      <formula>0.9</formula>
    </cfRule>
  </conditionalFormatting>
  <conditionalFormatting sqref="G29">
    <cfRule type="cellIs" dxfId="29" priority="31" stopIfTrue="1" operator="between">
      <formula>0</formula>
      <formula>0.599</formula>
    </cfRule>
    <cfRule type="cellIs" dxfId="28" priority="32" stopIfTrue="1" operator="between">
      <formula>0.6</formula>
      <formula>0.899</formula>
    </cfRule>
    <cfRule type="cellIs" dxfId="27" priority="33" stopIfTrue="1" operator="greaterThanOrEqual">
      <formula>0.9</formula>
    </cfRule>
  </conditionalFormatting>
  <conditionalFormatting sqref="G31">
    <cfRule type="cellIs" dxfId="26" priority="28" stopIfTrue="1" operator="between">
      <formula>0</formula>
      <formula>0.599</formula>
    </cfRule>
    <cfRule type="cellIs" dxfId="25" priority="29" stopIfTrue="1" operator="between">
      <formula>0.6</formula>
      <formula>0.899</formula>
    </cfRule>
    <cfRule type="cellIs" dxfId="24" priority="30" stopIfTrue="1" operator="greaterThanOrEqual">
      <formula>0.9</formula>
    </cfRule>
  </conditionalFormatting>
  <conditionalFormatting sqref="G32">
    <cfRule type="cellIs" dxfId="23" priority="25" stopIfTrue="1" operator="between">
      <formula>0</formula>
      <formula>0.599</formula>
    </cfRule>
    <cfRule type="cellIs" dxfId="22" priority="26" stopIfTrue="1" operator="between">
      <formula>0.6</formula>
      <formula>0.899</formula>
    </cfRule>
    <cfRule type="cellIs" dxfId="21" priority="27" stopIfTrue="1" operator="greaterThanOrEqual">
      <formula>0.9</formula>
    </cfRule>
  </conditionalFormatting>
  <conditionalFormatting sqref="G35">
    <cfRule type="cellIs" dxfId="20" priority="22" stopIfTrue="1" operator="between">
      <formula>0</formula>
      <formula>0.599</formula>
    </cfRule>
    <cfRule type="cellIs" dxfId="19" priority="23" stopIfTrue="1" operator="between">
      <formula>0.6</formula>
      <formula>0.899</formula>
    </cfRule>
    <cfRule type="cellIs" dxfId="18" priority="24" stopIfTrue="1" operator="greaterThanOrEqual">
      <formula>0.9</formula>
    </cfRule>
  </conditionalFormatting>
  <conditionalFormatting sqref="G30">
    <cfRule type="cellIs" dxfId="17" priority="19" stopIfTrue="1" operator="between">
      <formula>0</formula>
      <formula>0.599</formula>
    </cfRule>
    <cfRule type="cellIs" dxfId="16" priority="20" stopIfTrue="1" operator="between">
      <formula>0.6</formula>
      <formula>0.899</formula>
    </cfRule>
    <cfRule type="cellIs" dxfId="15" priority="21" stopIfTrue="1" operator="greaterThanOrEqual">
      <formula>0.9</formula>
    </cfRule>
  </conditionalFormatting>
  <conditionalFormatting sqref="G36">
    <cfRule type="cellIs" dxfId="14" priority="16" stopIfTrue="1" operator="between">
      <formula>0</formula>
      <formula>0.599</formula>
    </cfRule>
    <cfRule type="cellIs" dxfId="13" priority="17" stopIfTrue="1" operator="between">
      <formula>0.6</formula>
      <formula>0.899</formula>
    </cfRule>
    <cfRule type="cellIs" dxfId="12" priority="18" stopIfTrue="1" operator="greaterThanOrEqual">
      <formula>0.9</formula>
    </cfRule>
  </conditionalFormatting>
  <conditionalFormatting sqref="G37">
    <cfRule type="cellIs" dxfId="11" priority="13" stopIfTrue="1" operator="between">
      <formula>0</formula>
      <formula>0.599</formula>
    </cfRule>
    <cfRule type="cellIs" dxfId="10" priority="14" stopIfTrue="1" operator="between">
      <formula>0.6</formula>
      <formula>0.899</formula>
    </cfRule>
    <cfRule type="cellIs" dxfId="9" priority="15" stopIfTrue="1" operator="greaterThanOrEqual">
      <formula>0.9</formula>
    </cfRule>
  </conditionalFormatting>
  <conditionalFormatting sqref="G38">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Q42"/>
  <sheetViews>
    <sheetView showGridLines="0" topLeftCell="A18" zoomScale="90" zoomScaleNormal="90" workbookViewId="0">
      <selection activeCell="D23" sqref="D23:G23"/>
    </sheetView>
  </sheetViews>
  <sheetFormatPr defaultColWidth="9.140625"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13" style="30" customWidth="1"/>
    <col min="8" max="8" width="4.28515625" style="30" customWidth="1"/>
    <col min="9" max="9" width="15.85546875" style="30" customWidth="1"/>
    <col min="10" max="10" width="3.5703125" style="30" customWidth="1"/>
    <col min="11" max="11" width="7.5703125" style="31" customWidth="1"/>
    <col min="12" max="12" width="16.7109375" style="30" customWidth="1"/>
    <col min="13" max="13" width="12" style="30" customWidth="1"/>
    <col min="14" max="14" width="5.42578125" style="30" customWidth="1"/>
    <col min="15" max="15" width="2.5703125" style="30" customWidth="1"/>
    <col min="16" max="16384" width="9.140625" style="30"/>
  </cols>
  <sheetData>
    <row r="1" spans="1:17" ht="38.25" customHeight="1">
      <c r="A1" s="133"/>
      <c r="B1" s="133"/>
      <c r="C1" s="133"/>
      <c r="D1" s="133"/>
      <c r="E1" s="133"/>
      <c r="F1" s="133"/>
      <c r="G1" s="133"/>
      <c r="H1" s="133"/>
      <c r="I1" s="133"/>
      <c r="J1" s="133"/>
      <c r="K1" s="134"/>
      <c r="L1" s="133"/>
      <c r="M1" s="133"/>
      <c r="N1" s="133"/>
    </row>
    <row r="2" spans="1:17" customFormat="1" ht="27.75" customHeight="1">
      <c r="A2" s="3"/>
      <c r="B2" s="1046" t="str">
        <f>+"Панель показателей:  "&amp;"  "&amp;IF(+'Ввод данных'!B4="Выберите","",'Ввод данных'!B4&amp;" - ")&amp;IF('Ввод данных'!F6="Выберите","",'Ввод данных'!F6)</f>
        <v>Панель показателей:    Кыргызстан - ВИЧ/СПИД/ТБ</v>
      </c>
      <c r="C2" s="1046"/>
      <c r="D2" s="1046"/>
      <c r="E2" s="1046"/>
      <c r="F2" s="1046"/>
      <c r="G2" s="1046"/>
      <c r="H2" s="1046"/>
      <c r="I2" s="1046"/>
      <c r="J2" s="1046"/>
      <c r="K2" s="1046"/>
      <c r="L2" s="1046"/>
      <c r="M2" s="1046"/>
      <c r="N2" s="1046"/>
      <c r="O2" s="1046"/>
      <c r="P2" s="1046"/>
      <c r="Q2" s="1046"/>
    </row>
    <row r="3" spans="1:17" customFormat="1" ht="18.75">
      <c r="A3" s="3"/>
      <c r="B3" s="117">
        <f>+IF('Ввод данных'!F8="Выберите","",'Ввод данных'!F8)</f>
        <v>0</v>
      </c>
      <c r="C3" s="937"/>
      <c r="D3" s="937"/>
      <c r="E3" s="1047"/>
      <c r="F3" s="1047"/>
      <c r="G3" s="1047"/>
      <c r="H3" s="1047"/>
      <c r="I3" s="1047"/>
      <c r="J3" s="1047"/>
      <c r="K3" s="1047"/>
      <c r="L3" s="117" t="str">
        <f>+'Ввод данных'!A16</f>
        <v>Отчетный период</v>
      </c>
      <c r="M3" s="181" t="str">
        <f>+'Ввод данных'!B16</f>
        <v>P4</v>
      </c>
      <c r="N3" s="181"/>
      <c r="O3" s="30"/>
    </row>
    <row r="4" spans="1:17" customFormat="1" ht="15">
      <c r="A4" s="3"/>
      <c r="B4" s="368" t="str">
        <f>+'Ввод данных'!A12</f>
        <v>Последняя оценка:</v>
      </c>
      <c r="C4" s="1048" t="str">
        <f>+IF('Ввод данных'!B12="Выберите","",'Ввод данных'!B12)</f>
        <v>A1</v>
      </c>
      <c r="D4" s="1048"/>
      <c r="E4" s="936" t="str">
        <f>+'Ввод данных'!B8</f>
        <v>ПРООН</v>
      </c>
      <c r="F4" s="936"/>
      <c r="G4" s="936"/>
      <c r="H4" s="936"/>
      <c r="I4" s="936"/>
      <c r="J4" s="936"/>
      <c r="K4" s="936"/>
      <c r="L4" s="117" t="str">
        <f>+'Ввод данных'!C16</f>
        <v>с:</v>
      </c>
      <c r="M4" s="182">
        <f>+IF(ISBLANK('Ввод данных'!D16),"",'Ввод данных'!D16)</f>
        <v>43101</v>
      </c>
      <c r="N4" s="182"/>
      <c r="O4" s="30"/>
    </row>
    <row r="5" spans="1:17" customFormat="1" ht="18.75" customHeight="1">
      <c r="A5" s="3"/>
      <c r="B5" s="117"/>
      <c r="C5" s="117"/>
      <c r="D5" s="118"/>
      <c r="E5" s="964"/>
      <c r="F5" s="964"/>
      <c r="G5" s="964"/>
      <c r="H5" s="964"/>
      <c r="I5" s="964"/>
      <c r="J5" s="964"/>
      <c r="K5" s="964"/>
      <c r="L5" s="117" t="str">
        <f>+'Ввод данных'!E16</f>
        <v>до:</v>
      </c>
      <c r="M5" s="182">
        <f>+IF(ISBLANK('Ввод данных'!F16),"",'Ввод данных'!F16)</f>
        <v>43281</v>
      </c>
      <c r="N5" s="182"/>
    </row>
    <row r="6" spans="1:17" customFormat="1" ht="22.5" customHeight="1">
      <c r="A6" s="3"/>
      <c r="B6" s="122"/>
      <c r="C6" s="123"/>
      <c r="D6" s="124"/>
      <c r="E6" s="1091" t="s">
        <v>276</v>
      </c>
      <c r="F6" s="1092"/>
      <c r="G6" s="1092"/>
      <c r="H6" s="1092"/>
      <c r="I6" s="1092"/>
      <c r="J6" s="1092"/>
      <c r="K6" s="1092"/>
      <c r="L6" s="2"/>
      <c r="M6" s="2"/>
      <c r="N6" s="2"/>
    </row>
    <row r="7" spans="1:17" s="32" customFormat="1" ht="4.5" customHeight="1">
      <c r="A7" s="135"/>
      <c r="B7" s="136"/>
      <c r="C7" s="136"/>
      <c r="D7" s="136"/>
      <c r="E7" s="136"/>
      <c r="F7" s="136"/>
      <c r="G7" s="136"/>
      <c r="H7" s="136"/>
      <c r="I7" s="136"/>
      <c r="J7" s="136"/>
      <c r="K7" s="136"/>
      <c r="L7" s="137"/>
      <c r="M7" s="137"/>
      <c r="N7" s="138"/>
    </row>
    <row r="8" spans="1:17" s="32" customFormat="1" ht="21" customHeight="1" thickBot="1">
      <c r="A8" s="135"/>
      <c r="B8" s="1081" t="s">
        <v>362</v>
      </c>
      <c r="C8" s="1081"/>
      <c r="D8" s="1081"/>
      <c r="E8" s="1081"/>
      <c r="F8" s="1081"/>
      <c r="G8" s="1081"/>
      <c r="H8" s="1081"/>
      <c r="I8" s="1081"/>
      <c r="J8" s="1081"/>
      <c r="K8" s="1081"/>
      <c r="L8" s="1081"/>
      <c r="M8" s="1081"/>
      <c r="N8" s="1081"/>
    </row>
    <row r="9" spans="1:17" s="32" customFormat="1" ht="3.75" customHeight="1" thickBot="1">
      <c r="A9" s="135"/>
      <c r="B9" s="136"/>
      <c r="C9" s="136"/>
      <c r="D9" s="136"/>
      <c r="E9" s="136"/>
      <c r="F9" s="136"/>
      <c r="G9" s="136"/>
      <c r="H9" s="136"/>
      <c r="I9" s="136"/>
      <c r="J9" s="136"/>
      <c r="K9" s="136"/>
      <c r="L9" s="137"/>
      <c r="M9" s="137"/>
      <c r="N9" s="138"/>
    </row>
    <row r="10" spans="1:17" s="33" customFormat="1" ht="25.5" customHeight="1" thickBot="1">
      <c r="A10" s="139"/>
      <c r="B10" s="1104" t="s">
        <v>313</v>
      </c>
      <c r="C10" s="1105"/>
      <c r="D10" s="1093" t="s">
        <v>354</v>
      </c>
      <c r="E10" s="1094"/>
      <c r="F10" s="1094"/>
      <c r="G10" s="1095"/>
      <c r="H10" s="142"/>
      <c r="I10" s="1093" t="s">
        <v>276</v>
      </c>
      <c r="J10" s="1094"/>
      <c r="K10" s="1094"/>
      <c r="L10" s="1094"/>
      <c r="M10" s="1094"/>
      <c r="N10" s="1095"/>
    </row>
    <row r="11" spans="1:17" s="33" customFormat="1" ht="28.5" customHeight="1">
      <c r="A11" s="139"/>
      <c r="B11" s="330" t="s">
        <v>51</v>
      </c>
      <c r="C11" s="159"/>
      <c r="D11" s="1098" t="str">
        <f>IF(ISBLANK(Финансирование!C9),"",(Финансирование!C9))</f>
        <v>ГФ в феврале 2018 г. произвел выплату в полном размере, равного бюджету отчетного периода в сумме 3 509 263 $. Итого, сумма выплат ГФ за весь период гранта с июля 2016 по июнь 2018 составила 24 099 630$, включая неиспользованный остаток на 30 июня 2016 с прошлых грантов в размере 2 214 860$. Общая сумма выплат за весь период гранта меньше бюджета на  241 948$, которая была вычтена из текущего гранта в счет взыскания задолженности страны в двойном размере на основании решения СКК от 10.01.17 и письма от МЗКР в ГФ от 18.01.17. В январе 2018г. ПРООН произвел возврат 70 000$ в ГФ из полученных средств на основании письма от ГФ в декабре 2017, что ГФ не произвел выплаты в КЗС за период с июля 2016 по декабрь 2017 г. и ошибочно перечислил данную сумму в ПРООН, которая была включена в общие суммы выплат по гранту.</v>
      </c>
      <c r="E11" s="1099"/>
      <c r="F11" s="1099"/>
      <c r="G11" s="1100"/>
      <c r="H11" s="165"/>
      <c r="I11" s="1106"/>
      <c r="J11" s="1107"/>
      <c r="K11" s="1107"/>
      <c r="L11" s="1107"/>
      <c r="M11" s="1107"/>
      <c r="N11" s="1108"/>
    </row>
    <row r="12" spans="1:17" s="33" customFormat="1" ht="27.75" customHeight="1">
      <c r="A12" s="139"/>
      <c r="B12" s="331" t="s">
        <v>52</v>
      </c>
      <c r="C12" s="160"/>
      <c r="D12" s="1117" t="str">
        <f>IF(ISBLANK(Финансирование!C23),"",(Финансирование!C23))</f>
        <v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v>
      </c>
      <c r="E12" s="1117"/>
      <c r="F12" s="1117"/>
      <c r="G12" s="1118"/>
      <c r="H12" s="165"/>
      <c r="I12" s="1114"/>
      <c r="J12" s="1115"/>
      <c r="K12" s="1115"/>
      <c r="L12" s="1115"/>
      <c r="M12" s="1115"/>
      <c r="N12" s="1116"/>
    </row>
    <row r="13" spans="1:17" s="33" customFormat="1" ht="26.25" customHeight="1">
      <c r="A13" s="139"/>
      <c r="B13" s="331" t="s">
        <v>53</v>
      </c>
      <c r="C13" s="160"/>
      <c r="D13" s="1082" t="str">
        <f>IF(ISBLANK(Финансирование!K9),"",(Финансирование!K9))</f>
        <v>В отчетном периоде ГФ произвел выплату в полном объеме бюджета периода в феврале 2018.  Расходы ОП составили 2 141 677$, включая оплату финансовых обязательств за 2017 в  458 965$. Итого за весь период гранта было освоено 89% выделлных средств на ОП. При этом имеются обязательства у ОП на 30.06.18 в 260 158$, с учетом которых освоение достигнет   91 %. В текущем периоде ПРООН произвел выплаты 28 СП  в срок в полном объеме по запросу от СП. Неиспользованный остатьк бюджета также включает в себя невыплаченную сумму взноса в КЗС в размере 70 000$, которая должна будет выплачена ГФ.</v>
      </c>
      <c r="E13" s="1083"/>
      <c r="F13" s="1083"/>
      <c r="G13" s="1113"/>
      <c r="H13" s="165"/>
      <c r="I13" s="1114"/>
      <c r="J13" s="1115"/>
      <c r="K13" s="1115"/>
      <c r="L13" s="1115"/>
      <c r="M13" s="1115"/>
      <c r="N13" s="1116"/>
    </row>
    <row r="14" spans="1:17" s="33" customFormat="1" ht="28.5" customHeight="1" thickBot="1">
      <c r="A14" s="139"/>
      <c r="B14" s="332" t="s">
        <v>54</v>
      </c>
      <c r="C14" s="161"/>
      <c r="D14" s="1096" t="str">
        <f>IF(ISBLANK(Финансирование!K23),"",(Финансирование!K23))</f>
        <v xml:space="preserve">В отчетном периоде ОП подготовил и направил ИОР/ЗПС в ГФ и офис МАФ в установленные сроки. Платеж от ГФ на отчетный период был получен  в феврале 2018. Последующих выплат по данному гранту не предусмотрено, т.к. грант завершился 30 июня 2018.
</v>
      </c>
      <c r="E14" s="1096"/>
      <c r="F14" s="1096"/>
      <c r="G14" s="1097"/>
      <c r="H14" s="165"/>
      <c r="I14" s="1101"/>
      <c r="J14" s="1102"/>
      <c r="K14" s="1102"/>
      <c r="L14" s="1102"/>
      <c r="M14" s="1102"/>
      <c r="N14" s="1103"/>
    </row>
    <row r="15" spans="1:17" s="33" customFormat="1" ht="4.5" customHeight="1">
      <c r="A15" s="139"/>
      <c r="B15" s="162"/>
      <c r="C15" s="163"/>
      <c r="D15" s="164"/>
      <c r="E15" s="164"/>
      <c r="F15" s="164"/>
      <c r="G15" s="164"/>
      <c r="H15" s="165"/>
      <c r="I15" s="166"/>
      <c r="J15" s="166"/>
      <c r="K15" s="166"/>
      <c r="L15" s="166"/>
      <c r="M15" s="166"/>
      <c r="N15" s="166"/>
      <c r="O15" s="73"/>
    </row>
    <row r="16" spans="1:17" s="32" customFormat="1" ht="21" customHeight="1" thickBot="1">
      <c r="A16" s="135"/>
      <c r="B16" s="1081" t="s">
        <v>350</v>
      </c>
      <c r="C16" s="1081"/>
      <c r="D16" s="1081"/>
      <c r="E16" s="1081"/>
      <c r="F16" s="1081"/>
      <c r="G16" s="1081"/>
      <c r="H16" s="1081"/>
      <c r="I16" s="1081"/>
      <c r="J16" s="1081"/>
      <c r="K16" s="1081"/>
      <c r="L16" s="1081"/>
      <c r="M16" s="1081"/>
      <c r="N16" s="1081"/>
    </row>
    <row r="17" spans="1:15" s="33" customFormat="1" ht="3.75" customHeight="1" thickBot="1">
      <c r="A17" s="139"/>
      <c r="B17" s="148"/>
      <c r="C17" s="149"/>
      <c r="D17" s="150"/>
      <c r="E17" s="151"/>
      <c r="F17" s="152"/>
      <c r="G17" s="152"/>
      <c r="H17" s="153"/>
      <c r="I17" s="154"/>
      <c r="J17" s="155"/>
      <c r="K17" s="144"/>
      <c r="L17" s="145"/>
      <c r="M17" s="146"/>
      <c r="N17" s="147"/>
    </row>
    <row r="18" spans="1:15" s="33" customFormat="1" ht="22.5" customHeight="1" thickBot="1">
      <c r="A18" s="139"/>
      <c r="B18" s="1105" t="s">
        <v>277</v>
      </c>
      <c r="C18" s="1109"/>
      <c r="D18" s="1123" t="s">
        <v>354</v>
      </c>
      <c r="E18" s="1124"/>
      <c r="F18" s="1124"/>
      <c r="G18" s="1125"/>
      <c r="H18" s="142"/>
      <c r="I18" s="1119" t="s">
        <v>276</v>
      </c>
      <c r="J18" s="1120"/>
      <c r="K18" s="1120"/>
      <c r="L18" s="1120"/>
      <c r="M18" s="1121"/>
      <c r="N18" s="1122"/>
    </row>
    <row r="19" spans="1:15" s="33" customFormat="1" ht="48.75" customHeight="1">
      <c r="A19" s="139"/>
      <c r="B19" s="333" t="s">
        <v>59</v>
      </c>
      <c r="C19" s="167"/>
      <c r="D19" s="1126" t="str">
        <f>IF(ISBLANK(Управление!C8),"",(Управление!C8))</f>
        <v>По компоненту ВИЧ - Предварительных условий (ПУ) нет, согласно письму от ГФ по результатам работы за 1-е полугодие 2017 года было включено 1 Действие с установленным сроком исполнения (ДУС) - срок исполнения 30 июня 2018 года (по программе ПТМ). Предваритиельное условие выполнено в срок, все подтверждающие документы направлены в ГФ.</v>
      </c>
      <c r="E19" s="1127"/>
      <c r="F19" s="1127"/>
      <c r="G19" s="1128"/>
      <c r="H19" s="168"/>
      <c r="I19" s="1129"/>
      <c r="J19" s="1130"/>
      <c r="K19" s="1130"/>
      <c r="L19" s="1130"/>
      <c r="M19" s="1130"/>
      <c r="N19" s="1131"/>
    </row>
    <row r="20" spans="1:15" ht="30.75" customHeight="1">
      <c r="A20" s="133"/>
      <c r="B20" s="334" t="s">
        <v>60</v>
      </c>
      <c r="C20" s="169"/>
      <c r="D20" s="1082" t="str">
        <f>IF(ISBLANK(Управление!J8),"",(Управление!J8))</f>
        <v>По компоненту ВИЧ - С начала августа 2018 года все 6 штатных позиций в программном отделе (координатор, программные специалисты и МиО специалист) были заняты.  
По компоненту ТБ - Координатор гранта ТБ, Финансовый специалист, специалист по амбулаторному лечению и специалист МиО гранта ТБ</v>
      </c>
      <c r="E20" s="1083"/>
      <c r="F20" s="1083"/>
      <c r="G20" s="1084"/>
      <c r="H20" s="168"/>
      <c r="I20" s="1085"/>
      <c r="J20" s="1086"/>
      <c r="K20" s="1086"/>
      <c r="L20" s="1086"/>
      <c r="M20" s="1086"/>
      <c r="N20" s="1087"/>
      <c r="O20" s="34"/>
    </row>
    <row r="21" spans="1:15" ht="31.5" customHeight="1">
      <c r="A21" s="133"/>
      <c r="B21" s="335" t="s">
        <v>61</v>
      </c>
      <c r="C21" s="169"/>
      <c r="D21" s="1082" t="e">
        <f>IF(ISBLANK(Управление!#REF!),"",(Управление!#REF!))</f>
        <v>#REF!</v>
      </c>
      <c r="E21" s="1083"/>
      <c r="F21" s="1083"/>
      <c r="G21" s="1084"/>
      <c r="H21" s="168"/>
      <c r="I21" s="1085"/>
      <c r="J21" s="1086"/>
      <c r="K21" s="1086"/>
      <c r="L21" s="1086"/>
      <c r="M21" s="1086"/>
      <c r="N21" s="1087"/>
      <c r="O21" s="34"/>
    </row>
    <row r="22" spans="1:15" ht="34.5" customHeight="1">
      <c r="A22" s="133"/>
      <c r="B22" s="335" t="s">
        <v>62</v>
      </c>
      <c r="C22" s="169"/>
      <c r="D22" s="1082" t="e">
        <f>IF(ISBLANK(Управление!#REF!),"",(Управление!#REF!))</f>
        <v>#REF!</v>
      </c>
      <c r="E22" s="1083"/>
      <c r="F22" s="1083"/>
      <c r="G22" s="1084"/>
      <c r="H22" s="168"/>
      <c r="I22" s="1085"/>
      <c r="J22" s="1086"/>
      <c r="K22" s="1086"/>
      <c r="L22" s="1086"/>
      <c r="M22" s="1086"/>
      <c r="N22" s="1087"/>
      <c r="O22" s="34"/>
    </row>
    <row r="23" spans="1:15" ht="33.75" customHeight="1">
      <c r="A23" s="133"/>
      <c r="B23" s="335" t="s">
        <v>63</v>
      </c>
      <c r="C23" s="169"/>
      <c r="D23" s="1082" t="str">
        <f>IF(ISBLANK(Управление!C29),"",(Управление!C29))</f>
        <v>Медикаменты и ИМН закуплены согласно потребности на 2018 год. В расчетах потребности учтены текущий запас, ожидаемые поставки и наличие бюджета</v>
      </c>
      <c r="E23" s="1083"/>
      <c r="F23" s="1083"/>
      <c r="G23" s="1084"/>
      <c r="H23" s="168"/>
      <c r="I23" s="1085"/>
      <c r="J23" s="1086"/>
      <c r="K23" s="1086"/>
      <c r="L23" s="1086"/>
      <c r="M23" s="1086"/>
      <c r="N23" s="1087"/>
      <c r="O23" s="34"/>
    </row>
    <row r="24" spans="1:15" ht="39.75" customHeight="1" thickBot="1">
      <c r="A24" s="133"/>
      <c r="B24" s="336" t="s">
        <v>64</v>
      </c>
      <c r="C24" s="170"/>
      <c r="D24" s="1078" t="str">
        <f>IF(ISBLANK(Управление!J29),"",(Управление!J29))</f>
        <v>Запас ПТП 2-го ряда составляет  в среднем от 6-20 месяцев, за исключением Амоксиклава(со сроком годности 30.04.2020г), ситуация большого запаса  сложилась в результате изменений схем лечения согласно рекомендациям ВОЗ, препарат выбыл из схем  так как доказано, что не эффективен как отдельный препарат, а только в сочетании с Имипенемом/Циластатином.   В связи с этим, препарат будет распределен в другие лечебные учреждения, так как Амоксиклав входит в ПЖВЛС   как не противотуберкулезный препарат. А также согласно остаткам в  запасе больше 20 месяцев имеются Бедаквилин, Линезолид и Моксифлоксацин, однако препараты израсходуются до истечения срока годности, так как в настоящее время идет внедрение новых препаратов соответственно количество набранных больных будет увеличиваться и кроме этого согласно последним рекомендациям ВОЗ (август 2018) данные препараты классифицированы в группу А (препараты, используемые в первоочередном порядке).</v>
      </c>
      <c r="E24" s="1079"/>
      <c r="F24" s="1079"/>
      <c r="G24" s="1080"/>
      <c r="H24" s="168"/>
      <c r="I24" s="1110"/>
      <c r="J24" s="1111"/>
      <c r="K24" s="1111"/>
      <c r="L24" s="1111"/>
      <c r="M24" s="1111"/>
      <c r="N24" s="1112"/>
      <c r="O24" s="34"/>
    </row>
    <row r="25" spans="1:15" ht="4.5" customHeight="1">
      <c r="A25" s="135"/>
      <c r="B25" s="140"/>
      <c r="C25" s="141"/>
      <c r="D25" s="156"/>
      <c r="E25" s="157"/>
      <c r="F25" s="158"/>
      <c r="G25" s="158"/>
      <c r="H25" s="142"/>
      <c r="I25" s="157"/>
      <c r="J25" s="143"/>
      <c r="K25" s="144"/>
      <c r="L25" s="145"/>
      <c r="M25" s="146"/>
      <c r="N25" s="147"/>
      <c r="O25" s="34"/>
    </row>
    <row r="26" spans="1:15" s="32" customFormat="1" ht="21" customHeight="1" thickBot="1">
      <c r="A26" s="135"/>
      <c r="B26" s="1081" t="s">
        <v>390</v>
      </c>
      <c r="C26" s="1081"/>
      <c r="D26" s="1081"/>
      <c r="E26" s="1081"/>
      <c r="F26" s="1081"/>
      <c r="G26" s="1081"/>
      <c r="H26" s="1081"/>
      <c r="I26" s="1081"/>
      <c r="J26" s="1081"/>
      <c r="K26" s="1081"/>
      <c r="L26" s="1081"/>
      <c r="M26" s="1081"/>
      <c r="N26" s="1081"/>
    </row>
    <row r="27" spans="1:15" ht="3.75" customHeight="1" thickBot="1">
      <c r="A27" s="135"/>
      <c r="B27" s="140"/>
      <c r="C27" s="141"/>
      <c r="D27" s="156"/>
      <c r="E27" s="157"/>
      <c r="F27" s="158"/>
      <c r="G27" s="158"/>
      <c r="H27" s="142"/>
      <c r="I27" s="157"/>
      <c r="J27" s="143"/>
      <c r="K27" s="144"/>
      <c r="L27" s="145"/>
      <c r="M27" s="146"/>
      <c r="N27" s="147"/>
      <c r="O27" s="34"/>
    </row>
    <row r="28" spans="1:15" ht="21.75" customHeight="1" thickBot="1">
      <c r="A28" s="133"/>
      <c r="B28" s="1104" t="s">
        <v>361</v>
      </c>
      <c r="C28" s="1109"/>
      <c r="D28" s="1059" t="s">
        <v>354</v>
      </c>
      <c r="E28" s="1060"/>
      <c r="F28" s="1060"/>
      <c r="G28" s="1061"/>
      <c r="H28" s="142"/>
      <c r="I28" s="1059" t="s">
        <v>276</v>
      </c>
      <c r="J28" s="1060"/>
      <c r="K28" s="1060"/>
      <c r="L28" s="1060"/>
      <c r="M28" s="1060"/>
      <c r="N28" s="1061"/>
      <c r="O28" s="34"/>
    </row>
    <row r="29" spans="1:15" ht="29.25" customHeight="1">
      <c r="A29" s="133"/>
      <c r="B29" s="337" t="s">
        <v>278</v>
      </c>
      <c r="C29" s="171"/>
      <c r="D29" s="1065" t="str">
        <f>IF(ISBLANK(Программа!C42),"",(Программа!C42))</f>
        <v>Мотивационной поддержкой были охвачены все больные ЛУ-ТБ, которые не прерывали лечение более  5 дней.</v>
      </c>
      <c r="E29" s="1066"/>
      <c r="F29" s="1066"/>
      <c r="G29" s="1067"/>
      <c r="H29" s="168"/>
      <c r="I29" s="1088"/>
      <c r="J29" s="1089"/>
      <c r="K29" s="1089"/>
      <c r="L29" s="1089"/>
      <c r="M29" s="1089"/>
      <c r="N29" s="1090"/>
      <c r="O29" s="34"/>
    </row>
    <row r="30" spans="1:15" ht="21.95" customHeight="1">
      <c r="A30" s="133"/>
      <c r="B30" s="338" t="s">
        <v>279</v>
      </c>
      <c r="C30" s="172"/>
      <c r="D30" s="1077" t="str">
        <f>IF(ISBLANK(Программа!G42),"",(Программа!G42))</f>
        <v>Мотивационные выплаты для больных с чувствительной формой был включен в 2016 году и охватывает больных с чувствительной формой ТБ и ПЛУ-ТБ, которые не прерывают лечение только на амбулаторной фазе лечения..</v>
      </c>
      <c r="E30" s="1063"/>
      <c r="F30" s="1063"/>
      <c r="G30" s="1064"/>
      <c r="H30" s="168"/>
      <c r="I30" s="1068"/>
      <c r="J30" s="1069"/>
      <c r="K30" s="1069"/>
      <c r="L30" s="1069"/>
      <c r="M30" s="1069"/>
      <c r="N30" s="1070"/>
      <c r="O30" s="34"/>
    </row>
    <row r="31" spans="1:15" ht="21.95" customHeight="1">
      <c r="A31" s="133"/>
      <c r="B31" s="338" t="s">
        <v>280</v>
      </c>
      <c r="C31" s="172"/>
      <c r="D31" s="1077" t="str">
        <f>IF(ISBLANK(Программа!M42),"",(Программа!M42))</f>
        <v>Данный индикатор показывает охват ранее леченных тестом на лекарственную чувствительность.</v>
      </c>
      <c r="E31" s="1063"/>
      <c r="F31" s="1063"/>
      <c r="G31" s="1064"/>
      <c r="H31" s="168"/>
      <c r="I31" s="1068"/>
      <c r="J31" s="1069"/>
      <c r="K31" s="1069"/>
      <c r="L31" s="1069"/>
      <c r="M31" s="1069"/>
      <c r="N31" s="1070"/>
      <c r="O31" s="34"/>
    </row>
    <row r="32" spans="1:15" ht="21.95" customHeight="1">
      <c r="A32" s="133"/>
      <c r="B32" s="339" t="s">
        <v>55</v>
      </c>
      <c r="C32" s="172"/>
      <c r="D32" s="1062" t="str">
        <f>IF(ISBLANK(Программа!L55),"",(Программа!L55))</f>
        <v>В текущем отчетном периоде данная активность не выполнялась</v>
      </c>
      <c r="E32" s="1063"/>
      <c r="F32" s="1063"/>
      <c r="G32" s="1064"/>
      <c r="H32" s="168"/>
      <c r="I32" s="1068"/>
      <c r="J32" s="1069"/>
      <c r="K32" s="1069"/>
      <c r="L32" s="1069"/>
      <c r="M32" s="1069"/>
      <c r="N32" s="1070"/>
      <c r="O32" s="34"/>
    </row>
    <row r="33" spans="1:15" ht="42.75" customHeight="1">
      <c r="A33" s="133"/>
      <c r="B33" s="339" t="s">
        <v>56</v>
      </c>
      <c r="C33" s="172"/>
      <c r="D33" s="1062" t="str">
        <f>IF(ISBLANK(Программа!L56),"",(Программа!L56))</f>
        <v>В текущем отчетном периоде данная активность не выполнялась</v>
      </c>
      <c r="E33" s="1063"/>
      <c r="F33" s="1063"/>
      <c r="G33" s="1064"/>
      <c r="H33" s="168"/>
      <c r="I33" s="1074"/>
      <c r="J33" s="1075"/>
      <c r="K33" s="1075"/>
      <c r="L33" s="1075"/>
      <c r="M33" s="1075"/>
      <c r="N33" s="1076"/>
      <c r="O33" s="34"/>
    </row>
    <row r="34" spans="1:15" ht="21.95" customHeight="1">
      <c r="A34" s="133"/>
      <c r="B34" s="339" t="s">
        <v>57</v>
      </c>
      <c r="C34" s="172"/>
      <c r="D34" s="1062" t="str">
        <f>IF(ISBLANK(Программа!L57),"",(Программа!L57))</f>
        <v xml:space="preserve"> (1) В течение отчетного перода Q4-2017-Q1-2018, было зарегистрировано  1174 ранее леченных случаев ТБ, включая 539 положительных по культуре (2)  Из 539 положительных по культуре случаев ТБ, 511 имели ТЛЧ результаты к H и R (3) Выполнение индикатора процент ранее леченнных случаев ТБ, охваченных ТЛЧ, составил 100% </v>
      </c>
      <c r="E34" s="1063"/>
      <c r="F34" s="1063"/>
      <c r="G34" s="1064"/>
      <c r="H34" s="168"/>
      <c r="I34" s="1068"/>
      <c r="J34" s="1069"/>
      <c r="K34" s="1069"/>
      <c r="L34" s="1069"/>
      <c r="M34" s="1069"/>
      <c r="N34" s="1070"/>
      <c r="O34" s="34"/>
    </row>
    <row r="35" spans="1:15" ht="27.75" customHeight="1">
      <c r="A35" s="133"/>
      <c r="B35" s="339" t="s">
        <v>58</v>
      </c>
      <c r="C35" s="208"/>
      <c r="D35" s="1062" t="e">
        <f>IF(ISBLANK(Программа!#REF!),"",(Программа!#REF!))</f>
        <v>#REF!</v>
      </c>
      <c r="E35" s="1063"/>
      <c r="F35" s="1063"/>
      <c r="G35" s="1064"/>
      <c r="H35" s="168"/>
      <c r="I35" s="1068"/>
      <c r="J35" s="1069"/>
      <c r="K35" s="1069"/>
      <c r="L35" s="1069"/>
      <c r="M35" s="1069"/>
      <c r="N35" s="1070"/>
      <c r="O35" s="34"/>
    </row>
    <row r="36" spans="1:15" ht="21.95" customHeight="1">
      <c r="A36" s="133"/>
      <c r="B36" s="339" t="s">
        <v>65</v>
      </c>
      <c r="C36" s="208"/>
      <c r="D36" s="1062" t="str">
        <f>IF(ISBLANK(Программа!L59),"",(Программа!L59))</f>
        <v xml:space="preserve">За отчетный период 4Q 2017-1Q2018, национальная ТБ программа включила в лечение  598 RR/MDR TB  случаев ТБ против 712 запланированных.  Выполнение индикатора составило 84%   По отношению к зарегистрированным случаям  РУ- МЛУ ТБ  выполнение индикатора составило  92%  ( 598 из 646). </v>
      </c>
      <c r="E36" s="1063"/>
      <c r="F36" s="1063"/>
      <c r="G36" s="1064"/>
      <c r="H36" s="168"/>
      <c r="I36" s="1068"/>
      <c r="J36" s="1069"/>
      <c r="K36" s="1069"/>
      <c r="L36" s="1069"/>
      <c r="M36" s="1069"/>
      <c r="N36" s="1070"/>
      <c r="O36" s="34"/>
    </row>
    <row r="37" spans="1:15" ht="21.95" customHeight="1">
      <c r="A37" s="133"/>
      <c r="B37" s="339" t="s">
        <v>66</v>
      </c>
      <c r="C37" s="208"/>
      <c r="D37" s="1062" t="str">
        <f>IF(ISBLANK(Программа!L60),"",(Программа!L60))</f>
        <v xml:space="preserve">Согласно отчету НЦФ, среди 7295пациентов с симптомами ТБ, обследованных методом     Xpert, 1205 были положительными  на ДНК  (16,5%). </v>
      </c>
      <c r="E37" s="1063"/>
      <c r="F37" s="1063"/>
      <c r="G37" s="1064"/>
      <c r="H37" s="168"/>
      <c r="I37" s="1068"/>
      <c r="J37" s="1069"/>
      <c r="K37" s="1069"/>
      <c r="L37" s="1069"/>
      <c r="M37" s="1069"/>
      <c r="N37" s="1070"/>
      <c r="O37" s="34"/>
    </row>
    <row r="38" spans="1:15" ht="21.95" customHeight="1">
      <c r="A38" s="133"/>
      <c r="B38" s="339" t="s">
        <v>67</v>
      </c>
      <c r="C38" s="208"/>
      <c r="D38" s="1062" t="e">
        <f>IF(ISBLANK(Программа!#REF!),"",(Программа!#REF!))</f>
        <v>#REF!</v>
      </c>
      <c r="E38" s="1063"/>
      <c r="F38" s="1063"/>
      <c r="G38" s="1064"/>
      <c r="H38" s="168"/>
      <c r="I38" s="1068"/>
      <c r="J38" s="1069"/>
      <c r="K38" s="1069"/>
      <c r="L38" s="1069"/>
      <c r="M38" s="1069"/>
      <c r="N38" s="1070"/>
      <c r="O38" s="34"/>
    </row>
    <row r="39" spans="1:15" ht="21.95" customHeight="1">
      <c r="A39" s="133"/>
      <c r="B39" s="339" t="s">
        <v>68</v>
      </c>
      <c r="C39" s="208"/>
      <c r="D39" s="1062" t="e">
        <f>IF(ISBLANK(Программа!#REF!),"",(Программа!#REF!))</f>
        <v>#REF!</v>
      </c>
      <c r="E39" s="1063"/>
      <c r="F39" s="1063"/>
      <c r="G39" s="1064"/>
      <c r="H39" s="168"/>
      <c r="I39" s="1068"/>
      <c r="J39" s="1069"/>
      <c r="K39" s="1069"/>
      <c r="L39" s="1069"/>
      <c r="M39" s="1069"/>
      <c r="N39" s="1070"/>
      <c r="O39" s="34"/>
    </row>
    <row r="40" spans="1:15" ht="21.95" customHeight="1">
      <c r="A40" s="133"/>
      <c r="B40" s="339" t="s">
        <v>69</v>
      </c>
      <c r="C40" s="208"/>
      <c r="D40" s="1062" t="e">
        <f>IF(ISBLANK(Программа!#REF!),"",(Программа!#REF!))</f>
        <v>#REF!</v>
      </c>
      <c r="E40" s="1063"/>
      <c r="F40" s="1063"/>
      <c r="G40" s="1064"/>
      <c r="H40" s="168"/>
      <c r="I40" s="1068"/>
      <c r="J40" s="1069"/>
      <c r="K40" s="1069"/>
      <c r="L40" s="1069"/>
      <c r="M40" s="1069"/>
      <c r="N40" s="1070"/>
      <c r="O40" s="34"/>
    </row>
    <row r="41" spans="1:15" ht="21.95" customHeight="1" thickBot="1">
      <c r="A41" s="133"/>
      <c r="B41" s="398" t="s">
        <v>70</v>
      </c>
      <c r="C41" s="173"/>
      <c r="D41" s="1056" t="e">
        <f>IF(ISBLANK(Программа!#REF!),"",(Программа!#REF!))</f>
        <v>#REF!</v>
      </c>
      <c r="E41" s="1057"/>
      <c r="F41" s="1057"/>
      <c r="G41" s="1058"/>
      <c r="H41" s="168"/>
      <c r="I41" s="1071"/>
      <c r="J41" s="1072"/>
      <c r="K41" s="1072"/>
      <c r="L41" s="1072"/>
      <c r="M41" s="1072"/>
      <c r="N41" s="1073"/>
      <c r="O41" s="34"/>
    </row>
    <row r="42" spans="1:15" ht="14.25">
      <c r="A42" s="133"/>
      <c r="B42" s="174"/>
      <c r="C42" s="174"/>
      <c r="D42" s="175"/>
      <c r="E42" s="133"/>
      <c r="F42" s="174"/>
      <c r="G42" s="174"/>
      <c r="H42" s="133"/>
      <c r="I42" s="176"/>
      <c r="J42" s="133"/>
      <c r="K42" s="177"/>
      <c r="L42" s="177"/>
      <c r="M42" s="177"/>
      <c r="N42" s="177"/>
      <c r="O42" s="34"/>
    </row>
  </sheetData>
  <sheetProtection password="CFC9" sheet="1"/>
  <mergeCells count="65">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B2:Q2"/>
    <mergeCell ref="E5:K5"/>
    <mergeCell ref="E3:K3"/>
    <mergeCell ref="C4:D4"/>
    <mergeCell ref="E4:K4"/>
    <mergeCell ref="C3:D3"/>
    <mergeCell ref="D23:G23"/>
    <mergeCell ref="I21:N21"/>
    <mergeCell ref="I22:N22"/>
    <mergeCell ref="I23:N23"/>
    <mergeCell ref="I29:N29"/>
    <mergeCell ref="D30:G30"/>
    <mergeCell ref="D32:G32"/>
    <mergeCell ref="D24:G24"/>
    <mergeCell ref="I30:N30"/>
    <mergeCell ref="I31:N31"/>
    <mergeCell ref="B26:N26"/>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opLeftCell="A18" zoomScaleNormal="110" zoomScaleSheetLayoutView="100" workbookViewId="0">
      <selection activeCell="B14" sqref="B14:E15"/>
    </sheetView>
  </sheetViews>
  <sheetFormatPr defaultColWidth="11" defaultRowHeight="15"/>
  <cols>
    <col min="1" max="1" width="8.8554687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32" t="str">
        <f>+"Панель показателей:  "&amp;"  "&amp;IF(+'Ввод данных'!B4="Выберите","",'Ввод данных'!B4&amp;" - ")&amp;IF('Ввод данных'!F6="Выберите","",'Ввод данных'!F6)</f>
        <v>Панель показателей:    Кыргызстан - ВИЧ/СПИД/ТБ</v>
      </c>
      <c r="C2" s="932"/>
      <c r="D2" s="932"/>
      <c r="E2" s="932"/>
      <c r="F2" s="932"/>
      <c r="G2" s="932"/>
      <c r="H2" s="932"/>
      <c r="I2" s="932"/>
      <c r="J2" s="932"/>
      <c r="K2" s="932"/>
      <c r="L2" s="932"/>
    </row>
    <row r="3" spans="1:13">
      <c r="B3" s="23">
        <f>+IF('Ввод данных'!F8="Выберите","",'Ввод данных'!F8)</f>
        <v>0</v>
      </c>
      <c r="C3" s="1162"/>
      <c r="D3" s="1162"/>
      <c r="E3" s="964"/>
      <c r="F3" s="964"/>
      <c r="G3" s="964"/>
      <c r="H3" s="964"/>
      <c r="I3" s="964"/>
      <c r="J3" s="965" t="str">
        <f>+'Ввод данных'!A16</f>
        <v>Отчетный период</v>
      </c>
      <c r="K3" s="965"/>
      <c r="L3" s="181" t="str">
        <f>+'Ввод данных'!B16</f>
        <v>P4</v>
      </c>
      <c r="M3" s="83"/>
    </row>
    <row r="4" spans="1:13">
      <c r="B4" s="369" t="str">
        <f>+'Ввод данных'!A12</f>
        <v>Последняя оценка:</v>
      </c>
      <c r="C4" s="1156" t="str">
        <f>+IF('Ввод данных'!B12="Выберите","",'Ввод данных'!B12)</f>
        <v>A1</v>
      </c>
      <c r="D4" s="1156"/>
      <c r="E4" s="964" t="str">
        <f>+'Ввод данных'!B8</f>
        <v>ПРООН</v>
      </c>
      <c r="F4" s="964"/>
      <c r="G4" s="964"/>
      <c r="H4" s="964"/>
      <c r="I4" s="964"/>
      <c r="J4" s="965" t="str">
        <f>+'Ввод данных'!C16</f>
        <v>с:</v>
      </c>
      <c r="K4" s="1159"/>
      <c r="L4" s="182">
        <f>+IF(ISBLANK('Ввод данных'!D16),"",'Ввод данных'!D16)</f>
        <v>43101</v>
      </c>
    </row>
    <row r="5" spans="1:13" ht="18.75" customHeight="1">
      <c r="B5" s="23"/>
      <c r="C5" s="23"/>
      <c r="D5" s="964"/>
      <c r="E5" s="964"/>
      <c r="F5" s="964"/>
      <c r="G5" s="964"/>
      <c r="H5" s="964"/>
      <c r="I5" s="964"/>
      <c r="J5" s="964"/>
      <c r="K5" s="23" t="str">
        <f>+'Ввод данных'!E16</f>
        <v>до:</v>
      </c>
      <c r="L5" s="182">
        <f>+IF(ISBLANK('Ввод данных'!F16),"",'Ввод данных'!F16)</f>
        <v>43281</v>
      </c>
    </row>
    <row r="6" spans="1:13" ht="18.75">
      <c r="B6" s="22"/>
      <c r="C6" s="23"/>
      <c r="D6" s="24"/>
      <c r="E6" s="1160" t="s">
        <v>347</v>
      </c>
      <c r="F6" s="1161"/>
      <c r="G6" s="1161"/>
      <c r="H6" s="1161"/>
      <c r="I6" s="1161"/>
    </row>
    <row r="7" spans="1:13" ht="18.75">
      <c r="E7" s="71"/>
      <c r="F7" s="71"/>
      <c r="G7" s="71"/>
      <c r="H7" s="71"/>
      <c r="I7" s="71"/>
    </row>
    <row r="8" spans="1:13" s="32" customFormat="1" ht="21" customHeight="1" thickBot="1">
      <c r="B8" s="74" t="s">
        <v>387</v>
      </c>
      <c r="C8" s="74"/>
      <c r="D8" s="74"/>
      <c r="E8" s="74"/>
      <c r="F8" s="74"/>
      <c r="G8" s="74"/>
      <c r="H8" s="74"/>
      <c r="I8" s="74"/>
      <c r="J8" s="74"/>
      <c r="K8" s="74"/>
      <c r="L8" s="74"/>
    </row>
    <row r="9" spans="1:13" ht="6" customHeight="1">
      <c r="B9" s="72"/>
    </row>
    <row r="10" spans="1:13">
      <c r="B10" s="1167"/>
      <c r="C10" s="1168"/>
      <c r="D10" s="1168"/>
      <c r="E10" s="1168"/>
      <c r="F10" s="1168"/>
      <c r="G10" s="1168"/>
      <c r="H10" s="1168"/>
      <c r="I10" s="1168"/>
      <c r="J10" s="1168"/>
      <c r="K10" s="1168"/>
      <c r="L10" s="1169"/>
    </row>
    <row r="11" spans="1:13">
      <c r="B11" s="1170"/>
      <c r="C11" s="1171"/>
      <c r="D11" s="1171"/>
      <c r="E11" s="1171"/>
      <c r="F11" s="1171"/>
      <c r="G11" s="1171"/>
      <c r="H11" s="1171"/>
      <c r="I11" s="1171"/>
      <c r="J11" s="1171"/>
      <c r="K11" s="1171"/>
      <c r="L11" s="1172"/>
    </row>
    <row r="12" spans="1:13" ht="15.75" thickBot="1"/>
    <row r="13" spans="1:13" ht="26.25" customHeight="1" thickBot="1">
      <c r="B13" s="1163" t="s">
        <v>386</v>
      </c>
      <c r="C13" s="1164"/>
      <c r="D13" s="1164"/>
      <c r="E13" s="1137"/>
      <c r="F13" s="75"/>
      <c r="G13" s="1233" t="s">
        <v>338</v>
      </c>
      <c r="H13" s="1173"/>
      <c r="I13" s="1173"/>
      <c r="J13" s="76" t="s">
        <v>281</v>
      </c>
      <c r="K13" s="1173" t="s">
        <v>282</v>
      </c>
      <c r="L13" s="1174"/>
    </row>
    <row r="14" spans="1:13">
      <c r="A14" s="1224" t="s">
        <v>259</v>
      </c>
      <c r="B14" s="1165"/>
      <c r="C14" s="1165"/>
      <c r="D14" s="1165"/>
      <c r="E14" s="1166"/>
      <c r="F14" s="45"/>
      <c r="G14" s="1227"/>
      <c r="H14" s="1228"/>
      <c r="I14" s="1228"/>
      <c r="J14" s="1236"/>
      <c r="K14" s="1152"/>
      <c r="L14" s="1153"/>
    </row>
    <row r="15" spans="1:13" ht="32.25" customHeight="1">
      <c r="A15" s="1225"/>
      <c r="B15" s="1165"/>
      <c r="C15" s="1165"/>
      <c r="D15" s="1165"/>
      <c r="E15" s="1166"/>
      <c r="F15" s="45"/>
      <c r="G15" s="1204"/>
      <c r="H15" s="1205"/>
      <c r="I15" s="1205"/>
      <c r="J15" s="1176"/>
      <c r="K15" s="1154"/>
      <c r="L15" s="1155"/>
    </row>
    <row r="16" spans="1:13">
      <c r="A16" s="1225"/>
      <c r="B16" s="1165"/>
      <c r="C16" s="1165"/>
      <c r="D16" s="1165"/>
      <c r="E16" s="1166"/>
      <c r="F16" s="45"/>
      <c r="G16" s="1204"/>
      <c r="H16" s="1205"/>
      <c r="I16" s="1205"/>
      <c r="J16" s="1175"/>
      <c r="K16" s="1157"/>
      <c r="L16" s="1158"/>
    </row>
    <row r="17" spans="1:12" ht="78.75" customHeight="1">
      <c r="A17" s="1225"/>
      <c r="B17" s="1165"/>
      <c r="C17" s="1165"/>
      <c r="D17" s="1165"/>
      <c r="E17" s="1166"/>
      <c r="F17" s="45"/>
      <c r="G17" s="1204"/>
      <c r="H17" s="1205"/>
      <c r="I17" s="1205"/>
      <c r="J17" s="1176"/>
      <c r="K17" s="1154"/>
      <c r="L17" s="1155"/>
    </row>
    <row r="18" spans="1:12">
      <c r="A18" s="1225"/>
      <c r="B18" s="1165"/>
      <c r="C18" s="1165"/>
      <c r="D18" s="1165"/>
      <c r="E18" s="1166"/>
      <c r="F18" s="45"/>
      <c r="G18" s="1229"/>
      <c r="H18" s="1230"/>
      <c r="I18" s="1231"/>
      <c r="J18" s="1175"/>
      <c r="K18" s="1157"/>
      <c r="L18" s="1158"/>
    </row>
    <row r="19" spans="1:12" ht="30.75" customHeight="1">
      <c r="A19" s="1225"/>
      <c r="B19" s="1165"/>
      <c r="C19" s="1165"/>
      <c r="D19" s="1165"/>
      <c r="E19" s="1166"/>
      <c r="F19" s="45"/>
      <c r="G19" s="1211"/>
      <c r="H19" s="1212"/>
      <c r="I19" s="1232"/>
      <c r="J19" s="1176"/>
      <c r="K19" s="1154"/>
      <c r="L19" s="1155"/>
    </row>
    <row r="20" spans="1:12">
      <c r="A20" s="1225"/>
      <c r="B20" s="1165"/>
      <c r="C20" s="1165"/>
      <c r="D20" s="1165"/>
      <c r="E20" s="1166"/>
      <c r="F20" s="45"/>
      <c r="G20" s="1204"/>
      <c r="H20" s="1205"/>
      <c r="I20" s="1205"/>
      <c r="J20" s="1175"/>
      <c r="K20" s="1157"/>
      <c r="L20" s="1158"/>
    </row>
    <row r="21" spans="1:12" ht="45.75" customHeight="1">
      <c r="A21" s="1225"/>
      <c r="B21" s="1165"/>
      <c r="C21" s="1165"/>
      <c r="D21" s="1165"/>
      <c r="E21" s="1166"/>
      <c r="F21" s="45"/>
      <c r="G21" s="1204"/>
      <c r="H21" s="1205"/>
      <c r="I21" s="1205"/>
      <c r="J21" s="1176"/>
      <c r="K21" s="1154"/>
      <c r="L21" s="1155"/>
    </row>
    <row r="22" spans="1:12">
      <c r="A22" s="1225"/>
      <c r="B22" s="1165"/>
      <c r="C22" s="1165"/>
      <c r="D22" s="1165"/>
      <c r="E22" s="1166"/>
      <c r="F22" s="45"/>
      <c r="G22" s="1204"/>
      <c r="H22" s="1205"/>
      <c r="I22" s="1205"/>
      <c r="J22" s="1235"/>
      <c r="K22" s="1176"/>
      <c r="L22" s="1234"/>
    </row>
    <row r="23" spans="1:12" ht="34.5" customHeight="1">
      <c r="A23" s="1225"/>
      <c r="B23" s="1165"/>
      <c r="C23" s="1165"/>
      <c r="D23" s="1165"/>
      <c r="E23" s="1166"/>
      <c r="F23" s="45"/>
      <c r="G23" s="1204"/>
      <c r="H23" s="1205"/>
      <c r="I23" s="1205"/>
      <c r="J23" s="1228"/>
      <c r="K23" s="1176"/>
      <c r="L23" s="1234"/>
    </row>
    <row r="24" spans="1:12" ht="15" customHeight="1">
      <c r="A24" s="1225"/>
      <c r="B24" s="1165"/>
      <c r="C24" s="1165"/>
      <c r="D24" s="1165"/>
      <c r="E24" s="1166"/>
      <c r="F24" s="45"/>
      <c r="G24" s="1204"/>
      <c r="H24" s="1205"/>
      <c r="I24" s="1205"/>
      <c r="J24" s="1175"/>
      <c r="K24" s="1138"/>
      <c r="L24" s="1139"/>
    </row>
    <row r="25" spans="1:12" ht="30" customHeight="1" thickBot="1">
      <c r="A25" s="1226"/>
      <c r="B25" s="1219"/>
      <c r="C25" s="1219"/>
      <c r="D25" s="1219"/>
      <c r="E25" s="1220"/>
      <c r="F25" s="45"/>
      <c r="G25" s="1206"/>
      <c r="H25" s="1207"/>
      <c r="I25" s="1207"/>
      <c r="J25" s="1199"/>
      <c r="K25" s="1140"/>
      <c r="L25" s="1141"/>
    </row>
    <row r="27" spans="1:12" ht="18.75" customHeight="1">
      <c r="D27" s="356"/>
      <c r="E27" s="362" t="s">
        <v>388</v>
      </c>
      <c r="F27" s="362"/>
      <c r="G27" s="362"/>
      <c r="H27" s="362"/>
      <c r="I27" s="362"/>
    </row>
    <row r="28" spans="1:12" ht="6" customHeight="1">
      <c r="E28" s="71"/>
      <c r="F28" s="71"/>
      <c r="G28" s="71"/>
      <c r="H28" s="71"/>
      <c r="I28" s="71"/>
    </row>
    <row r="29" spans="1:12" s="32" customFormat="1" ht="21" customHeight="1" thickBot="1">
      <c r="B29" s="74" t="s">
        <v>389</v>
      </c>
      <c r="C29" s="74"/>
      <c r="D29" s="74"/>
      <c r="E29" s="74"/>
      <c r="F29" s="74"/>
      <c r="G29" s="74"/>
      <c r="H29" s="74"/>
      <c r="I29" s="74"/>
      <c r="J29" s="74"/>
      <c r="K29" s="74"/>
      <c r="L29" s="74"/>
    </row>
    <row r="30" spans="1:12" ht="6" customHeight="1" thickBot="1">
      <c r="B30" s="72"/>
    </row>
    <row r="31" spans="1:12" ht="21.75" customHeight="1" thickBot="1">
      <c r="B31" s="1163" t="s">
        <v>338</v>
      </c>
      <c r="C31" s="1164"/>
      <c r="D31" s="1164"/>
      <c r="E31" s="1137"/>
      <c r="F31" s="75"/>
      <c r="G31" s="1163" t="s">
        <v>339</v>
      </c>
      <c r="H31" s="1164"/>
      <c r="I31" s="1203"/>
      <c r="J31" s="76" t="s">
        <v>283</v>
      </c>
      <c r="K31" s="1136" t="s">
        <v>282</v>
      </c>
      <c r="L31" s="1137"/>
    </row>
    <row r="32" spans="1:12" ht="14.25" customHeight="1">
      <c r="A32" s="1200" t="s">
        <v>340</v>
      </c>
      <c r="B32" s="1208"/>
      <c r="C32" s="1209"/>
      <c r="D32" s="1209"/>
      <c r="E32" s="1210"/>
      <c r="F32" s="45"/>
      <c r="G32" s="1221"/>
      <c r="H32" s="1222"/>
      <c r="I32" s="1223"/>
      <c r="J32" s="1134"/>
      <c r="K32" s="1152"/>
      <c r="L32" s="1153"/>
    </row>
    <row r="33" spans="1:12" ht="30" customHeight="1">
      <c r="A33" s="1201"/>
      <c r="B33" s="1211"/>
      <c r="C33" s="1212"/>
      <c r="D33" s="1212"/>
      <c r="E33" s="1213"/>
      <c r="F33" s="45"/>
      <c r="G33" s="1195"/>
      <c r="H33" s="1196"/>
      <c r="I33" s="1197"/>
      <c r="J33" s="1135"/>
      <c r="K33" s="1154"/>
      <c r="L33" s="1155"/>
    </row>
    <row r="34" spans="1:12">
      <c r="A34" s="1201"/>
      <c r="B34" s="1188"/>
      <c r="C34" s="1189"/>
      <c r="D34" s="1189"/>
      <c r="E34" s="1158"/>
      <c r="F34" s="45"/>
      <c r="G34" s="1192"/>
      <c r="H34" s="1193"/>
      <c r="I34" s="1194"/>
      <c r="J34" s="1198"/>
      <c r="K34" s="1142"/>
      <c r="L34" s="1143"/>
    </row>
    <row r="35" spans="1:12" ht="30" customHeight="1">
      <c r="A35" s="1201"/>
      <c r="B35" s="1190"/>
      <c r="C35" s="1191"/>
      <c r="D35" s="1191"/>
      <c r="E35" s="1155"/>
      <c r="F35" s="45"/>
      <c r="G35" s="1195"/>
      <c r="H35" s="1196"/>
      <c r="I35" s="1197"/>
      <c r="J35" s="1135"/>
      <c r="K35" s="1144"/>
      <c r="L35" s="1145"/>
    </row>
    <row r="36" spans="1:12">
      <c r="A36" s="1201"/>
      <c r="B36" s="1183"/>
      <c r="C36" s="1184"/>
      <c r="D36" s="1184"/>
      <c r="E36" s="1139"/>
      <c r="F36" s="45"/>
      <c r="G36" s="1192"/>
      <c r="H36" s="1193"/>
      <c r="I36" s="1194"/>
      <c r="J36" s="1132"/>
      <c r="K36" s="1142"/>
      <c r="L36" s="1143"/>
    </row>
    <row r="37" spans="1:12" ht="45" customHeight="1">
      <c r="A37" s="1201"/>
      <c r="B37" s="1185"/>
      <c r="C37" s="1186"/>
      <c r="D37" s="1186"/>
      <c r="E37" s="1187"/>
      <c r="F37" s="45"/>
      <c r="G37" s="1195"/>
      <c r="H37" s="1196"/>
      <c r="I37" s="1197"/>
      <c r="J37" s="1135"/>
      <c r="K37" s="1144"/>
      <c r="L37" s="1145"/>
    </row>
    <row r="38" spans="1:12">
      <c r="A38" s="1201"/>
      <c r="B38" s="1183"/>
      <c r="C38" s="1184"/>
      <c r="D38" s="1184"/>
      <c r="E38" s="1139"/>
      <c r="F38" s="45"/>
      <c r="G38" s="1177"/>
      <c r="H38" s="1178"/>
      <c r="I38" s="1179"/>
      <c r="J38" s="1132"/>
      <c r="K38" s="1146"/>
      <c r="L38" s="1147"/>
    </row>
    <row r="39" spans="1:12">
      <c r="A39" s="1201"/>
      <c r="B39" s="1185"/>
      <c r="C39" s="1186"/>
      <c r="D39" s="1186"/>
      <c r="E39" s="1187"/>
      <c r="F39" s="45"/>
      <c r="G39" s="1180"/>
      <c r="H39" s="1181"/>
      <c r="I39" s="1182"/>
      <c r="J39" s="1135"/>
      <c r="K39" s="1148"/>
      <c r="L39" s="1149"/>
    </row>
    <row r="40" spans="1:12">
      <c r="A40" s="1201"/>
      <c r="B40" s="1183"/>
      <c r="C40" s="1184"/>
      <c r="D40" s="1184"/>
      <c r="E40" s="1139"/>
      <c r="F40" s="45"/>
      <c r="G40" s="1177"/>
      <c r="H40" s="1178"/>
      <c r="I40" s="1179"/>
      <c r="J40" s="1132"/>
      <c r="K40" s="1146"/>
      <c r="L40" s="1147"/>
    </row>
    <row r="41" spans="1:12">
      <c r="A41" s="1201"/>
      <c r="B41" s="1185"/>
      <c r="C41" s="1186"/>
      <c r="D41" s="1186"/>
      <c r="E41" s="1187"/>
      <c r="F41" s="45"/>
      <c r="G41" s="1180"/>
      <c r="H41" s="1181"/>
      <c r="I41" s="1182"/>
      <c r="J41" s="1135"/>
      <c r="K41" s="1148"/>
      <c r="L41" s="1149"/>
    </row>
    <row r="42" spans="1:12">
      <c r="A42" s="1201"/>
      <c r="B42" s="1183"/>
      <c r="C42" s="1184"/>
      <c r="D42" s="1184"/>
      <c r="E42" s="1139"/>
      <c r="F42" s="45"/>
      <c r="G42" s="1177"/>
      <c r="H42" s="1178"/>
      <c r="I42" s="1179"/>
      <c r="J42" s="1132"/>
      <c r="K42" s="1146"/>
      <c r="L42" s="1147"/>
    </row>
    <row r="43" spans="1:12" ht="15.75" thickBot="1">
      <c r="A43" s="1202"/>
      <c r="B43" s="1214"/>
      <c r="C43" s="1215"/>
      <c r="D43" s="1215"/>
      <c r="E43" s="1141"/>
      <c r="F43" s="45"/>
      <c r="G43" s="1216"/>
      <c r="H43" s="1217"/>
      <c r="I43" s="1218"/>
      <c r="J43" s="1133"/>
      <c r="K43" s="1150"/>
      <c r="L43" s="1151"/>
    </row>
  </sheetData>
  <sheetProtection password="CFC9" sheet="1"/>
  <mergeCells count="66">
    <mergeCell ref="K18:L19"/>
    <mergeCell ref="G18:I19"/>
    <mergeCell ref="G13:I13"/>
    <mergeCell ref="K22:L23"/>
    <mergeCell ref="K20:L21"/>
    <mergeCell ref="J22:J23"/>
    <mergeCell ref="G16:I17"/>
    <mergeCell ref="J16:J17"/>
    <mergeCell ref="J14:J15"/>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J42:J43"/>
    <mergeCell ref="J32:J33"/>
    <mergeCell ref="K31:L31"/>
    <mergeCell ref="K24:L25"/>
    <mergeCell ref="K34:L35"/>
    <mergeCell ref="K40:L41"/>
    <mergeCell ref="K42:L43"/>
    <mergeCell ref="K36:L37"/>
    <mergeCell ref="K38:L39"/>
    <mergeCell ref="K32:L33"/>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FCD7FC6D-C8A1-4CF9-9C6D-60A318F439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DD02EAF0-2AA9-4A84-A04C-8376A13F02F4}">
  <ds:schemaRefs>
    <ds:schemaRef ds:uri="http://schemas.microsoft.com/sharepoint/v3/contenttype/forms"/>
  </ds:schemaRefs>
</ds:datastoreItem>
</file>

<file path=customXml/itemProps3.xml><?xml version="1.0" encoding="utf-8"?>
<ds:datastoreItem xmlns:ds="http://schemas.openxmlformats.org/officeDocument/2006/customXml" ds:itemID="{78DFA6C9-3F96-4413-B912-D348D4E4188B}">
  <ds:schemaRefs>
    <ds:schemaRef ds:uri="http://purl.org/dc/dcmitype/"/>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f127e3a1-6a43-4b35-8211-dfdf2a8cacea"/>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23</vt:i4>
      </vt:variant>
    </vt:vector>
  </HeadingPairs>
  <TitlesOfParts>
    <vt:vector size="35" baseType="lpstr">
      <vt:lpstr>Меню</vt:lpstr>
      <vt:lpstr>Показатели</vt:lpstr>
      <vt:lpstr>Ввод данных</vt:lpstr>
      <vt:lpstr>Сведения о гранте</vt:lpstr>
      <vt:lpstr>Финансирование</vt:lpstr>
      <vt:lpstr>Управление</vt:lpstr>
      <vt:lpstr>Программа</vt:lpstr>
      <vt:lpstr>Рекомендации</vt:lpstr>
      <vt:lpstr>Действия</vt:lpstr>
      <vt:lpstr>Установки</vt:lpstr>
      <vt:lpstr>Акронимы</vt:lpstr>
      <vt:lpstr>Лист1</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Действия!PrintM</vt:lpstr>
      <vt:lpstr>PrintM</vt:lpstr>
      <vt:lpstr>PrintP</vt:lpstr>
      <vt:lpstr>PrintR</vt:lpstr>
      <vt:lpstr>Rating</vt:lpstr>
      <vt:lpstr>Round</vt:lpstr>
      <vt:lpstr>мва</vt:lpstr>
      <vt:lpstr>Действия!Область_печати</vt:lpstr>
      <vt:lpstr>Программа!Область_печати</vt:lpstr>
      <vt:lpstr>Управление!Область_печати</vt:lpstr>
      <vt:lpstr>Финансирование!Область_печати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  PrintM  PrintM  PrintP  PrintR  Rating  Round       Введите финансовые д&amp;lt;/p&amp;gt;</dc:subject>
  <dc:creator>Genc Kastrati</dc:creator>
  <dc:description>&amp;lt;p&amp;gt;Акронимы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  PrintM  PrintM  PrintP  PrintR  Rating  Round       Введите финансовые д&amp;lt;/p&amp;gt;</dc:description>
  <cp:lastModifiedBy>Meerim Bolotbaeva</cp:lastModifiedBy>
  <cp:lastPrinted>2013-09-18T04:23:50Z</cp:lastPrinted>
  <dcterms:created xsi:type="dcterms:W3CDTF">2008-11-20T16:06:13Z</dcterms:created>
  <dcterms:modified xsi:type="dcterms:W3CDTF">2018-10-31T02:55:38Z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y fmtid="{D5CDD505-2E9C-101B-9397-08002B2CF9AE}" pid="26" name="SV_QUERY_LIST_4F35BF76-6C0D-4D9B-82B2-816C12CF3733">
    <vt:lpwstr>empty_477D106A-C0D6-4607-AEBD-E2C9D60EA279</vt:lpwstr>
  </property>
  <property fmtid="{D5CDD505-2E9C-101B-9397-08002B2CF9AE}" pid="27" name="SV_HIDDEN_GRID_QUERY_LIST_4F35BF76-6C0D-4D9B-82B2-816C12CF3733">
    <vt:lpwstr>empty_477D106A-C0D6-4607-AEBD-E2C9D60EA279</vt:lpwstr>
  </property>
</Properties>
</file>