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SingleCells1.xml" ContentType="application/vnd.openxmlformats-officedocument.spreadsheetml.tableSingleCell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CCM\Dashboard\HIV-TB\"/>
    </mc:Choice>
  </mc:AlternateContent>
  <bookViews>
    <workbookView xWindow="-15" yWindow="1605" windowWidth="15600" windowHeight="4350" tabRatio="793"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externalReferences>
    <externalReference r:id="rId13"/>
    <externalReference r:id="rId14"/>
  </externalReference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данных'!$A$76:$G$159</definedName>
    <definedName name="PrintF">Финансирование!$A$2:$M$31</definedName>
    <definedName name="PrintGD">'Сведения о гранте'!$A$2:$J$13</definedName>
    <definedName name="PrintM" localSheetId="8">Действия!$A$2:$L$6</definedName>
    <definedName name="PrintM">Управление!$A$2:$M$65</definedName>
    <definedName name="PrintP">Программа!$A$2:$P$61</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Программа!$A$1:$Q$60</definedName>
    <definedName name="_xlnm.Print_Area" localSheetId="5">Управление!$A$1:$M$52</definedName>
    <definedName name="_xlnm.Print_Area" localSheetId="4">Финансирование!$A$2:$M$31</definedName>
  </definedNames>
  <calcPr calcId="152511"/>
</workbook>
</file>

<file path=xl/calcChain.xml><?xml version="1.0" encoding="utf-8"?>
<calcChain xmlns="http://schemas.openxmlformats.org/spreadsheetml/2006/main">
  <c r="D115" i="29" l="1"/>
  <c r="E115" i="29" s="1"/>
  <c r="C115" i="29"/>
  <c r="E34" i="29" l="1"/>
  <c r="E33" i="29"/>
  <c r="M49" i="35" l="1"/>
  <c r="M50" i="35"/>
  <c r="M51" i="35"/>
  <c r="M48" i="35"/>
  <c r="M32" i="35"/>
  <c r="M33" i="35"/>
  <c r="M34" i="35"/>
  <c r="M35" i="35"/>
  <c r="M36" i="35"/>
  <c r="M37" i="35"/>
  <c r="M38" i="35"/>
  <c r="M39" i="35"/>
  <c r="M40" i="35"/>
  <c r="M41" i="35"/>
  <c r="M42" i="35"/>
  <c r="M43" i="35"/>
  <c r="G134" i="29"/>
  <c r="G135" i="29"/>
  <c r="G128" i="29"/>
  <c r="H122" i="29" l="1"/>
  <c r="J122" i="29" s="1"/>
  <c r="H123" i="29"/>
  <c r="J123" i="29" s="1"/>
  <c r="H124" i="29"/>
  <c r="J124" i="29" s="1"/>
  <c r="H125" i="29"/>
  <c r="J125" i="29" s="1"/>
  <c r="H126" i="29"/>
  <c r="J126" i="29" s="1"/>
  <c r="H127" i="29"/>
  <c r="J127" i="29" s="1"/>
  <c r="H128" i="29"/>
  <c r="J128" i="29" s="1"/>
  <c r="H129" i="29"/>
  <c r="J129" i="29" s="1"/>
  <c r="H130" i="29"/>
  <c r="J130" i="29" s="1"/>
  <c r="H131" i="29"/>
  <c r="J131" i="29" s="1"/>
  <c r="H132" i="29"/>
  <c r="J132" i="29" s="1"/>
  <c r="H133" i="29"/>
  <c r="J133" i="29" s="1"/>
  <c r="H134" i="29"/>
  <c r="J134" i="29" s="1"/>
  <c r="H135" i="29"/>
  <c r="J135" i="29" s="1"/>
  <c r="H136" i="29"/>
  <c r="J136" i="29" s="1"/>
  <c r="F122" i="29"/>
  <c r="F123" i="29"/>
  <c r="F124" i="29"/>
  <c r="F125" i="29"/>
  <c r="F126" i="29"/>
  <c r="F127" i="29"/>
  <c r="F128" i="29"/>
  <c r="F129" i="29"/>
  <c r="F130" i="29"/>
  <c r="F131" i="29"/>
  <c r="F132" i="29"/>
  <c r="F133" i="29"/>
  <c r="F134" i="29"/>
  <c r="F135" i="29"/>
  <c r="F136" i="29"/>
  <c r="D122" i="29"/>
  <c r="D123" i="29"/>
  <c r="D124" i="29"/>
  <c r="D125" i="29"/>
  <c r="D126" i="29"/>
  <c r="D127" i="29"/>
  <c r="D128" i="29"/>
  <c r="D129" i="29"/>
  <c r="D130" i="29"/>
  <c r="D131" i="29"/>
  <c r="D132" i="29"/>
  <c r="D133" i="29"/>
  <c r="D134" i="29"/>
  <c r="D135" i="29"/>
  <c r="M68" i="35"/>
  <c r="M67" i="35"/>
  <c r="M66" i="35"/>
  <c r="F153" i="29"/>
  <c r="H153" i="29" s="1"/>
  <c r="J153" i="29" s="1"/>
  <c r="E114" i="29" l="1"/>
  <c r="E113" i="29"/>
  <c r="M71" i="35" l="1"/>
  <c r="M54" i="35"/>
  <c r="M55" i="35"/>
  <c r="M56" i="35"/>
  <c r="M57" i="35"/>
  <c r="M58" i="35"/>
  <c r="M59" i="35"/>
  <c r="M60" i="35"/>
  <c r="M61" i="35"/>
  <c r="M62" i="35"/>
  <c r="M63" i="35"/>
  <c r="M64" i="35"/>
  <c r="M65" i="35"/>
  <c r="M69" i="35"/>
  <c r="M70" i="35"/>
  <c r="M46" i="35"/>
  <c r="M47" i="35"/>
  <c r="M52" i="35"/>
  <c r="M53" i="35"/>
  <c r="M45" i="35"/>
  <c r="M44" i="35"/>
  <c r="X38" i="37" l="1"/>
  <c r="W38" i="37"/>
  <c r="V38" i="37"/>
  <c r="U38" i="37"/>
  <c r="T38" i="37"/>
  <c r="B57" i="37"/>
  <c r="I198" i="29"/>
  <c r="G198" i="29"/>
  <c r="I197" i="29"/>
  <c r="G197" i="29"/>
  <c r="I196" i="29"/>
  <c r="G196" i="29"/>
  <c r="I195" i="29"/>
  <c r="G195" i="29"/>
  <c r="I194" i="29"/>
  <c r="G194" i="29"/>
  <c r="I193" i="29"/>
  <c r="G193" i="29"/>
  <c r="F154" i="29"/>
  <c r="H154" i="29" s="1"/>
  <c r="J154" i="29" s="1"/>
  <c r="F139" i="29"/>
  <c r="H139" i="29" s="1"/>
  <c r="J139" i="29" s="1"/>
  <c r="F140" i="29"/>
  <c r="H140" i="29" s="1"/>
  <c r="J140" i="29" s="1"/>
  <c r="F141" i="29"/>
  <c r="H141" i="29" s="1"/>
  <c r="J141" i="29" s="1"/>
  <c r="F142" i="29"/>
  <c r="H142" i="29" s="1"/>
  <c r="J142" i="29" s="1"/>
  <c r="F143" i="29"/>
  <c r="H143" i="29" s="1"/>
  <c r="J143" i="29" s="1"/>
  <c r="F144" i="29"/>
  <c r="H144" i="29" s="1"/>
  <c r="J144" i="29" s="1"/>
  <c r="F145" i="29"/>
  <c r="H145" i="29" s="1"/>
  <c r="J145" i="29" s="1"/>
  <c r="F146" i="29"/>
  <c r="H146" i="29" s="1"/>
  <c r="J146" i="29" s="1"/>
  <c r="F147" i="29"/>
  <c r="H147" i="29" s="1"/>
  <c r="J147" i="29" s="1"/>
  <c r="F148" i="29"/>
  <c r="H148" i="29" s="1"/>
  <c r="J148" i="29" s="1"/>
  <c r="F149" i="29"/>
  <c r="H149" i="29" s="1"/>
  <c r="J149" i="29" s="1"/>
  <c r="F150" i="29"/>
  <c r="H150" i="29" s="1"/>
  <c r="J150" i="29" s="1"/>
  <c r="F151" i="29"/>
  <c r="H151" i="29" s="1"/>
  <c r="J151" i="29" s="1"/>
  <c r="F152" i="29"/>
  <c r="H152" i="29" s="1"/>
  <c r="J152" i="29" s="1"/>
  <c r="F138" i="29"/>
  <c r="H138" i="29" s="1"/>
  <c r="J138" i="29" s="1"/>
  <c r="B28" i="35"/>
  <c r="L8" i="37"/>
  <c r="F8" i="37"/>
  <c r="B8" i="37"/>
  <c r="B55" i="37"/>
  <c r="B56" i="37"/>
  <c r="B58" i="37"/>
  <c r="B59" i="37"/>
  <c r="B60" i="37"/>
  <c r="D137" i="29"/>
  <c r="F137" i="29" s="1"/>
  <c r="H137" i="29" s="1"/>
  <c r="J137" i="29" s="1"/>
  <c r="D114" i="29"/>
  <c r="D113" i="29"/>
  <c r="D104" i="29"/>
  <c r="D105" i="29"/>
  <c r="D103" i="29"/>
  <c r="X37" i="37"/>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29" i="37"/>
  <c r="W29" i="37"/>
  <c r="V29" i="37"/>
  <c r="U29" i="37"/>
  <c r="T29" i="37"/>
  <c r="X28" i="37"/>
  <c r="W28" i="37"/>
  <c r="V28" i="37"/>
  <c r="U28" i="37"/>
  <c r="T28" i="37"/>
  <c r="Z26" i="37"/>
  <c r="AA26" i="37" s="1"/>
  <c r="X26" i="37"/>
  <c r="W26" i="37"/>
  <c r="V26" i="37"/>
  <c r="U26" i="37"/>
  <c r="T26" i="37"/>
  <c r="Z25" i="37"/>
  <c r="AA25" i="37" s="1"/>
  <c r="X25" i="37"/>
  <c r="W25" i="37"/>
  <c r="V25" i="37"/>
  <c r="U25" i="37"/>
  <c r="T25" i="37"/>
  <c r="Z24" i="37"/>
  <c r="AA24" i="37"/>
  <c r="AD24" i="37" s="1"/>
  <c r="X24" i="37"/>
  <c r="W24" i="37"/>
  <c r="V24" i="37"/>
  <c r="U24" i="37"/>
  <c r="T24" i="37"/>
  <c r="AF23" i="37"/>
  <c r="AE23" i="37"/>
  <c r="AD23" i="37"/>
  <c r="AC23" i="37"/>
  <c r="AB23" i="37"/>
  <c r="X23" i="37"/>
  <c r="W23" i="37"/>
  <c r="V23" i="37"/>
  <c r="U23" i="37"/>
  <c r="T23" i="37"/>
  <c r="I52" i="35"/>
  <c r="I32" i="35"/>
  <c r="D90" i="29"/>
  <c r="O193" i="29"/>
  <c r="P193" i="29"/>
  <c r="Q193" i="29"/>
  <c r="O194" i="29"/>
  <c r="P194" i="29"/>
  <c r="Q194" i="29"/>
  <c r="O195" i="29"/>
  <c r="P195" i="29"/>
  <c r="Q195" i="29"/>
  <c r="O196" i="29"/>
  <c r="P196" i="29"/>
  <c r="Q196" i="29"/>
  <c r="O197" i="29"/>
  <c r="P197" i="29"/>
  <c r="Q197" i="29"/>
  <c r="O198" i="29"/>
  <c r="P198" i="29"/>
  <c r="Q198" i="29"/>
  <c r="N198" i="29"/>
  <c r="M198" i="29"/>
  <c r="L198" i="29"/>
  <c r="K198" i="29"/>
  <c r="J198" i="29"/>
  <c r="N197" i="29"/>
  <c r="M197" i="29"/>
  <c r="L197" i="29"/>
  <c r="K197" i="29"/>
  <c r="J197" i="29"/>
  <c r="E197" i="29"/>
  <c r="D197" i="29"/>
  <c r="A197" i="29"/>
  <c r="N196" i="29"/>
  <c r="M196" i="29"/>
  <c r="L196" i="29"/>
  <c r="K196" i="29"/>
  <c r="J196" i="29"/>
  <c r="N195" i="29"/>
  <c r="M195" i="29"/>
  <c r="L195" i="29"/>
  <c r="K195" i="29"/>
  <c r="J195" i="29"/>
  <c r="E195" i="29"/>
  <c r="D195" i="29"/>
  <c r="A195" i="29"/>
  <c r="N194" i="29"/>
  <c r="M194" i="29"/>
  <c r="L194" i="29"/>
  <c r="K194" i="29"/>
  <c r="J194" i="29"/>
  <c r="N193" i="29"/>
  <c r="M193" i="29"/>
  <c r="L193" i="29"/>
  <c r="K193" i="29"/>
  <c r="J193" i="29"/>
  <c r="E193" i="29"/>
  <c r="D193" i="29"/>
  <c r="A193" i="29"/>
  <c r="H214" i="29"/>
  <c r="G234" i="29"/>
  <c r="H234" i="29"/>
  <c r="I234" i="29"/>
  <c r="J234" i="29"/>
  <c r="K234" i="29"/>
  <c r="L234" i="29"/>
  <c r="M234" i="29"/>
  <c r="N234" i="29"/>
  <c r="O234" i="29"/>
  <c r="P234" i="29"/>
  <c r="Q234" i="29"/>
  <c r="A235" i="29"/>
  <c r="D235" i="29"/>
  <c r="E235" i="29"/>
  <c r="G235" i="29"/>
  <c r="H235" i="29"/>
  <c r="I235" i="29"/>
  <c r="J235" i="29"/>
  <c r="K235" i="29"/>
  <c r="L235" i="29"/>
  <c r="M235" i="29"/>
  <c r="N235" i="29"/>
  <c r="O235" i="29"/>
  <c r="P235" i="29"/>
  <c r="Q235" i="29"/>
  <c r="G236" i="29"/>
  <c r="H236" i="29"/>
  <c r="I236" i="29"/>
  <c r="J236" i="29"/>
  <c r="K236" i="29"/>
  <c r="L236" i="29"/>
  <c r="M236" i="29"/>
  <c r="N236" i="29"/>
  <c r="O236" i="29"/>
  <c r="P236" i="29"/>
  <c r="Q236" i="29"/>
  <c r="A237" i="29"/>
  <c r="D237" i="29"/>
  <c r="E237" i="29"/>
  <c r="G237" i="29"/>
  <c r="H237" i="29"/>
  <c r="I237" i="29"/>
  <c r="J237" i="29"/>
  <c r="K237" i="29"/>
  <c r="L237" i="29"/>
  <c r="M237" i="29"/>
  <c r="N237" i="29"/>
  <c r="O237" i="29"/>
  <c r="P237" i="29"/>
  <c r="Q237" i="29"/>
  <c r="G238" i="29"/>
  <c r="H238" i="29"/>
  <c r="I238" i="29"/>
  <c r="J238" i="29"/>
  <c r="K238" i="29"/>
  <c r="L238" i="29"/>
  <c r="M238" i="29"/>
  <c r="N238" i="29"/>
  <c r="O238" i="29"/>
  <c r="P238" i="29"/>
  <c r="Q238" i="29"/>
  <c r="A239" i="29"/>
  <c r="D239" i="29"/>
  <c r="E239" i="29"/>
  <c r="G239" i="29"/>
  <c r="H239" i="29"/>
  <c r="I239" i="29"/>
  <c r="J239" i="29"/>
  <c r="K239" i="29"/>
  <c r="L239" i="29"/>
  <c r="M239" i="29"/>
  <c r="N239" i="29"/>
  <c r="O239" i="29"/>
  <c r="P239" i="29"/>
  <c r="Q239" i="29"/>
  <c r="G240" i="29"/>
  <c r="H240" i="29"/>
  <c r="I240" i="29"/>
  <c r="J240" i="29"/>
  <c r="K240" i="29"/>
  <c r="L240" i="29"/>
  <c r="M240" i="29"/>
  <c r="N240" i="29"/>
  <c r="O240" i="29"/>
  <c r="P240" i="29"/>
  <c r="Q240" i="29"/>
  <c r="F83" i="29"/>
  <c r="F84" i="29"/>
  <c r="AE24" i="37"/>
  <c r="B115" i="29"/>
  <c r="C114" i="29"/>
  <c r="B114" i="29"/>
  <c r="C113" i="29"/>
  <c r="B113" i="29"/>
  <c r="B33" i="29"/>
  <c r="Q29" i="29" s="1"/>
  <c r="C33" i="29"/>
  <c r="D33" i="29" s="1"/>
  <c r="B32" i="29"/>
  <c r="B34" i="29" s="1"/>
  <c r="C34" i="29" s="1"/>
  <c r="D34" i="29" s="1"/>
  <c r="B56" i="29"/>
  <c r="E56" i="29" s="1"/>
  <c r="C56" i="29"/>
  <c r="I27" i="47"/>
  <c r="I28" i="47"/>
  <c r="G29" i="47"/>
  <c r="G31" i="47"/>
  <c r="G27" i="47"/>
  <c r="G28" i="47"/>
  <c r="G26" i="47"/>
  <c r="F20" i="47"/>
  <c r="G19" i="47"/>
  <c r="G18" i="47"/>
  <c r="D22" i="47"/>
  <c r="E19" i="47"/>
  <c r="E20" i="47"/>
  <c r="E18" i="47"/>
  <c r="F14" i="47"/>
  <c r="E14" i="47"/>
  <c r="K10" i="47"/>
  <c r="J10" i="47"/>
  <c r="C14" i="47"/>
  <c r="D13" i="47"/>
  <c r="D12" i="47"/>
  <c r="D11" i="47"/>
  <c r="D6" i="47"/>
  <c r="C6" i="47"/>
  <c r="D64" i="29"/>
  <c r="D63" i="29"/>
  <c r="D62" i="29"/>
  <c r="D61" i="29"/>
  <c r="E35" i="29"/>
  <c r="H160"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J8" i="30" s="1"/>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54" i="35"/>
  <c r="J3" i="39"/>
  <c r="L3" i="39"/>
  <c r="B4" i="39"/>
  <c r="E4" i="39"/>
  <c r="J4" i="39"/>
  <c r="L4" i="39"/>
  <c r="K5" i="39"/>
  <c r="L5" i="39"/>
  <c r="L3" i="42"/>
  <c r="M3" i="42"/>
  <c r="B4" i="42"/>
  <c r="E4" i="42"/>
  <c r="L4" i="42"/>
  <c r="M4" i="42"/>
  <c r="L5" i="42"/>
  <c r="M5" i="42"/>
  <c r="D14" i="42"/>
  <c r="O3" i="37"/>
  <c r="Q3" i="37"/>
  <c r="B4" i="37"/>
  <c r="E4" i="37"/>
  <c r="P4" i="37"/>
  <c r="Q4" i="37"/>
  <c r="D5" i="37"/>
  <c r="P5" i="37"/>
  <c r="Q5" i="37"/>
  <c r="B41" i="37"/>
  <c r="F41" i="37"/>
  <c r="L41" i="37"/>
  <c r="T56" i="37"/>
  <c r="U56" i="37"/>
  <c r="T57" i="37"/>
  <c r="U57"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1" i="29"/>
  <c r="B10" i="45"/>
  <c r="B11" i="45"/>
  <c r="B19" i="45"/>
  <c r="B20" i="45"/>
  <c r="B21" i="45"/>
  <c r="B22" i="45"/>
  <c r="B25" i="45"/>
  <c r="H4" i="1"/>
  <c r="C35" i="29"/>
  <c r="I35" i="29"/>
  <c r="G35" i="29"/>
  <c r="Q35" i="29"/>
  <c r="J35" i="29"/>
  <c r="Q33" i="29"/>
  <c r="Q34" i="29"/>
  <c r="B35" i="29"/>
  <c r="Q58" i="29"/>
  <c r="Q32" i="29"/>
  <c r="L35" i="29"/>
  <c r="P60" i="29"/>
  <c r="B22" i="30" l="1"/>
  <c r="D35" i="29"/>
  <c r="Q31" i="29"/>
  <c r="B7" i="35"/>
  <c r="J22" i="30"/>
  <c r="Q30" i="29"/>
  <c r="D14" i="47"/>
  <c r="F22" i="47" s="1"/>
  <c r="AF25" i="37"/>
  <c r="AC25" i="37"/>
  <c r="AB25" i="37"/>
  <c r="AE25" i="37"/>
  <c r="AD25" i="37"/>
  <c r="AE26" i="37"/>
  <c r="AD26" i="37"/>
  <c r="AF26" i="37"/>
  <c r="AC26" i="37"/>
  <c r="AB26" i="37"/>
  <c r="I18" i="35"/>
  <c r="I28" i="35"/>
  <c r="AB24" i="37"/>
  <c r="B8" i="30"/>
  <c r="AC24" i="37"/>
  <c r="AF24" i="37"/>
  <c r="I7" i="35"/>
  <c r="B18" i="35"/>
</calcChain>
</file>

<file path=xl/comments1.xml><?xml version="1.0" encoding="utf-8"?>
<comments xmlns="http://schemas.openxmlformats.org/spreadsheetml/2006/main">
  <authors>
    <author>Irina Schelokova</author>
  </authors>
  <commentList>
    <comment ref="B55"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6"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8" authorId="0" shapeId="0">
      <text>
        <r>
          <rPr>
            <b/>
            <sz val="9"/>
            <color indexed="81"/>
            <rFont val="Tahoma"/>
            <family val="2"/>
            <charset val="204"/>
          </rPr>
          <t>Irina Schelokova:</t>
        </r>
        <r>
          <rPr>
            <sz val="9"/>
            <color indexed="81"/>
            <rFont val="Tahoma"/>
            <family val="2"/>
            <charset val="204"/>
          </rPr>
          <t xml:space="preserve">
в 2 фазе индикатор исключен</t>
        </r>
      </text>
    </comment>
  </commentList>
</comments>
</file>

<file path=xl/comments2.xml><?xml version="1.0" encoding="utf-8"?>
<comments xmlns="http://schemas.openxmlformats.org/spreadsheetml/2006/main">
  <authors>
    <author>mgleixner</author>
    <author>Nazgul Akaeva</author>
    <author>molszak</author>
  </authors>
  <commentList>
    <comment ref="A30" authorId="0" shapeId="0">
      <text>
        <r>
          <rPr>
            <sz val="8"/>
            <color indexed="81"/>
            <rFont val="Tahoma"/>
            <family val="2"/>
          </rPr>
          <t>To define your periods (eg. P1, P2, P3 etc or P9, P10, P11 etc) you need to unprotect the cells.</t>
        </r>
      </text>
    </comment>
    <comment ref="B32" authorId="1" shapeId="0">
      <text>
        <r>
          <rPr>
            <b/>
            <sz val="9"/>
            <color indexed="81"/>
            <rFont val="Tahoma"/>
            <family val="2"/>
            <charset val="204"/>
          </rPr>
          <t>Nazgul Akaeva:</t>
        </r>
        <r>
          <rPr>
            <sz val="9"/>
            <color indexed="81"/>
            <rFont val="Tahoma"/>
            <family val="2"/>
            <charset val="204"/>
          </rPr>
          <t xml:space="preserve">
2 214 860$ -uncommitted cash balance from closed grants transferred to grant KGZ-C-UNDP</t>
        </r>
      </text>
    </comment>
    <comment ref="A81" authorId="2" shapeId="0">
      <text>
        <r>
          <rPr>
            <b/>
            <sz val="8"/>
            <color indexed="81"/>
            <rFont val="Tahoma"/>
            <family val="2"/>
          </rPr>
          <t xml:space="preserve">If data are not available, do not enter zeros; rather, leave the cells in the table blank. </t>
        </r>
      </text>
    </comment>
    <comment ref="A82" authorId="2" shapeId="0">
      <text>
        <r>
          <rPr>
            <b/>
            <sz val="8"/>
            <color indexed="81"/>
            <rFont val="Tahoma"/>
            <family val="2"/>
          </rPr>
          <t>If data are not available, do not enter zeros; rather, leave the cells in this table blank.</t>
        </r>
      </text>
    </comment>
    <comment ref="A83" authorId="2" shapeId="0">
      <text>
        <r>
          <rPr>
            <b/>
            <sz val="8"/>
            <color indexed="81"/>
            <rFont val="Tahoma"/>
            <family val="2"/>
          </rPr>
          <t xml:space="preserve">If data are not available, do not enter zeros; rather, leave the cells in the table blank. </t>
        </r>
      </text>
    </comment>
    <comment ref="A84" authorId="2"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109" authorId="0" shapeId="0">
      <text>
        <r>
          <rPr>
            <sz val="8"/>
            <color indexed="81"/>
            <rFont val="Tahoma"/>
            <family val="2"/>
          </rPr>
          <t>To define your periods (eg. P1, P2, P3 etc or P9, P10, P11 etc) you need to unprotect the cells.</t>
        </r>
      </text>
    </comment>
  </commentList>
</comments>
</file>

<file path=xl/comments3.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<sst xmlns="http://schemas.openxmlformats.org/spreadsheetml/2006/main" count="1149" uniqueCount="788">
  <si>
    <t xml:space="preserve">     Введите финансовые данные в каждую ячейку оранжевого цвета.</t>
  </si>
  <si>
    <t>M1: Статус Предварительных условий (ПУ) и Действий с установленным сроком исполнения (ДУС)</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</si>
  <si>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</si>
  <si>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(3)
Общее кол-во пациентов, получающих лечение</t>
  </si>
  <si>
    <t>Общ. финансирование:</t>
  </si>
  <si>
    <r>
      <rPr>
        <sz val="11"/>
        <rFont val="Arial"/>
        <family val="2"/>
      </rPr>
      <t>ОПР/ЗПС</t>
    </r>
    <r>
      <rPr>
        <sz val="11"/>
        <color indexed="8"/>
        <rFont val="Arial"/>
        <family val="2"/>
      </rPr>
      <t>; данные ОР; отчеты СР  основному реципиенту.</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</si>
  <si>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</si>
  <si>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M4: Количество полных отчетов, полученных к установленному сроку</t>
  </si>
  <si>
    <t>Документация ОР: складские данные</t>
  </si>
  <si>
    <t>Источник данных</t>
  </si>
  <si>
    <t>Валюта финансирования гранта (долл. США или евро).</t>
  </si>
  <si>
    <t>Количество месяцев.</t>
  </si>
  <si>
    <t>Банковская или бухгалтерская информация ОР; уведомления ГФ о выплате средств; ОПР/ЗПС; веб-сайт ГФ.</t>
  </si>
  <si>
    <t xml:space="preserve">Документация ОР. </t>
  </si>
  <si>
    <t>Документация ОР и СР.</t>
  </si>
  <si>
    <t>Документация ОР; соглашения с субреципиентами/ меморандум о взаимопонимании (МоВ); документация СКК.</t>
  </si>
  <si>
    <t>€</t>
  </si>
  <si>
    <t>$</t>
  </si>
  <si>
    <t>RCC</t>
  </si>
  <si>
    <t>Component</t>
  </si>
  <si>
    <t>Currency</t>
  </si>
  <si>
    <t>Round</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</si>
  <si>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</si>
  <si>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</si>
  <si>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</si>
  <si>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</si>
  <si>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</si>
  <si>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</si>
  <si>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</si>
  <si>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</si>
  <si>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</si>
  <si>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</si>
  <si>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</si>
  <si>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</si>
  <si>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</si>
  <si>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</si>
  <si>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</si>
  <si>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</si>
  <si>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</si>
  <si>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NVP</t>
  </si>
  <si>
    <t>3TC</t>
  </si>
  <si>
    <t>D4T</t>
  </si>
  <si>
    <t>AZT</t>
  </si>
  <si>
    <t>DDI</t>
  </si>
  <si>
    <t>EFV</t>
  </si>
  <si>
    <t>AS/MQ</t>
  </si>
  <si>
    <t>AS/LF</t>
  </si>
  <si>
    <t>AS/AQ</t>
  </si>
  <si>
    <t>Medicaments</t>
  </si>
  <si>
    <t>min</t>
  </si>
  <si>
    <t>max</t>
  </si>
  <si>
    <t>F1</t>
  </si>
  <si>
    <t>F2</t>
  </si>
  <si>
    <t>F3</t>
  </si>
  <si>
    <t>F4</t>
  </si>
  <si>
    <t>P1</t>
  </si>
  <si>
    <t>P2</t>
  </si>
  <si>
    <t>P3</t>
  </si>
  <si>
    <t>P4</t>
  </si>
  <si>
    <t>M1</t>
  </si>
  <si>
    <t>M2</t>
  </si>
  <si>
    <t>M3</t>
  </si>
  <si>
    <t>M4</t>
  </si>
  <si>
    <t>M5</t>
  </si>
  <si>
    <t>M6</t>
  </si>
  <si>
    <t>P5</t>
  </si>
  <si>
    <t>P6</t>
  </si>
  <si>
    <t>P7</t>
  </si>
  <si>
    <t>P8</t>
  </si>
  <si>
    <t>P9</t>
  </si>
  <si>
    <t>P10</t>
  </si>
  <si>
    <t>P11</t>
  </si>
  <si>
    <t>Countries</t>
  </si>
  <si>
    <t>UNOPS</t>
  </si>
  <si>
    <t>Valor</t>
  </si>
  <si>
    <t>Rating</t>
  </si>
  <si>
    <t>RDT</t>
  </si>
  <si>
    <t>Period</t>
  </si>
  <si>
    <t>P12</t>
  </si>
  <si>
    <t>LFA</t>
  </si>
  <si>
    <t>E-PAP</t>
  </si>
  <si>
    <t>Al/Lum</t>
  </si>
  <si>
    <t>Set-up = List of validation for Grant Detail page</t>
  </si>
  <si>
    <t>0% - 59%</t>
  </si>
  <si>
    <t>60% - 89%</t>
  </si>
  <si>
    <t>&gt; 90%</t>
  </si>
  <si>
    <t>V1.0</t>
  </si>
  <si>
    <t>Наименование:</t>
  </si>
  <si>
    <t>Определение</t>
  </si>
  <si>
    <t>Измерение</t>
  </si>
  <si>
    <t>Источники Данных</t>
  </si>
  <si>
    <t>Грант №</t>
  </si>
  <si>
    <t>Страна:</t>
  </si>
  <si>
    <t>Пожалуйста выберите</t>
  </si>
  <si>
    <t>Афганистан</t>
  </si>
  <si>
    <t>Албания</t>
  </si>
  <si>
    <t>Алжир</t>
  </si>
  <si>
    <t>Ангола</t>
  </si>
  <si>
    <t>Аргентина</t>
  </si>
  <si>
    <t>Армения</t>
  </si>
  <si>
    <t>Азербайджан</t>
  </si>
  <si>
    <t>Бангладеш</t>
  </si>
  <si>
    <t>Беларусь</t>
  </si>
  <si>
    <t>Белиз</t>
  </si>
  <si>
    <t>Бенин</t>
  </si>
  <si>
    <t>Бутан</t>
  </si>
  <si>
    <t>Боливия</t>
  </si>
  <si>
    <t>Босния и Герцеговина</t>
  </si>
  <si>
    <t>Ботсвана</t>
  </si>
  <si>
    <t>Бразилия</t>
  </si>
  <si>
    <t>Болгария</t>
  </si>
  <si>
    <t>Буркина Фасо</t>
  </si>
  <si>
    <t>Бурунди</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</si>
  <si>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</si>
  <si>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</si>
  <si>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</si>
  <si>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</si>
  <si>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</si>
  <si>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</si>
  <si>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</si>
  <si>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</si>
  <si>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</si>
  <si>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</si>
  <si>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</si>
  <si>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</si>
  <si>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</si>
  <si>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</si>
  <si>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</si>
  <si>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</si>
  <si>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</si>
  <si>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</si>
  <si>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</si>
  <si>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</si>
  <si>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</si>
  <si>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</si>
  <si>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</si>
  <si>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</si>
  <si>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</si>
  <si>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</si>
  <si>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</si>
  <si>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</si>
  <si>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</si>
  <si>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</si>
  <si>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</si>
  <si>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</si>
  <si>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</si>
  <si>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</si>
  <si>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</si>
  <si>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</si>
  <si>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</si>
  <si>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</si>
  <si>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</si>
  <si>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</si>
  <si>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</si>
  <si>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</si>
  <si>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</si>
  <si>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</si>
  <si>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</si>
  <si>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Кыргызстан</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</si>
  <si>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</si>
  <si>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</si>
  <si>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</si>
  <si>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</si>
  <si>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</si>
  <si>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</si>
  <si>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</si>
  <si>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</si>
  <si>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</si>
  <si>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</si>
  <si>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</si>
  <si>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</si>
  <si>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</si>
  <si>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</si>
  <si>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</si>
  <si>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Глобальный (LWF)</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</si>
  <si>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</si>
  <si>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</si>
  <si>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</si>
  <si>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</si>
  <si>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</si>
  <si>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</si>
  <si>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</si>
  <si>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</si>
  <si>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</si>
  <si>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</si>
  <si>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</si>
  <si>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</si>
  <si>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</si>
  <si>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</si>
  <si>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</si>
  <si>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</si>
  <si>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</si>
  <si>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</si>
  <si>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</si>
  <si>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</si>
  <si>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</si>
  <si>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</si>
  <si>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</si>
  <si>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</si>
  <si>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</si>
  <si>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</si>
  <si>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</si>
  <si>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</si>
  <si>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</si>
  <si>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</si>
  <si>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</si>
  <si>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</si>
  <si>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</si>
  <si>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</si>
  <si>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</si>
  <si>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</si>
  <si>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</si>
  <si>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</si>
  <si>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</si>
  <si>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</si>
  <si>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</si>
  <si>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</si>
  <si>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</si>
  <si>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</si>
  <si>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</si>
  <si>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</si>
  <si>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</si>
  <si>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</si>
  <si>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</si>
  <si>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</si>
  <si>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</si>
  <si>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</si>
  <si>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Раунд 1</t>
  </si>
  <si>
    <t>Раунд 2</t>
  </si>
  <si>
    <t>Раунд 3</t>
  </si>
  <si>
    <t>Раунд 4</t>
  </si>
  <si>
    <t>Раунд 5</t>
  </si>
  <si>
    <t>Раунд 6</t>
  </si>
  <si>
    <t>Раунд 7</t>
  </si>
  <si>
    <t>Раунд 8</t>
  </si>
  <si>
    <t>Раунд 9</t>
  </si>
  <si>
    <t>Раунд 10</t>
  </si>
  <si>
    <t>Фаза 1</t>
  </si>
  <si>
    <t>Фаза 2</t>
  </si>
  <si>
    <t>Изониазид</t>
  </si>
  <si>
    <t>Этамбутол</t>
  </si>
  <si>
    <t>Рифампицин</t>
  </si>
  <si>
    <t>Пиразинамид</t>
  </si>
  <si>
    <t>Пищевые добавки для ТБ</t>
  </si>
  <si>
    <t>ВИЧ / СПИД</t>
  </si>
  <si>
    <t>МАЛЯРИЯ</t>
  </si>
  <si>
    <t>ТБ</t>
  </si>
  <si>
    <t>ВИЧ/СПИД/ТБ</t>
  </si>
  <si>
    <t>УСЗ</t>
  </si>
  <si>
    <t>Компонент:</t>
  </si>
  <si>
    <t>Раунд:</t>
  </si>
  <si>
    <t>Период предоставления отчетной информации</t>
  </si>
  <si>
    <t>Отчетный период</t>
  </si>
  <si>
    <t>Дата ввода информации:</t>
  </si>
  <si>
    <t>Кем подготовлено:</t>
  </si>
  <si>
    <t>Информация об индикаторах</t>
  </si>
  <si>
    <t>Фаза:</t>
  </si>
  <si>
    <t>Всего</t>
  </si>
  <si>
    <t>До отчетного периода</t>
  </si>
  <si>
    <t>Текущий отчетный период</t>
  </si>
  <si>
    <t>Выполненные</t>
  </si>
  <si>
    <t>Невыполненные, но непросроченные</t>
  </si>
  <si>
    <t>Запланировано</t>
  </si>
  <si>
    <t>Заполнено</t>
  </si>
  <si>
    <t>Вакантно</t>
  </si>
  <si>
    <t>СР</t>
  </si>
  <si>
    <t>Ожидаемое кол-во</t>
  </si>
  <si>
    <t>Полученное кол-во</t>
  </si>
  <si>
    <t>Расходы</t>
  </si>
  <si>
    <t>Компонент</t>
  </si>
  <si>
    <t>Код</t>
  </si>
  <si>
    <t>Достигнуто</t>
  </si>
  <si>
    <t>с:</t>
  </si>
  <si>
    <t>дo:</t>
  </si>
  <si>
    <t>Дата начала:</t>
  </si>
  <si>
    <t>Дата подготовки отчета:</t>
  </si>
  <si>
    <t>Рекомендации</t>
  </si>
  <si>
    <t>Управление</t>
  </si>
  <si>
    <t>P1 - тенденция</t>
  </si>
  <si>
    <t>P2 - тенденция</t>
  </si>
  <si>
    <t>P3 - тенденция</t>
  </si>
  <si>
    <t>Срок</t>
  </si>
  <si>
    <t>Ответственное лицо</t>
  </si>
  <si>
    <t>Дата</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</si>
  <si>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</si>
  <si>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</si>
  <si>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</si>
  <si>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</si>
  <si>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</si>
  <si>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</si>
  <si>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</si>
  <si>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</si>
  <si>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</si>
  <si>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</si>
  <si>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</si>
  <si>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</si>
  <si>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</si>
  <si>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</si>
  <si>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</si>
  <si>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</si>
  <si>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</si>
  <si>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ПУ</t>
  </si>
  <si>
    <t>Предварительное условие</t>
  </si>
  <si>
    <t>СКМ</t>
  </si>
  <si>
    <t>Страновой Координационный Механизм</t>
  </si>
  <si>
    <t>Суб-реципиент</t>
  </si>
  <si>
    <t>ССР</t>
  </si>
  <si>
    <t>Суб-суб-реципиент</t>
  </si>
  <si>
    <t>УЗС</t>
  </si>
  <si>
    <t>Управление Закупками и Снабжением</t>
  </si>
  <si>
    <t>УФО</t>
  </si>
  <si>
    <t>Принципиальный Реципиент</t>
  </si>
  <si>
    <t>Улучшенный Финансовый Отчет</t>
  </si>
  <si>
    <t>Финансирование</t>
  </si>
  <si>
    <t>Информация о гранте</t>
  </si>
  <si>
    <t>Основной реципиент:</t>
  </si>
  <si>
    <t>Дата начала (дд/ммм/гг):</t>
  </si>
  <si>
    <t>Название гранта:</t>
  </si>
  <si>
    <t>Местный агент Фонда:</t>
  </si>
  <si>
    <t>Менеджер портфолио Фонда:</t>
  </si>
  <si>
    <t xml:space="preserve">Информация о программе: </t>
  </si>
  <si>
    <t>Введите данные в ячейки соответствующего цвета</t>
  </si>
  <si>
    <t>Общий бюджет</t>
  </si>
  <si>
    <t>Общая сумма выплат</t>
  </si>
  <si>
    <t xml:space="preserve">Информация об управлении: </t>
  </si>
  <si>
    <t>Выплачено Глобальным фондом</t>
  </si>
  <si>
    <t>Расходы и платежи ОР</t>
  </si>
  <si>
    <t>Выплачено субреципиентам</t>
  </si>
  <si>
    <t>F4: Последний отчетный и платежный цикл ОР</t>
  </si>
  <si>
    <t>Информация об управлении:</t>
  </si>
  <si>
    <t>Невыполненные и просроченные</t>
  </si>
  <si>
    <t>Финансовые обязательства</t>
  </si>
  <si>
    <t>Общий объем финансовых обязательств</t>
  </si>
  <si>
    <t>Общий объем расходов</t>
  </si>
  <si>
    <t>Связаны напрямую?</t>
  </si>
  <si>
    <t>Грант №:</t>
  </si>
  <si>
    <t>Отчетный период:</t>
  </si>
  <si>
    <t>Разница между имеющимся и безопасным уровнем запасов</t>
  </si>
  <si>
    <t>Решение СКК</t>
  </si>
  <si>
    <t>Предпринятые действия</t>
  </si>
  <si>
    <t>Предыдущий отчетный период</t>
  </si>
  <si>
    <t>F3: Выплаты и расходы</t>
  </si>
  <si>
    <t>Выплаты</t>
  </si>
  <si>
    <t>Всего:</t>
  </si>
  <si>
    <t>Валюта финансирования гранта</t>
  </si>
  <si>
    <t>(2 = 1 x 30)
Месячный курс лечения 
(кол-во таблеток на 1 пациента на 30 дней)</t>
  </si>
  <si>
    <t>% Общего объема</t>
  </si>
  <si>
    <t>Решения и действия</t>
  </si>
  <si>
    <t>до:</t>
  </si>
  <si>
    <t>Общая сумма:</t>
  </si>
  <si>
    <t>Осуществляются ли закупки и набор персонала согласно графику?</t>
  </si>
  <si>
    <t xml:space="preserve">Информация о финансировании: </t>
  </si>
  <si>
    <t>(4 = 2 x 3)
Общее кол-во таблеток, необходимое для всех пациентов на 1месяц</t>
  </si>
  <si>
    <t xml:space="preserve">     Введите данные о реализации программы в каждую ячейку желтого цвета.</t>
  </si>
  <si>
    <t>Заключительные комментарии</t>
  </si>
  <si>
    <t>Расходы субреципиентов</t>
  </si>
  <si>
    <t>Расчетные (дни)</t>
  </si>
  <si>
    <t>Фактические (дни)</t>
  </si>
  <si>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</si>
  <si>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Количество  полученных отчетов. Эта цифра отражает только отчетный период; она не является совокупной.</t>
  </si>
  <si>
    <t>Введите данные об управлении в каждую ячейку голубого цвета.</t>
  </si>
  <si>
    <t>Программа</t>
  </si>
  <si>
    <t>Осваиваются ли все средства и расходуются ли они согласно бюджету?</t>
  </si>
  <si>
    <t>F2: Бюджет и фактические расходы согласно задачам гранта</t>
  </si>
  <si>
    <t>Последняя выплата средств: количество календарных дней</t>
  </si>
  <si>
    <t xml:space="preserve">Спустя сколько дней ОР получил платеж </t>
  </si>
  <si>
    <t>Спустя сколько дней суб-реципиенты получили платежи</t>
  </si>
  <si>
    <t>Получающие финансирование</t>
  </si>
  <si>
    <t>Незавершенные</t>
  </si>
  <si>
    <t xml:space="preserve">M3: Контрактные соглашения (СР) </t>
  </si>
  <si>
    <t>Совокупный утвердженный бюджет*</t>
  </si>
  <si>
    <t>M6: Разница между текущим и резервным запасами</t>
  </si>
  <si>
    <t>(1)
Кол-во таблеток на 1 пациента в день
(см. Национальный протокол по лечению)</t>
  </si>
  <si>
    <t>(5)
Текущие запасы на центральном складе (с действительным сроком годности на ближайшие 3 месяца)</t>
  </si>
  <si>
    <t xml:space="preserve">Сколько дней понадобилось для подачи ИОР/ЗПС в офис МАФ </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</si>
  <si>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</si>
  <si>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</si>
  <si>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</si>
  <si>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Программные показатели (Система оценки результатов реализации)</t>
  </si>
  <si>
    <t>Целевой показатель</t>
  </si>
  <si>
    <t>Таблица обновляется автоматически. Данные в эти ячейки не вводятся</t>
  </si>
  <si>
    <t>Финансовые показатели</t>
  </si>
  <si>
    <t>Уровень запасов, выраженный в месяцах лечения для всех имеющихся пациентов</t>
  </si>
  <si>
    <t xml:space="preserve">Уровень резервных запасов в месяцах </t>
  </si>
  <si>
    <t>Лекарственные средства и продукты медицинского назначения</t>
  </si>
  <si>
    <t>Отдел управления проектом</t>
  </si>
  <si>
    <t>Основные рекомендации Комитета по надзору</t>
  </si>
  <si>
    <t>Какой общий статус реализации этого гранта?</t>
  </si>
  <si>
    <t>Запланированные действия/Предыдущий период</t>
  </si>
  <si>
    <t>Каково общее состояние действий, осуществленных за предыдущий период?</t>
  </si>
  <si>
    <t>Достигаются ли технические целевые показатели?</t>
  </si>
  <si>
    <t>Показатели</t>
  </si>
  <si>
    <t>Показатели по управлению</t>
  </si>
  <si>
    <t>Кем подготовлен:</t>
  </si>
  <si>
    <t>Портфолио Менеджер  Фонда:</t>
  </si>
  <si>
    <t>Последняя оценка</t>
  </si>
  <si>
    <t>Последняя оценка:</t>
  </si>
  <si>
    <t>F1: Бюджет и выплаты Глобальным фондом</t>
  </si>
  <si>
    <t>M2: Статус ключевых руководящих должностей в структуре ОР</t>
  </si>
  <si>
    <t>Показатели должны быть выбраны ОР и членами СКК или Техническим комитетом СКК, см. Систему оценки результатов реализации</t>
  </si>
  <si>
    <t>Номер показателя: название (№ в Системе оценки результатов реализации)</t>
  </si>
  <si>
    <t>Система оценки результатов реализации</t>
  </si>
  <si>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</si>
  <si>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M5: Бюджет и закупки товаров медицинского назначения, медицинского оборудования,  лекарственных средств и фармацевтических препаратов</t>
  </si>
  <si>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</si>
  <si>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</si>
  <si>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Совокупный бюджет</t>
  </si>
  <si>
    <t>Совокупные расходы</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</si>
  <si>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</si>
  <si>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</si>
  <si>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Подписавшие соглашение</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</si>
  <si>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</si>
  <si>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t>Определеные</t>
  </si>
  <si>
    <t>Прошедшие оценку</t>
  </si>
  <si>
    <t>Одобренные</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</si>
  <si>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</si>
  <si>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</si>
  <si>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</si>
  <si>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</si>
  <si>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</si>
  <si>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</si>
  <si>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</si>
  <si>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Количество в текущем отчетном периоде.</t>
  </si>
  <si>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</si>
  <si>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</si>
  <si>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</si>
  <si>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</si>
  <si>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</si>
  <si>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ZDV/3TC/NVP</t>
  </si>
  <si>
    <t>ZDV/3TC</t>
  </si>
  <si>
    <t>ПРООН</t>
  </si>
  <si>
    <t>да</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</si>
  <si>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</si>
  <si>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</si>
  <si>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</si>
  <si>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Комментарии:</t>
  </si>
  <si>
    <t>Отчетная документация организаций - СР: ежемесячные списки больных МЛУ-ТБ и ежеквартальные отчеты.</t>
  </si>
  <si>
    <t>Измеряется в абсолютных числах  на основании списков больных, которые предоставляет СР.</t>
  </si>
  <si>
    <t>База данных МЛУ-ТБ НЦФ РЦИиЭ</t>
  </si>
  <si>
    <t>Число лабораторно подтвержденных МЛУ-ТБ больных, начавших  лечение препаратами второго ряда по ДОТС+, согласно годовому рабочему плану.</t>
  </si>
  <si>
    <t>Число МЛУ-ТБ больных на лечение получающие мотивационную поддержку.</t>
  </si>
  <si>
    <t>Бюджет (в $)</t>
  </si>
  <si>
    <t>Утвержденный бюджет*</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</si>
  <si>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</si>
  <si>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</si>
  <si>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</si>
  <si>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Budget</t>
  </si>
  <si>
    <t>Expenditures</t>
  </si>
  <si>
    <t>1 Budget</t>
  </si>
  <si>
    <t>1 Expenditures</t>
  </si>
  <si>
    <t>PR</t>
  </si>
  <si>
    <t>SR</t>
  </si>
  <si>
    <t>Общий итог</t>
  </si>
  <si>
    <t>Cummulative/EFR</t>
  </si>
  <si>
    <t>Last/DB</t>
  </si>
  <si>
    <t>PUDR</t>
  </si>
  <si>
    <t>Замечания и комментарии</t>
  </si>
  <si>
    <t>Продукция</t>
  </si>
  <si>
    <t>Число МЛУ-ТБ больных на лечение по ДОТС+, получающие мотивационную поддержку ( продуктовые и гигиенические пакеты, денежные перечисления) для лучшей приверженности лечения в течение всего курса лечения.</t>
  </si>
  <si>
    <t>Число МЛУ-ТБ больных, включенных в лечение препаратами второго ряда ( гражданский и пенитенциарный секторы здравоохранения).</t>
  </si>
  <si>
    <t xml:space="preserve">Число  больных с чувствительной формой ТБ и ПЛУ(ПТП 1 ряда) на лечении, получающих мотивационную поддержку для лучшей приверженности к лечению </t>
  </si>
  <si>
    <t>Р1</t>
  </si>
  <si>
    <t xml:space="preserve">MDR TB-1: Процент ранее излеченных ТБ пациентов, прошедших ТЛЧ (только бактериологически положительные случаи) </t>
  </si>
  <si>
    <t>MDR TB-2: Количество бактериологически подтвержденных зарегистрированных ЛУ-ТБ случаев (РУ-ТБ и/или МЛУ-ТБ)</t>
  </si>
  <si>
    <t>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t>
  </si>
  <si>
    <t xml:space="preserve">Процент и количество пациентов с симптомами или подозрениями на ТБ, обследованных методом Xpert MTB/RIF и подтвержденным активным ТБ  </t>
  </si>
  <si>
    <t>Разрабатываются УОФ.</t>
  </si>
  <si>
    <t>Арташес Мирзоян</t>
  </si>
  <si>
    <t>Р2</t>
  </si>
  <si>
    <t>Мотивационной поддержкой были охвачены все больные ЛУ-ТБ, которые не прерывали лечение более  5 дней.</t>
  </si>
  <si>
    <t>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t>
  </si>
  <si>
    <t>Данный индикатор показывает охват ранее леченных тестом на лекарственную чувствительность.</t>
  </si>
  <si>
    <t>&gt;100%</t>
  </si>
  <si>
    <t>KGZ-C-UNDP</t>
  </si>
  <si>
    <t>Управление программой</t>
  </si>
  <si>
    <t>Профилактика - ПИН и их партнеры</t>
  </si>
  <si>
    <t>Профилактика - Работники секс-бизнеса и их клиенты</t>
  </si>
  <si>
    <t>Профилактика - МСМ и трансгендерные лица</t>
  </si>
  <si>
    <t xml:space="preserve">Профилактика - Другие уязвимые группы населения </t>
  </si>
  <si>
    <t xml:space="preserve">Лечение, уход и поддержка
</t>
  </si>
  <si>
    <t>Укрепление систем сообществ</t>
  </si>
  <si>
    <t>Устранение правовых барьеров к доступу</t>
  </si>
  <si>
    <t>УC3 - Информационные системы здравоохранения и МиО</t>
  </si>
  <si>
    <t>ТБ/ВИЧ</t>
  </si>
  <si>
    <t>МЛУ-ТБ</t>
  </si>
  <si>
    <t>ППМР</t>
  </si>
  <si>
    <t>УСЗ - системы управления закупками и логистикой</t>
  </si>
  <si>
    <t xml:space="preserve">Профилактика - заключенные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</si>
  <si>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</si>
  <si>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Процент взрослых и детей с известным ВИЧ статусом, получающих антиретровирусную терапию на данный момент</t>
  </si>
  <si>
    <t xml:space="preserve">Все лица с известным статусом на конец отчетного периода получающие АРТ в соответствие с национальным клиническим протоколом из оценочного числа ЛЖВ. </t>
  </si>
  <si>
    <t xml:space="preserve">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на 2016 г. </t>
  </si>
  <si>
    <t xml:space="preserve">Для сбора данных используется утвержденные НСК КР учетно-отчетные формы 4 и 4 а. РЦ “СПИД” предоставляет данные в ПРООН ежеквартально. </t>
  </si>
  <si>
    <t xml:space="preserve">Количество ЛЖВ, находящихся на попечении общинных организаций и участвующих в программах поддержки </t>
  </si>
  <si>
    <t xml:space="preserve">Указывается фактическое количество ЛЖВ,  получивших услугу через сообщества/инициативные группы/НПО и/или программы поддержки хотя бы один раз в квартал (и как минимум дважды за отчетное полугодие). </t>
  </si>
  <si>
    <t>Измеряется в абсолютных числах, расчет ведется по лицам, получившим услуги. Не кумулятивный.</t>
  </si>
  <si>
    <t>Отчетная документация организаций - СР (ежеквартально), БД МИС.</t>
  </si>
  <si>
    <t>Процент ЛУИН, охваченных программами по профилактике ВИЧ</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</si>
  <si>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</si>
  <si>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Процент ЛУИН заключенных, охваченных программами по  профилактике ВИЧ</t>
  </si>
  <si>
    <t xml:space="preserve">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из числа заключенных. </t>
  </si>
  <si>
    <t>Не кумулятивный, данные от СР представляются в абсолютных числах. На уровне ОР осуществляется кумуляция данных и расчеты в процентах. Числитель:Количество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знаменатель: фактическое количество заключенных.</t>
  </si>
  <si>
    <t xml:space="preserve">Количество игл и шприцев, розданных на 1-го ЛУИН за год
</t>
  </si>
  <si>
    <t>Число шприцев, распространенных в рамках программ по обмену игл и шприцев на одно лицо, употребляющее инъекционные наркотики за год</t>
  </si>
  <si>
    <t xml:space="preserve">Кумулятивно за год. 
Числитель: Число игл и шприцев, распространенных в рамках ПОШ за последние 12 месяцев
Знаменатель: Оценочное число лиц, потребляющих инъекционные наркотики в стране за 2013 год. </t>
  </si>
  <si>
    <t xml:space="preserve">Процент ЛУИН получающих ОЗТ, которые находятся на лечении не менее 6 месяцев после начала лечения </t>
  </si>
  <si>
    <t xml:space="preserve">Индикатор отражает приверженность/удержание на опиоидной заместительной терапии и охватывает и гражданский, пенитенциарный системы (включая сайты CDC).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</si>
  <si>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</si>
  <si>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</si>
  <si>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</si>
  <si>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</si>
  <si>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</si>
  <si>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</si>
  <si>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</si>
  <si>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</si>
  <si>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</si>
  <si>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</si>
  <si>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</si>
  <si>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</si>
  <si>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</si>
  <si>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</si>
  <si>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</si>
  <si>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</si>
  <si>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</si>
  <si>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</si>
  <si>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</si>
  <si>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</si>
  <si>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</si>
  <si>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(взрослых и детей), у которых ТБ статус был оценен и зарегистрирован во время их последнего визита, среди всех взрослых и детей, вовлеченных в уход по ВИЧ</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</si>
  <si>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</si>
  <si>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</si>
  <si>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Данные РЦ СПИД, ЭС.</t>
  </si>
  <si>
    <t>Процент ЛЖВ, которые получали комбинированное лечение (АРТ и ТБ), из числа ЛЖВ с выявленным ТБ статусом</t>
  </si>
  <si>
    <t>Процент ЛЖВ с ТБ, получавших в  отчетном периоде антиретровирусную терапию и противотуберкулезное лечение.</t>
  </si>
  <si>
    <t>Числитель: Количество взрослых и детей с ВИЧ-инфекцией и ТБ, получавших в  отчетном периоде антиретровирусную терапию и противотуберкулезное лечение
Знаменатель: Количество ЛЖВ с ТБ</t>
  </si>
  <si>
    <t>Данные РЦ СПИД, программа ЭС.</t>
  </si>
  <si>
    <t>Процент ЛЖВ среди вновь взятых на Д-учет, получивших профилактику  изониазидом</t>
  </si>
  <si>
    <t>Процент ЛЖВ, получивших профилактику изониазидом среди вновь взятых на Д-учет.</t>
  </si>
  <si>
    <t>Числитель: Число ЛЖВ вновь взятых на Д-учет, которые получили  профилактику изониазидом (хотя бы одну дозу) за отчетный период
Знаменатель: Число ЛЖВ, вновь взятых  на диспансерный учет в организациях здравоохранения (Число взрослых и детей с ВИЧ-инфекцией которые были на приеме в медицинском учреждении, предоставляющем услуги при ВИЧ-инфекции,  хотя бы один раз в течение отчетного года) за отчетный период</t>
  </si>
  <si>
    <t>Процент ВИЧ-положительных беременных женщин, которые получали антиретровирусные препараты (АРВ) для снижения риска передачи от матери ребенку</t>
  </si>
  <si>
    <t xml:space="preserve">Индикатор рассчитывается в целом и в разбивке данных с учетом схемы назначения антиретровирусных препаратов и включает число ВИЧ-инфицированных беременных женщин, получивших полный курс антиретровирусной профилактики за отчетный период из оценочного числа ВИЧ-инфицированных беременных женщин, родивших за последние 12 месяцев. 
</t>
  </si>
  <si>
    <t>Кумулятивно за год. 
Числитель: Число ВИЧ-инфицированных беременных женщин, получивших полный курс антиретровирусной профилактики за отчетный период
Знаменатель: Оценочное число ВИЧ-инфицированных беременных женщин, родивших за последние 12 месяцев</t>
  </si>
  <si>
    <t>Данные РЦ СПИД, программа ЭС, Спектрум.</t>
  </si>
  <si>
    <t xml:space="preserve">Процент рожденных от ВИЧ-инфицированных женщин младенцев, прошедших вирусологический тест на ВИЧ в течение двух месяцев со дня рождения </t>
  </si>
  <si>
    <t xml:space="preserve">Индикатор включает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из оценочного числа ВИЧ-инфицированных беременных женщин, родивших за последние 12 месяцев. 
</t>
  </si>
  <si>
    <t xml:space="preserve">
Кумулятивно за год. 
Числитель: Число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Знаменатель: Оценочное число ВИЧ-инфицированных женщин, родивших  за последние 12 мес.</t>
  </si>
  <si>
    <t>Количество задокументированных нарушений прав человека (в разбивке по ключевым группам)</t>
  </si>
  <si>
    <t>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t>
  </si>
  <si>
    <t>Подсчитывается 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 задействованных в программе.</t>
  </si>
  <si>
    <t xml:space="preserve">Программные отчеты суб-получателей, задокументированные случаи. </t>
  </si>
  <si>
    <t>Количество организаций, участвующих в программе "Уличные юристы"</t>
  </si>
  <si>
    <t>Количество организаций и их сотрудников, задействованных в программе "Уличные Юристы".</t>
  </si>
  <si>
    <t>Подсчитывается количество НПО и их сотрдников, задействованных в программе "Уличные Юристы" за отчетный период.</t>
  </si>
  <si>
    <t>Программные отчеты суб-получателей, списки уличных юристов.</t>
  </si>
  <si>
    <t>Показатель по ТБ</t>
  </si>
  <si>
    <t>Показатель по ВИЧ /СПИД</t>
  </si>
  <si>
    <t>ВИЧ/СПИД</t>
  </si>
  <si>
    <t>Процент ЛУИН, охваченных программами по  профилактике ВИЧ</t>
  </si>
  <si>
    <t>Топ 10</t>
  </si>
  <si>
    <t>с текущим грантом</t>
  </si>
  <si>
    <t>Достигнуто на 110%</t>
  </si>
  <si>
    <t xml:space="preserve">Процент взрослых и детей с известным ВИЧ статусом, получающих антиретровирусную терапию на данный момент </t>
  </si>
  <si>
    <t>Достигнуто на 120%</t>
  </si>
  <si>
    <t>Ч:247
З:380
%:65</t>
  </si>
  <si>
    <t>Ч:272
З:400
%:68</t>
  </si>
  <si>
    <t>Ч:123
З:241
%:51</t>
  </si>
  <si>
    <t>Ч:120
З:254
%:47.2</t>
  </si>
  <si>
    <t>Ч: 2420
З: 8000
%: 30.3</t>
  </si>
  <si>
    <t>Ч: 2640
З: 8000
%: 33</t>
  </si>
  <si>
    <t>Ч: 2713
З: 8300
%: 33</t>
  </si>
  <si>
    <t>Ч: 3629
З: 8443
%: 42.9</t>
  </si>
  <si>
    <t>Ч:4260
З: 7103
%: 60</t>
  </si>
  <si>
    <t>Ч:4430
З: 7103
%: 62.4</t>
  </si>
  <si>
    <t>Ч:4050
З: 7103
%: 57</t>
  </si>
  <si>
    <t>Ч:3790
З: 7103
%: 53.3</t>
  </si>
  <si>
    <t xml:space="preserve"> Топ 10</t>
  </si>
  <si>
    <t>Ч: 3270
З: 11692
%: 28</t>
  </si>
  <si>
    <t>Ч: 3815
З: 11692
%: 32.6</t>
  </si>
  <si>
    <t xml:space="preserve">Ч: 3765
З: 11692
%:32.2 </t>
  </si>
  <si>
    <t xml:space="preserve">Ч: 5344
З: 11692
%:45.7 </t>
  </si>
  <si>
    <t>Ч: 5912
З: 25000
%: 23.6</t>
  </si>
  <si>
    <t>Ч: 6600
З: 25000
%: 26.4</t>
  </si>
  <si>
    <t>Ч: 6950
З: 25000
%: 28</t>
  </si>
  <si>
    <t>Ч: 7503
З: 25000
%: 30</t>
  </si>
  <si>
    <t>Ч:1630
З: 7103
%: 22.9</t>
  </si>
  <si>
    <t>Ч:2030
З: 7103
%: 28.6</t>
  </si>
  <si>
    <t>Ч:1097
З: 7103
%: 15.4</t>
  </si>
  <si>
    <t>Ч:1350
З: 7103
%: 19</t>
  </si>
  <si>
    <t>Ч: 1727
З: 11692
%: 14.8</t>
  </si>
  <si>
    <t>Ч: 2158
З: 11692
%: 18.5</t>
  </si>
  <si>
    <t>Достигнуто на 103%</t>
  </si>
  <si>
    <t>Ч: 1841
З: 11692
%: 15.7</t>
  </si>
  <si>
    <t>Ч: 2237
З: 11692
%: 19.1</t>
  </si>
  <si>
    <t>Процент взрослых и детей , у которых ТБ статус был оценен и зарегистрирован во время их последнего визита, среди всех взрослых и детей, вовлеченных в уход по ВИЧ</t>
  </si>
  <si>
    <t xml:space="preserve"> с текущим грантом</t>
  </si>
  <si>
    <t>95.6%</t>
  </si>
  <si>
    <t>94.6%</t>
  </si>
  <si>
    <t>61.6%</t>
  </si>
  <si>
    <t>Количество задокументированных нарушений прав человека (в разбивке по уязвимым группам)</t>
  </si>
  <si>
    <t>Информация о программе: ТБ</t>
  </si>
  <si>
    <t>Информация о программе: ВИЧ/СПИД</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</si>
  <si>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</si>
  <si>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</si>
  <si>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</si>
  <si>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</si>
  <si>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СР ВИЧ/СПИД</t>
  </si>
  <si>
    <t>СР ТБ</t>
  </si>
  <si>
    <t>Отчеты ССР для СР ТБ</t>
  </si>
  <si>
    <t>Отчеты ССР для СР ВИЧ/СПИД</t>
  </si>
  <si>
    <t>Отчеты СР для ОР ВИЧ СПИД</t>
  </si>
  <si>
    <t>Отчеты СР для ОР ТБ</t>
  </si>
  <si>
    <t>Комментарии по ВИЧ:</t>
  </si>
  <si>
    <t>Комментарии по ТБ:</t>
  </si>
  <si>
    <t>Комментрии:</t>
  </si>
  <si>
    <t>Замечания</t>
  </si>
  <si>
    <t>н/п</t>
  </si>
  <si>
    <t>Ч:294
З:420
%:70</t>
  </si>
  <si>
    <t>Ч:123
З:262
%:46.9</t>
  </si>
  <si>
    <t>Ч: 3359
З: 8522
%: 39.4</t>
  </si>
  <si>
    <t>Ч:4615
З: 7103
%: 65</t>
  </si>
  <si>
    <t>Ч:3932
З: 7103
%: 55.3</t>
  </si>
  <si>
    <t>Ч: 4360
З: 11692
%: 37.3</t>
  </si>
  <si>
    <t xml:space="preserve">Ч: 5754
З: 11692
%:49.2 </t>
  </si>
  <si>
    <t>Ч: 7628
З: 25000
%: 30.5</t>
  </si>
  <si>
    <t>Ч:1679
З: 7103
%: 23.6</t>
  </si>
  <si>
    <t>Ч: 2659
З: 11692
%: 22.7</t>
  </si>
  <si>
    <t>Программные показатели по ТБ</t>
  </si>
  <si>
    <t>Программные показатели по ВИЧ/СПИД</t>
  </si>
  <si>
    <t>Число  больных  с чувствительной формой ТБ, клторые находятся на амбулаторном этапе лечение, получающие мотивационную поддержку в виде денежных перечислений для лучшей приверженности.</t>
  </si>
  <si>
    <t>Отчетная документация организаций - СР: ежемесячные списки больныхТБ и ежеквартальные отчеты.</t>
  </si>
  <si>
    <t>Иструмент учета данных  ежеквартельной форме ТБ 06, табл. 3 (числитель) и ТБ 06, табл. 3 (знаменатель);</t>
  </si>
  <si>
    <t xml:space="preserve">Количество ранее излеченных ТБ случаев с результатом устойчивости на изониазид (Н) и рифампицин (R) за оценочный период к общему количеству бактериологически положительных ранее излеченных пациентов ТБ за оценочный период. </t>
  </si>
  <si>
    <t>Измеряется в абсолютных числах  на основании ежеквартальных статистических данных РЦИиЭ НЦФ.</t>
  </si>
  <si>
    <t xml:space="preserve">Отчетный инструмент  относится к форме ТБ 06, табл. 1. </t>
  </si>
  <si>
    <t xml:space="preserve">    Абсолютному количеству бактериологически подтвержденных случаев ЛУ РУ ТБ и/или МЛУ/ШЛУ выявленных за отчетный период.                                      
</t>
  </si>
  <si>
    <t xml:space="preserve"> Источником данных для этого индикатора будет являтся электронная база данных по ТБ.        
 Числитель: количество пациентов с симптомами или признаками ТБ, подлежащих обследованию методом  Xpert MTB/RIF с подтвержденной активной формой ТБ.    
Знаменатель: количество пациентов с симптомами или признаками ТБ, подлежащих обследованию методом  Xpert MTB/RIF.      </t>
  </si>
  <si>
    <t xml:space="preserve">  Процент и абсолютное количество пациентов с симптомами туберкулеза, у которых выявлен активный ТБ методом Xpert MTB/RIF.
</t>
  </si>
  <si>
    <t>РЦИиЭ НЦФ разработана учетно-отчетная форма для расчета данного показателя.</t>
  </si>
  <si>
    <t>Capreomycin  1000mg  Порошок для инъекций</t>
  </si>
  <si>
    <t>Kanamycin  1000mg  Порошок для инъекций</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</si>
  <si>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</si>
  <si>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</si>
  <si>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</si>
  <si>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</si>
  <si>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</si>
  <si>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</si>
  <si>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</si>
  <si>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</si>
  <si>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</si>
  <si>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</si>
  <si>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</si>
  <si>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</si>
  <si>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</si>
  <si>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</si>
  <si>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Метадон</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</si>
  <si>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</si>
  <si>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Достигнуто на 102%</t>
  </si>
  <si>
    <t>Достигнуто на 85%</t>
  </si>
  <si>
    <t>Достигнуто на 104%</t>
  </si>
  <si>
    <t>Достигнуто на 92%</t>
  </si>
  <si>
    <t>Ч:1450
З:8000
%: 18</t>
  </si>
  <si>
    <t>Ч:1500
З:8000
%: 18.8</t>
  </si>
  <si>
    <t>Ч:1550
З:8000
%: 19.4</t>
  </si>
  <si>
    <t>Ч:1354
З:8300
%: 16</t>
  </si>
  <si>
    <t>Ч:1501
З:8443
%: 17.7</t>
  </si>
  <si>
    <t>Ч:1453
З:8522
%: 17</t>
  </si>
  <si>
    <t>95.2%</t>
  </si>
  <si>
    <t>Процент ЛУИН заключенных, охваченных программами по профилактике ВИЧ</t>
  </si>
  <si>
    <t>Процент взрослых и детей, получавших антиретровирусную терапию в отчетный период, у которых отмечено подавление вирусной нагрузки (т.е. ≤1000 копий)</t>
  </si>
  <si>
    <t>Ч:1644
З:2668
%: 62</t>
  </si>
  <si>
    <t>89.68%</t>
  </si>
  <si>
    <t>Количество игл и шприцев, розданных на 1-го ЛУИН за год</t>
  </si>
  <si>
    <t>Определение (на основании Плана мониторинга и оценки)</t>
  </si>
  <si>
    <t>«Эффективный контроль за туберкулезом и ВИЧ-инфекцией в Кыргызской Республике»</t>
  </si>
  <si>
    <t xml:space="preserve">MDR TB-1: Процент ранее леченных ТБ пациентов, прошедших ТЛЧ (только бактериологически положительные случаи) </t>
  </si>
  <si>
    <t>MDR TB-2: Количество бактериологически подтвержденных зарегистрированных  РУ-ТБ и/или МЛУ-ТБ случаев ТБ</t>
  </si>
  <si>
    <t>MDR TB-3: Число больных  с устойчивыми формами РУ-ТБ и/или МЛУ-ТБ ТБ, включенных в лечение препаратами второго ряда ( включая пенитенциарную службу)</t>
  </si>
  <si>
    <t>0</t>
  </si>
  <si>
    <t>В текущем отчетном периоде данная активность не выполнялась</t>
  </si>
  <si>
    <t>95%</t>
  </si>
  <si>
    <t>598</t>
  </si>
  <si>
    <t>10%</t>
  </si>
  <si>
    <t>16%</t>
  </si>
  <si>
    <t xml:space="preserve"> (1) В течение отчетного перода Q4-2017-Q1-2018, было зарегистрировано  1174 ранее леченных случаев ТБ, включая 539 положительных по культуре (2)  Из 539 положительных по культуре случаев ТБ, 511 имели ТЛЧ результаты к H и R (3) Выполнение индикатора процент ранее леченнных случаев ТБ, охваченных ТЛЧ, составил 100% </t>
  </si>
  <si>
    <t xml:space="preserve">Согласно отчету НЦФ, среди 7295пациентов с симптомами ТБ, обследованных методом     Xpert, 1205 были положительными  на ДНК  (16,5%). </t>
  </si>
  <si>
    <t>Достигнуто на 101%</t>
  </si>
  <si>
    <t>Достигнуто на 98%</t>
  </si>
  <si>
    <t>Ч:315
З:450
%:70</t>
  </si>
  <si>
    <t>Ч:126
З:253
%:49.8</t>
  </si>
  <si>
    <t>Достигнуто на 71%</t>
  </si>
  <si>
    <t>Ч: 2800
З: 8000
%: 35</t>
  </si>
  <si>
    <t>Ч: 3501
З: 8772
%: 39.9</t>
  </si>
  <si>
    <t>Достигнуто на 114%</t>
  </si>
  <si>
    <t>Ч:4793
З: 7103
%: 67.5</t>
  </si>
  <si>
    <t>Ч:3792
З: 7103
%: 53.38</t>
  </si>
  <si>
    <t>Достигнуто на 79%</t>
  </si>
  <si>
    <t>Ч: 5387
З: 11692
%: 46.1</t>
  </si>
  <si>
    <t xml:space="preserve">Ч: 7205
З: 11692
%:61.6 </t>
  </si>
  <si>
    <t>Ч: 7312
З: 25000
%: 29.2</t>
  </si>
  <si>
    <t>Ч: 8332
З: 25000
%: 33.3</t>
  </si>
  <si>
    <t>Ч:2236
З: 7103
%: 31.5</t>
  </si>
  <si>
    <t>Ч:2134
З: 7103
%: 30</t>
  </si>
  <si>
    <t>Достигнуто на 95%</t>
  </si>
  <si>
    <t>Ч: 3207
З: 11692
%: 27.4</t>
  </si>
  <si>
    <t>Ч: 3358
З: 11692
%: 28.7</t>
  </si>
  <si>
    <t>Достигнуто на 105%</t>
  </si>
  <si>
    <t>Достигнуто на 96%</t>
  </si>
  <si>
    <t>По компоненту ВИЧ - Предварительных условий (ПУ) нет, согласно письму от ГФ по результатам работы за 1-е полугодие 2017 года было включено 1 Действие с установленным сроком исполнения (ДУС) - срок исполнения 30 июня 2018 года (по программе ПТМ). Предваритиельное условие выполнено в срок, все подтверждающие документы направлены в ГФ.</t>
  </si>
  <si>
    <t>По компоненту ВИЧ - С начала августа 2018 года все 6 штатных позиций в программном отделе (координатор, программные специалисты и МиО специалист) были заняты.  
По компоненту ТБ - Координатор гранта ТБ, Финансовый специалист, специалист по амбулаторному лечению и специалист МиО гранта ТБ</t>
  </si>
  <si>
    <t>По компоненту ВИЧ - продолжили реализацию программы всего 26 Суб-получателей в рамках 28 СП-Соглашений, из которых все СП по всем Соглашениям получали финансирование. 
ПО компоненту ТБ: Соглашения подписаны в Марте,  отчеты за третий и четвертый кварталы сданы и отражены в отчете PU\DR.
Сотрудничество с МЗ КР в отчетном периоде продолжилось без СП Соглашения.</t>
  </si>
  <si>
    <t>По компоненту ВИЧ -  26 из 28 ожидаемых программных отчетов СП были получены своевременно, отчеты от 2 организаций - СП были получены позже установленного срока (15 число следующего за отчетным периодом месяца). Все 28 отчетов были проверены, доработаны СП и приняты в установленные сроки, в течение 30 календарных дней. 
Комментарии по ТБ: Суб-суб-получателей были приняты в рамках отчета МЗ КР.
 Все СР предоставили полные отчеты в установленные сроки</t>
  </si>
  <si>
    <t>Ч:1889
З:3454
%: 54.69</t>
  </si>
  <si>
    <t>Ч:1575
З:8000
%: 19.7</t>
  </si>
  <si>
    <t>Ч:1468
З:8772
%: 16.7</t>
  </si>
  <si>
    <t xml:space="preserve">Достигнуто </t>
  </si>
  <si>
    <t xml:space="preserve">В отчетный период услуги получили 4159 ЛУИН  в государственных ПОШ, 10562 ЛУИН в НПО и 1578 в ГСИН. После исключения дублирующих кодов, общее количество клиентов  охваченных программами по профилактике ВИЧ в отчетном периоде  составило 15828, в том числе 1887 женщин. </t>
  </si>
  <si>
    <t xml:space="preserve">В соответствии с официальными данными, представленными Центром СПИД Республики на 30 июня 2018 г., 3454 ЛЖВ получают АРВ лечение. В это число входят 3010 взрослых (из них: мужчин - 1619, женщин - 1391) и 444 детей (из них: дев. -179, мал. -265). </t>
  </si>
  <si>
    <t>За отчетный период 3029 ЛЖВ получили различные услуги через сообщества и/или программы поддержки, из них 2843 (включая 1401 женщин) получили услуги через Центры СПИД, ЦСМ, НПО и 186 (включая 14 женщин) в ГСИН.</t>
  </si>
  <si>
    <t>Ч: 15625
З: 25 000
%: 62.5</t>
  </si>
  <si>
    <t>Ч: 15828
З: 25 000
%: 63.3</t>
  </si>
  <si>
    <t>Ч: 3926
З: 8500
%: 46.2</t>
  </si>
  <si>
    <t>Ч: 3454
З: 7600
%: 45.4</t>
  </si>
  <si>
    <t xml:space="preserve">Ч: 2032
З: 3128
%: 65% </t>
  </si>
  <si>
    <t>Ч: 3029
З: 3578
%: 84.6</t>
  </si>
  <si>
    <t>Ч: 315
З:450
%:70</t>
  </si>
  <si>
    <t>Ч: 7205
З: 11692
%:61.6</t>
  </si>
  <si>
    <t>Ч: 1468
З: 8772
%: 16.7</t>
  </si>
  <si>
    <t xml:space="preserve">За предыдущий отчетный период (Июль - Декабрь 2017) 253 ЛУИН вошли в программу и из них 126 находились на лечении не менее 6 месяцев после начала лечения, что составило 49.8%. 
Из тех, кто не смог удержаться в течение 6 месяцев: умер -4; самовольный выход - 4; перешел на другой сайт и не дошел- 11; заключен в тюрьму - 2; плановое завершение - 2; добровольное досрочное - 101; исключение из программы - 2; запрет на участие в программе со стороны "криминальных лидеров" - 1. 
Согласно данным, полученным из ЭРЗПТ, в отчетном периоде получали ОЗТ- 1 350 ЛУИН, а по состоянию на 30 июня 2018 г. - 1 156 ЛУИН фактически получали ОЗТ (сайты РЦН, ГСИН и CDC). Из них 81.9% (947/1156) получали ОЗТ в течение 6 и более месяцев.
</t>
  </si>
  <si>
    <t xml:space="preserve">За отчетный период 3501 заключенных (из них женщин- 200), прошли тестирование на ВИЧ и знают свои результаты из общего количества 8772 заключенных, что составило 39.9%. </t>
  </si>
  <si>
    <t xml:space="preserve">Шесть НПО  в г. Бишкек, Чуйсокй области, г. г. Ош Джалалабад,   Кызыл-Кия, Чолпон-Ата, Каракол и в Джалал-Абадской, Ошской, Нарынской и Таласской областях реализуют программы профилактики ВИЧ среди данной уязвимой группы. В этот период 3792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Из них 44 СР идентифицировали себя ка ТГ.  В отчетный период 1065 СР прошли диагностику на ИППП.  
Милицейские рейды по-прежнему являются основным препятствием для деятельности профилактических программ не только в городе Бишкек и Чуйской области, где НПО «Таис Плюс» работает с высокими целевыми показателями, но также уже и в других регионах. Несмотря н апроводимые обучающие и адвокационные мероприятия, ситуация не улучшается.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Было зарегистрипровано много случаев наоушения прав. В результате, доступ к СР ограничен в большинстве городов и регионов.
</t>
  </si>
  <si>
    <t xml:space="preserve">Три НПО осуществляли программы профилактики ВИЧ среди МСМ в г.г. Бишкек, Ош, Джалал-Абад, Таласской,Чуйской и Иссык-Кульской областях. 7205 МСМ были охвачены минимальным пакетом услуг. Диагностику на ИППП прошли- 921 МСМ. </t>
  </si>
  <si>
    <t xml:space="preserve">За отчетный период 2134 СР прошли тестирование на ВИЧ и знают свои результаты. Из них 99.7% (2128/2134) прошли экспресс тестирование. 
В целом, из-за милицейских рейдов выход на клиентов программ для сотрудниов НПО ограничен, как для предоставления минимального пакета услуг, так и для тестирования на ВИЧ.   
</t>
  </si>
  <si>
    <t xml:space="preserve">За отчетный период 3358 МСМ прошли тестирование на ВИЧ и знают свои результаты. Все клиенты  (100 %) прошли экспресс тестирование на базе НПО. Доступность ЭТ для клиентов НПО отражается в увеличении числа протестированных. </t>
  </si>
  <si>
    <t>Из 3578 ЛЖВ (3137 взрослых и 441 детей), вовлеченных в уход по ВИЧ , ТБ статус был оценен у 3464 ЛЖВ (3024 взрослых и 440 детей)  во время отчетного периода, согласно национальному протоколу по ВИЧ. Данные предоставлены РЦ СПИД.</t>
  </si>
  <si>
    <t xml:space="preserve">Из 75 ВИЧ-инфицированных больных ТБ, 70 пациентов получали комбинированную антиретровирусную терапию в соответствии с национально утвержденными протоколами лечения (или стандартами ВОЗ/ЮНЭЙДС), и которые начали получать лечение ТБ (в соответствии с руководящими принципами национальной программы по ТБ) в течение отчетного периода. </t>
  </si>
  <si>
    <t xml:space="preserve">
Из 280 ЛЖВ, вновь взятых  на диспансерный учет в организациях здравоохранения получили профилактику изониазидом (хотя бы одну дозу) за отчетный период 241 ЛЖВ, что составило 86%. </t>
  </si>
  <si>
    <t xml:space="preserve">За отчетный период были задокументированы 497 случаев нарушений прав человека  со стороны уличных юристов (из них: ЛУИН-259 (включая ОЗТ-66), СР-145, МСМ-20 и ЛЖВ-73). </t>
  </si>
  <si>
    <t>За отчетный период всего 22  суб-получателей ПРООН были задействованы в программе "Уличные юристы".</t>
  </si>
  <si>
    <t xml:space="preserve">За отчетный период 1468 ЛУИН заключенных, включая 15 женщин были охвачены программами по профилактике ВИЧ в ГСИН. Фактическое количество заключенных на 31.12.2017 г. составялет 8772 заключенных. </t>
  </si>
  <si>
    <t xml:space="preserve">За отчетный период 8332 ЛУИН, включая ЛУИН заключенных и ОЗТ клиентов прошли тестирование на ВИЧ и знают свои результаты. Из них 95.5% (7956/8332) прошли экспресс тестирование. Доступность ЭТ для клиентов НПО отражается в увеличении числа протестированных. 
</t>
  </si>
  <si>
    <t>646</t>
  </si>
  <si>
    <t xml:space="preserve">За отчетные период  4Q 2017-1Q2018, национальная ТБ программа зарегистрировала 648  RR/MDR TB случаев ТБ против запланированных  712.  Выполнение индикатора составило 91%.                         </t>
  </si>
  <si>
    <t xml:space="preserve">За отчетный период 4Q 2017-1Q2018, национальная ТБ программа включила в лечение  598 RR/MDR TB  случаев ТБ против 712 запланированных.  Выполнение индикатора составило 84%   По отношению к зарегистрированным случаям  РУ- МЛУ ТБ  выполнение индикатора составило  92%  ( 598 из 646). </t>
  </si>
  <si>
    <t>Деламанид 100 мг</t>
  </si>
  <si>
    <t>Деламанид 50 мг</t>
  </si>
  <si>
    <t>Запас ПТП 2-го ряда составляет  в среднем от 6-20 месяцев, за исключением Амоксиклава(со сроком годности 30.04.2020г), ситуация большого запаса  сложилась в результате изменений схем лечения согласно рекомендациям ВОЗ, препарат выбыл из схем  так как доказано, что не эффективен как отдельный препарат, а только в сочетании с Имипенемом/Циластатином.   В связи с этим, препарат будет распределен в другие лечебные учреждения, так как Амоксиклав входит в ПЖВЛС   как не противотуберкулезный препарат. А также согласно остаткам в  запасе больше 20 месяцев имеются Бедаквилин, Линезолид и Моксифлоксацин, однако препараты израсходуются до истечения срока годности, так как в настоящее время идет внедрение новых препаратов соответственно количество набранных больных будет увеличиваться и кроме этого согласно последним рекомендациям ВОЗ (август 2018) данные препараты классифицированы в группу А (препараты, используемые в первоочередном порядке).</t>
  </si>
  <si>
    <t>Genexpert картриджи</t>
  </si>
  <si>
    <t>GeneType MTBDR pIus №96</t>
  </si>
  <si>
    <t>Gene Type MTBDR SL №96</t>
  </si>
  <si>
    <t>3TC 150 mg</t>
  </si>
  <si>
    <t>ABC 300 mg</t>
  </si>
  <si>
    <t>AZT 300 mg</t>
  </si>
  <si>
    <t>FDC (AZT+3TC) 300/150 mg</t>
  </si>
  <si>
    <t>EFV 200</t>
  </si>
  <si>
    <t>EFV 600</t>
  </si>
  <si>
    <t>LPV/r 200/50 mg</t>
  </si>
  <si>
    <t>NVP 200</t>
  </si>
  <si>
    <t>TDF 300 mg</t>
  </si>
  <si>
    <t>FDC (TDF/FTC) 300/200 mg</t>
  </si>
  <si>
    <t>FDC  (TDF/FTC/EFV) 300/200/600 mg</t>
  </si>
  <si>
    <t>FDC (ABC/3TC) 600/300 mg</t>
  </si>
  <si>
    <t>FDC (ABC/3TC) 60/30 mg</t>
  </si>
  <si>
    <t>NVP 50</t>
  </si>
  <si>
    <t>LPV/r_сироп_80</t>
  </si>
  <si>
    <t>FDC (AZT+3TC) 60/30</t>
  </si>
  <si>
    <t>Представленная информация по АРВ препаратам отражает ситуацию на 30/06/18 (Данные Электронной базы слежения за случаями ВИЧ и данным РЦ СПИД) данные по пациентам согласно Клиническому протоколу. Запасы отслеживаются, критических ситуаций с запасами не наблюдается.</t>
  </si>
  <si>
    <t>Картриджи (Вирусная нагрузка)</t>
  </si>
  <si>
    <t>Картриджи (CD 4)</t>
  </si>
  <si>
    <t>Экспресс тестирование (по околодесновой жидкости)</t>
  </si>
  <si>
    <t>Медикаменты и ИМН закуплены согласно потребности на 2018 год. В расчетах потребности учтены текущий запас, ожидаемые поставки и наличие бюджета</t>
  </si>
  <si>
    <t>Комментарии</t>
  </si>
  <si>
    <t xml:space="preserve">В отчетном периоде ОП подготовил и направил ИОР/ЗПС в ГФ и офис МАФ в установленные сроки. Платеж от ГФ на отчетный период был получен  в феврале 2018. Последующих выплат по данному гранту не предусмотрено, т.к. грант завершился 30 июня 2018.
</t>
  </si>
  <si>
    <t>ГФ в феврале 2018 г. произвел выплату в полном размере, равного бюджету отчетного периода в сумме 3 509 263 $. Итого, сумма выплат ГФ за весь период гранта с июля 2016 по июнь 2018 составила 24 099 630$, включая неиспользованный остаток на 30 июня 2016 с прошлых грантов в размере 2 214 860$. Общая сумма выплат за весь период гранта меньше бюджета на  241 948$, которая была вычтена из текущего гранта в счет взыскания задолженности страны в двойном размере на основании решения СКК от 10.01.17 и письма от МЗКР в ГФ от 18.01.17. В январе 2018г. ПРООН произвел возврат 70 000$ в ГФ из полученных средств на основании письма от ГФ в декабре 2017, что ГФ не произвел выплаты в КЗС за период с июля 2016 по декабрь 2017 г. и ошибочно перечислил данную сумму в ПРООН, которая была включена в общие суммы выплат по гранту.</t>
  </si>
  <si>
    <t>Данная задача включает бюджет в основном на административные расходы СП и ОП в рамках реализации проекта, закуп ИТ оборудования и мебели для СП, мероприятия в рамках Плана по повышению потенциала МЗКР для передачи ОР, меры для усиления управления системой снабжения, тренинги для СП: до и после тестовое консультирование; социальная поддержка и повышение потенциала СП. За весь период было израсходовано 91% выделенного бюджета. При этом на конец отчетного периода имеются финансовые обязательства на 206 427$, с учетом которых освоение будет 95% в рамках данной задачи. Обязательства включают невыплаченную премиальную часть з/п координаторов СП за 2-й кв 2018; неоплаченные офисные расходы за июнь 2018; неоплаченный GMS по обязательствам.</t>
  </si>
  <si>
    <t xml:space="preserve">Данная задача включает бюджет на:
- закупки метадона, налоксона, шприцов, мужских презервативов, тестов, антисептических салфеток, пластиковых стаканов, автомашины для доставки метадона, ИТ и другое немедицинское оборудование для сайтов ОЗТ, а также соответствующие затраты на управление поставками
-ремонт ОЗТ и ПОШ пунктов
- целевые расходы СП (РЦН и НПО, работающие в данном направлении), включая з/п социальных и аутрич работников, Продуктовые и гигиенические пакеты, мини-сессии для клиентов.
-мотивационную поддержку для ЭТ
За весь период было израсходовано 89% выделенного бюджета согласно фактическим потребностям.
</t>
  </si>
  <si>
    <t xml:space="preserve">Данная задача включает бюджет на:
- закупки  мужских презервативов, любрикантов, тестов, антисептических салфеток, а также соответствующие затраты на управление поставками
- целевые расходы СП (РЦН и НПО, работающие в данном направлении), включая з/п социальных и аутрич работников, Продуктовые и гигиенические пакеты.
-мотивационную поддержку для ЭТ
За весь период было израсходовано 98% выделенного бюджета согласно фактическим потребностям.
</t>
  </si>
  <si>
    <t xml:space="preserve">Данная задача включает бюджет на:
- закупки  женских и мужских презервативов, любрикантов, тестов, антисептических салфеток, а также соответствующие затраты на управление поставками
- целевые расходы СП (РЦН и НПО, работающие в данном направлении), включая з/п социальных и аутрич работников, Продуктовые и гигиенические пакеты.
-мотивационную поддержку для ЭТ
За весь период было израсходовано 98% выделенного бюджета согласно фактическим потребностям.
</t>
  </si>
  <si>
    <t xml:space="preserve">Данная задача включает бюджет на:
- закупки  тестов, антисептических салфеток, а также соответствующие затраты на управление поставками
- целевые расходы РЦН, включая з/п социальных и аутрич работников ПОШ в тюрьмах, расходы с МиО визитами. 
За весь период было израсходовано 88% выделенного бюджета согласно фактическим потребностям.
</t>
  </si>
  <si>
    <t xml:space="preserve">Данная задача включает бюджет на:
- закупки Антиретровирусных препаратов, Тестирование на ВИЧ CD4 расходные материалы / тест-наборы: расходные материалы- вирусологическое тестирование на ВИЧ / тест-наборы,  а также соответствующие затраты на управление поставками
- целевые расходы СП (РЦ «СПИД» и региональные центры по борьбе со СПИДом, и 2 центра и 4 пункта по услугам на базе НПО для ЛЖВ ), включая з/п социальных и аутрич работников и мед.технического персонала, Продуктовые и гигиенические пакеты, мини-сессии для клиентов,  Поддержка  оплаты стимулов ЛЖВ за приверженность к АРТ
-Разработка и печать новых ИОМ для ЛЖВ программ; Социальная поддержка ВИЧ положительных детей;
За весь период было израсходовано 84% выделенного бюджета согласно фактическим потребностям. Была отменена закупка двух холодильных машин с бюджетом на 80 000$.  При этом на конец отчетного периода имеются финансовые обязательства на 60 604$, с учетом которых освоение будет 86% в рамках данной задачи. Обязательства включают неоплаченные частично расходы по закупке АРВ, которые будут выплачены после доставки в следующем периоде; невыплаченную премиальную часть з/п координаторов СП за 2-й кв 2018; остаток невыплаченных мотивационных выплат пациентам за приверженность к АРТ за 2-й кв 2018; услуги аутсорсинга для регулярного лабораторного обследования ЛЖВ за июнь;
</t>
  </si>
  <si>
    <t xml:space="preserve">Данная задача включает бюджет на:
- целевые расходы СП- 3-х национальных сетей, работающих с  ЛЖВ,ПИН и СР/МСМ по всей стране - транспортные расходы, связанные с МиО визитами;  ежеквартальные встречи с партнерами; зарплата сотрудникам программы;
За весь период было израсходовано 87% выделенного бюджета согласно фактическим потребностям.
</t>
  </si>
  <si>
    <t xml:space="preserve">Данная задача включает бюджет на:
- целевые расходы по Проекту «Уличные юристы»,  на базе НПО - оплата аутрич-работников, обучения аутрич-работников и регулярных рабочих встреч с консультантами:
- форумы  для общин (ЛЖВ, ПИН,СР, МСМ);
За весь период было израсходовано 95% выделенного бюджета согласно фактическим потребностям.
</t>
  </si>
  <si>
    <t xml:space="preserve">Данная задача включает бюджет на:
- закупки автомашин для  РЦН и центров по борьбе со СПИДом для проведения МиО визитов
- целевые расходы СП ( РЦН, центров по борьбе со СПИДом, ТБ центры), включая оплату специалистов по контролю качества лабораторных услуг, технических специалистов НТП по реализации гранта ГФ; специалистов по по мониторингу и оценке для обеспечения верификации данных;
-техническую поддержку Национальной программы борьбы с туберкулезом посредством поддержки участия национальных сотрудников в международных конференциях, встречах и круглых столах; МиО визитов по ТБ СР для укрепления мониторинга программы и отчетности, учета для улучшения выявления случаев и лечения;
-регулярные встреч с СП, тренинги по PDI, МиО и финансовым вопросам для СП
За весь период было израсходовано 86% выделенного бюджета согласно фактическим потребностям.
</t>
  </si>
  <si>
    <t xml:space="preserve">Данная задача включает бюджет на:
- закупки на  Izoniazid, Pyrodoxine, тестов, а также соответствующие затраты на управление поставками
- Поддержка национального руководящего комитета по  ТБ/ВИЧ - расходы на регулярные встречи рабочей группы по вопросам ТБ/ВИЧ; оплата консультантов;
За весь период было израсходовано 35% выделенного бюджета согласно фактическим потребностям.
</t>
  </si>
  <si>
    <t xml:space="preserve">Данная задача включает бюджет на:
- закупки на  ПТП, лабораторные реагенты, шприцы, респираторы, микроскопы, картриджы для Xpert, GeneXpert, ИТ оборудование для базы данных по ТБ, автомашину для Кеминского ТБ на паллиативную помощь,  а также соответствующие затраты на управление поставками
-Услуги томографии и диагностика больных туберкулезом; 
-Ежегодный операционный взнос в комитет Green Light; 
- расходы проекта HOPE по реализации внедрения базы данных ТБ
- целевые расходы СП (НЦФ и региональные ТБ центры), включая з/п технического персонала, МиО визиты, транспортировку мокроты, моивационные выплаты пациентам, соблюдающим лечение
- закуп и доставка кефира и продуктовых пакетов пациентам, соблюдающим лечение.
За весь период было израсходовано 88% выделенного бюджета согласно фактическим потребностям.
</t>
  </si>
  <si>
    <t xml:space="preserve">Данная задача включает бюджет на:
- закупки Антиретровирусных препаратов,  расходные материалы- вирусологическое тестирование на ВИЧ / тест-наборы,  а также соответствующие затраты на управление поставками
За весь период было израсходовано почти 100% выделенного бюджета согласно фактическим потребностям.
</t>
  </si>
  <si>
    <t xml:space="preserve">Данная задача включает бюджет на:
- закупки автомашин для региональных ТБ центров на МиО визиты и транспортировку мокроты,  а также соответствующие затраты на управление поставками
За весь период было израсходовано 82% выделенного бюджета согласно фактических цен.
</t>
  </si>
  <si>
    <t>В отчетном периоде ГФ произвел выплату в полном объеме бюджета периода в феврале 2018.  Расходы ОП составили 2 141 677$, включая оплату финансовых обязательств за 2017 в  458 965$. Итого за весь период гранта было освоено 89% выделлных средств на ОП. При этом имеются обязательства у ОП на 30.06.18 в 260 158$, с учетом которых освоение достигнет   91 %. В текущем периоде ПРООН произвел выплаты 28 СП  в срок в полном объеме по запросу от СП. Неиспользованный остатьк бюджета также включает в себя невыплаченную сумму взноса в КЗС в размере 70 000$, которая должна будет выплачена ГФ.</t>
  </si>
  <si>
    <t xml:space="preserve">Данный показатель является годовым. Отчетные данные за 2018 год будут представлены в конце 2018 года. На 30 июня 2018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54.6 % (1889/3454).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</si>
</sst>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_(* \(#,##0.00\);_(* &quot;-&quot;??_);_(@_)"/>
    <numFmt numFmtId="165" formatCode="_-* #,##0.00_р_._-;\-* #,##0.00_р_._-;_-* &quot;-&quot;??_р_.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_-;\-* #,##0.00_-;_-* &quot;-&quot;??_-;_-@_-"/>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96">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i/>
      <sz val="11"/>
      <color indexed="8"/>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b/>
      <i/>
      <sz val="14"/>
      <color indexed="12"/>
      <name val="Calibri"/>
      <family val="2"/>
    </font>
    <font>
      <sz val="11"/>
      <color indexed="8"/>
      <name val="Calibri"/>
      <family val="2"/>
    </font>
    <font>
      <b/>
      <sz val="11"/>
      <color indexed="8"/>
      <name val="Calibri"/>
      <family val="2"/>
    </font>
    <font>
      <sz val="9"/>
      <color indexed="8"/>
      <name val="Calibri"/>
      <family val="2"/>
    </font>
    <font>
      <sz val="11"/>
      <color indexed="8"/>
      <name val="Symbol"/>
      <family val="1"/>
      <charset val="2"/>
    </font>
    <font>
      <b/>
      <sz val="11"/>
      <color indexed="8"/>
      <name val="Arial"/>
      <family val="2"/>
      <charset val="204"/>
    </font>
    <font>
      <sz val="11"/>
      <name val="Calibri"/>
      <family val="2"/>
    </font>
    <font>
      <b/>
      <sz val="11"/>
      <name val="Calibri"/>
      <family val="2"/>
    </font>
    <font>
      <b/>
      <sz val="22"/>
      <color indexed="9"/>
      <name val="Calibri"/>
      <family val="2"/>
    </font>
    <font>
      <sz val="11"/>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s>
  <fills count="5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rgb="FFFFFF00"/>
        <bgColor indexed="64"/>
      </patternFill>
    </fill>
    <fill>
      <patternFill patternType="solid">
        <fgColor indexed="43"/>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theme="6" tint="0.79998168889431442"/>
        <bgColor indexed="64"/>
      </patternFill>
    </fill>
  </fills>
  <borders count="2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3" fillId="0" borderId="4" applyNumberFormat="0" applyFill="0" applyAlignment="0" applyProtection="0"/>
    <xf numFmtId="0" fontId="74"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7" fillId="0" borderId="0"/>
    <xf numFmtId="164" fontId="137" fillId="0" borderId="0"/>
    <xf numFmtId="164" fontId="137" fillId="0" borderId="0"/>
    <xf numFmtId="164" fontId="137"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37"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7" fillId="0" borderId="9" applyNumberFormat="0" applyFill="0" applyAlignment="0" applyProtection="0"/>
    <xf numFmtId="0" fontId="75"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37" fillId="0" borderId="0"/>
    <xf numFmtId="0" fontId="159" fillId="0" borderId="0"/>
    <xf numFmtId="0" fontId="160" fillId="0" borderId="0"/>
    <xf numFmtId="9" fontId="2" fillId="0" borderId="0" applyFont="0" applyFill="0" applyBorder="0" applyAlignment="0" applyProtection="0"/>
    <xf numFmtId="9" fontId="160" fillId="0" borderId="0" applyFont="0" applyFill="0" applyBorder="0" applyAlignment="0" applyProtection="0"/>
    <xf numFmtId="176" fontId="160" fillId="0" borderId="0" applyFont="0" applyFill="0" applyBorder="0" applyAlignment="0" applyProtection="0"/>
    <xf numFmtId="3" fontId="161" fillId="45" borderId="0">
      <alignment horizontal="center"/>
    </xf>
    <xf numFmtId="9" fontId="161" fillId="45" borderId="0">
      <alignment horizontal="center"/>
    </xf>
    <xf numFmtId="3" fontId="162" fillId="0" borderId="0">
      <alignment horizontal="center" vertical="center"/>
      <protection locked="0"/>
    </xf>
    <xf numFmtId="175" fontId="162" fillId="0" borderId="0">
      <alignment horizontal="center" vertical="center"/>
      <protection locked="0"/>
    </xf>
    <xf numFmtId="49" fontId="163" fillId="0" borderId="0">
      <alignment horizontal="left"/>
    </xf>
    <xf numFmtId="0" fontId="164" fillId="0" borderId="0" applyNumberFormat="0" applyFill="0" applyBorder="0" applyAlignment="0" applyProtection="0"/>
    <xf numFmtId="0" fontId="2" fillId="0" borderId="0"/>
    <xf numFmtId="0" fontId="165" fillId="0" borderId="0"/>
    <xf numFmtId="0" fontId="160" fillId="0" borderId="0"/>
    <xf numFmtId="0" fontId="160" fillId="0" borderId="0"/>
    <xf numFmtId="0" fontId="160" fillId="0" borderId="0"/>
    <xf numFmtId="0" fontId="154" fillId="0" borderId="0"/>
    <xf numFmtId="0" fontId="154" fillId="0" borderId="0"/>
    <xf numFmtId="165" fontId="166" fillId="0" borderId="0" applyFont="0" applyFill="0" applyBorder="0" applyAlignment="0" applyProtection="0"/>
    <xf numFmtId="9" fontId="166" fillId="0" borderId="0" applyFont="0" applyFill="0" applyBorder="0" applyAlignment="0" applyProtection="0"/>
    <xf numFmtId="0" fontId="169" fillId="0" borderId="0"/>
    <xf numFmtId="43" fontId="169" fillId="0" borderId="0" applyFont="0" applyFill="0" applyBorder="0" applyAlignment="0" applyProtection="0"/>
    <xf numFmtId="176" fontId="166" fillId="0" borderId="0" applyFont="0" applyFill="0" applyBorder="0" applyAlignment="0" applyProtection="0"/>
    <xf numFmtId="43" fontId="160" fillId="0" borderId="0" applyFont="0" applyFill="0" applyBorder="0" applyAlignment="0" applyProtection="0"/>
    <xf numFmtId="9" fontId="166" fillId="0" borderId="0" applyFont="0" applyFill="0" applyBorder="0" applyAlignment="0" applyProtection="0"/>
    <xf numFmtId="178" fontId="161" fillId="0" borderId="260">
      <alignment horizontal="center" vertical="center"/>
    </xf>
    <xf numFmtId="179" fontId="171" fillId="0" borderId="0">
      <protection locked="0"/>
    </xf>
    <xf numFmtId="179" fontId="121" fillId="0" borderId="0">
      <alignment horizontal="center" vertical="center"/>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179" fontId="149" fillId="46" borderId="0" applyNumberFormat="0" applyBorder="0" applyAlignment="0" applyProtection="0"/>
    <xf numFmtId="179" fontId="149" fillId="6" borderId="0" applyNumberFormat="0" applyBorder="0" applyAlignment="0" applyProtection="0"/>
    <xf numFmtId="179" fontId="149" fillId="7" borderId="0" applyNumberFormat="0" applyBorder="0" applyAlignment="0" applyProtection="0"/>
    <xf numFmtId="179" fontId="149" fillId="47" borderId="0" applyNumberFormat="0" applyBorder="0" applyAlignment="0" applyProtection="0"/>
    <xf numFmtId="179" fontId="149" fillId="5" borderId="0" applyNumberFormat="0" applyBorder="0" applyAlignment="0" applyProtection="0"/>
    <xf numFmtId="179" fontId="149" fillId="3" borderId="0" applyNumberFormat="0" applyBorder="0" applyAlignment="0" applyProtection="0"/>
    <xf numFmtId="179" fontId="149" fillId="11" borderId="0" applyNumberFormat="0" applyBorder="0" applyAlignment="0" applyProtection="0"/>
    <xf numFmtId="179" fontId="149" fillId="9" borderId="0" applyNumberFormat="0" applyBorder="0" applyAlignment="0" applyProtection="0"/>
    <xf numFmtId="179" fontId="149" fillId="48" borderId="0" applyNumberFormat="0" applyBorder="0" applyAlignment="0" applyProtection="0"/>
    <xf numFmtId="179" fontId="149" fillId="47" borderId="0" applyNumberFormat="0" applyBorder="0" applyAlignment="0" applyProtection="0"/>
    <xf numFmtId="179" fontId="149" fillId="11" borderId="0" applyNumberFormat="0" applyBorder="0" applyAlignment="0" applyProtection="0"/>
    <xf numFmtId="179" fontId="149" fillId="49" borderId="0" applyNumberFormat="0" applyBorder="0" applyAlignment="0" applyProtection="0"/>
    <xf numFmtId="179" fontId="174" fillId="50" borderId="0" applyNumberFormat="0" applyBorder="0" applyAlignment="0" applyProtection="0"/>
    <xf numFmtId="179" fontId="174" fillId="9" borderId="0" applyNumberFormat="0" applyBorder="0" applyAlignment="0" applyProtection="0"/>
    <xf numFmtId="179" fontId="174" fillId="48" borderId="0" applyNumberFormat="0" applyBorder="0" applyAlignment="0" applyProtection="0"/>
    <xf numFmtId="179" fontId="174" fillId="51" borderId="0" applyNumberFormat="0" applyBorder="0" applyAlignment="0" applyProtection="0"/>
    <xf numFmtId="179" fontId="174" fillId="12" borderId="0" applyNumberFormat="0" applyBorder="0" applyAlignment="0" applyProtection="0"/>
    <xf numFmtId="179" fontId="174" fillId="52" borderId="0" applyNumberFormat="0" applyBorder="0" applyAlignment="0" applyProtection="0"/>
    <xf numFmtId="0" fontId="168" fillId="0" borderId="0" applyNumberFormat="0" applyFill="0" applyBorder="0" applyAlignment="0" applyProtection="0">
      <alignment vertical="top"/>
      <protection locked="0"/>
    </xf>
    <xf numFmtId="176" fontId="160" fillId="0" borderId="0" applyFont="0" applyFill="0" applyBorder="0" applyAlignment="0" applyProtection="0"/>
    <xf numFmtId="43" fontId="149" fillId="0" borderId="0" applyFont="0" applyFill="0" applyBorder="0" applyAlignment="0" applyProtection="0"/>
    <xf numFmtId="180" fontId="160" fillId="0" borderId="0" applyFont="0" applyFill="0" applyBorder="0" applyAlignment="0" applyProtection="0"/>
    <xf numFmtId="179" fontId="164" fillId="0" borderId="0" applyNumberFormat="0" applyFill="0" applyBorder="0" applyAlignment="0" applyProtection="0">
      <alignment vertical="top"/>
      <protection locked="0"/>
    </xf>
    <xf numFmtId="0" fontId="175" fillId="0" borderId="0"/>
    <xf numFmtId="0" fontId="176" fillId="0" borderId="0" applyNumberFormat="0" applyFill="0" applyBorder="0" applyAlignment="0" applyProtection="0">
      <alignment vertical="top"/>
      <protection locked="0"/>
    </xf>
    <xf numFmtId="0" fontId="160" fillId="7" borderId="10" applyBorder="0">
      <alignment vertical="top"/>
    </xf>
    <xf numFmtId="179" fontId="161" fillId="0" borderId="0"/>
    <xf numFmtId="0" fontId="166" fillId="0" borderId="0"/>
    <xf numFmtId="0" fontId="160" fillId="0" borderId="0"/>
    <xf numFmtId="0" fontId="166" fillId="0" borderId="0"/>
    <xf numFmtId="179" fontId="160" fillId="0" borderId="0"/>
    <xf numFmtId="0" fontId="166"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77" fillId="0" borderId="0" applyFont="0" applyFill="0" applyBorder="0" applyAlignment="0" applyProtection="0"/>
    <xf numFmtId="0" fontId="170" fillId="8" borderId="41">
      <alignment horizontal="centerContinuous"/>
    </xf>
    <xf numFmtId="49" fontId="167" fillId="53" borderId="10">
      <alignment horizontal="center" vertical="center" wrapText="1"/>
    </xf>
    <xf numFmtId="179" fontId="174" fillId="54" borderId="0" applyNumberFormat="0" applyBorder="0" applyAlignment="0" applyProtection="0"/>
    <xf numFmtId="179" fontId="174" fillId="13" borderId="0" applyNumberFormat="0" applyBorder="0" applyAlignment="0" applyProtection="0"/>
    <xf numFmtId="179" fontId="174" fillId="15" borderId="0" applyNumberFormat="0" applyBorder="0" applyAlignment="0" applyProtection="0"/>
    <xf numFmtId="179" fontId="174" fillId="51" borderId="0" applyNumberFormat="0" applyBorder="0" applyAlignment="0" applyProtection="0"/>
    <xf numFmtId="179" fontId="174" fillId="12" borderId="0" applyNumberFormat="0" applyBorder="0" applyAlignment="0" applyProtection="0"/>
    <xf numFmtId="179" fontId="174" fillId="14" borderId="0" applyNumberFormat="0" applyBorder="0" applyAlignment="0" applyProtection="0"/>
    <xf numFmtId="179" fontId="178" fillId="3" borderId="1" applyNumberFormat="0" applyAlignment="0" applyProtection="0"/>
    <xf numFmtId="179" fontId="179" fillId="8" borderId="8" applyNumberFormat="0" applyAlignment="0" applyProtection="0"/>
    <xf numFmtId="179" fontId="180" fillId="8" borderId="1" applyNumberFormat="0" applyAlignment="0" applyProtection="0"/>
    <xf numFmtId="0" fontId="164"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179" fontId="182" fillId="0" borderId="261" applyNumberFormat="0" applyFill="0" applyAlignment="0" applyProtection="0"/>
    <xf numFmtId="179" fontId="183" fillId="0" borderId="5" applyNumberFormat="0" applyFill="0" applyAlignment="0" applyProtection="0"/>
    <xf numFmtId="179" fontId="184" fillId="0" borderId="9" applyNumberFormat="0" applyFill="0" applyAlignment="0" applyProtection="0"/>
    <xf numFmtId="179" fontId="184" fillId="0" borderId="0" applyNumberFormat="0" applyFill="0" applyBorder="0" applyAlignment="0" applyProtection="0"/>
    <xf numFmtId="179" fontId="158" fillId="0" borderId="262" applyNumberFormat="0" applyFill="0" applyAlignment="0" applyProtection="0"/>
    <xf numFmtId="179" fontId="185" fillId="18" borderId="2" applyNumberFormat="0" applyAlignment="0" applyProtection="0"/>
    <xf numFmtId="179" fontId="186" fillId="0" borderId="0" applyNumberFormat="0" applyFill="0" applyBorder="0" applyAlignment="0" applyProtection="0"/>
    <xf numFmtId="179" fontId="187" fillId="10" borderId="0" applyNumberFormat="0" applyBorder="0" applyAlignment="0" applyProtection="0"/>
    <xf numFmtId="0" fontId="159" fillId="0" borderId="0"/>
    <xf numFmtId="0" fontId="166" fillId="0" borderId="0"/>
    <xf numFmtId="0" fontId="160" fillId="0" borderId="0"/>
    <xf numFmtId="0" fontId="149" fillId="0" borderId="0"/>
    <xf numFmtId="0" fontId="149" fillId="0" borderId="0"/>
    <xf numFmtId="0" fontId="160" fillId="0" borderId="0"/>
    <xf numFmtId="0" fontId="159" fillId="0" borderId="0"/>
    <xf numFmtId="179" fontId="188" fillId="6" borderId="0" applyNumberFormat="0" applyBorder="0" applyAlignment="0" applyProtection="0"/>
    <xf numFmtId="179" fontId="189" fillId="0" borderId="0" applyNumberFormat="0" applyFill="0" applyBorder="0" applyAlignment="0" applyProtection="0"/>
    <xf numFmtId="179" fontId="160" fillId="4" borderId="7" applyNumberFormat="0" applyFont="0" applyAlignment="0" applyProtection="0"/>
    <xf numFmtId="9" fontId="159" fillId="0" borderId="0" applyFont="0" applyFill="0" applyBorder="0" applyAlignment="0" applyProtection="0"/>
    <xf numFmtId="179" fontId="190" fillId="0" borderId="3" applyNumberFormat="0" applyFill="0" applyAlignment="0" applyProtection="0"/>
    <xf numFmtId="179" fontId="191" fillId="0" borderId="0" applyNumberFormat="0" applyFill="0" applyBorder="0" applyAlignment="0" applyProtection="0"/>
    <xf numFmtId="43" fontId="160" fillId="0" borderId="0" applyFont="0" applyFill="0" applyBorder="0" applyAlignment="0" applyProtection="0"/>
    <xf numFmtId="43" fontId="166" fillId="0" borderId="0" applyFont="0" applyFill="0" applyBorder="0" applyAlignment="0" applyProtection="0"/>
    <xf numFmtId="177" fontId="160" fillId="0" borderId="0" applyFont="0" applyFill="0" applyBorder="0" applyAlignment="0" applyProtection="0"/>
    <xf numFmtId="169" fontId="160" fillId="0" borderId="0" applyFont="0" applyFill="0" applyBorder="0" applyAlignment="0" applyProtection="0"/>
    <xf numFmtId="165" fontId="159" fillId="0" borderId="0" applyFont="0" applyFill="0" applyBorder="0" applyAlignment="0" applyProtection="0"/>
    <xf numFmtId="165" fontId="160" fillId="0" borderId="0" applyFont="0" applyFill="0" applyBorder="0" applyAlignment="0" applyProtection="0"/>
    <xf numFmtId="179" fontId="192" fillId="7" borderId="0" applyNumberFormat="0" applyBorder="0" applyAlignment="0" applyProtection="0"/>
    <xf numFmtId="181" fontId="192" fillId="7" borderId="0" applyNumberFormat="0" applyBorder="0" applyAlignment="0" applyProtection="0"/>
    <xf numFmtId="0" fontId="20" fillId="0" borderId="0"/>
    <xf numFmtId="0" fontId="193" fillId="0" borderId="0" applyFill="0" applyBorder="0" applyProtection="0">
      <alignment horizontal="left"/>
    </xf>
  </cellStyleXfs>
  <cellXfs count="1239">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7" fillId="0" borderId="0" xfId="48" applyProtection="1"/>
    <xf numFmtId="164" fontId="15" fillId="0" borderId="0" xfId="48" applyFont="1" applyProtection="1"/>
    <xf numFmtId="0" fontId="18" fillId="0" borderId="0" xfId="48" applyNumberFormat="1" applyFont="1" applyBorder="1" applyProtection="1"/>
    <xf numFmtId="164" fontId="137" fillId="0" borderId="0" xfId="50" applyProtection="1"/>
    <xf numFmtId="164" fontId="137" fillId="0" borderId="0" xfId="50" applyFill="1" applyBorder="1" applyAlignment="1" applyProtection="1">
      <alignment horizontal="left"/>
    </xf>
    <xf numFmtId="0" fontId="0" fillId="0" borderId="0" xfId="0" applyFill="1" applyBorder="1" applyProtection="1"/>
    <xf numFmtId="164" fontId="137"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7"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7" fillId="0" borderId="0" xfId="59"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7"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0" borderId="10" xfId="0" applyFont="1" applyBorder="1"/>
    <xf numFmtId="0" fontId="71" fillId="19" borderId="10" xfId="0" applyFont="1" applyFill="1" applyBorder="1" applyAlignment="1" applyProtection="1">
      <alignment horizontal="center"/>
    </xf>
    <xf numFmtId="0" fontId="71"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0" fontId="14" fillId="0" borderId="0" xfId="0" applyFont="1"/>
    <xf numFmtId="0" fontId="45" fillId="0" borderId="0" xfId="0" applyFont="1" applyFill="1"/>
    <xf numFmtId="0" fontId="78" fillId="19" borderId="12" xfId="0" applyFont="1" applyFill="1" applyBorder="1" applyAlignment="1">
      <alignment vertical="center"/>
    </xf>
    <xf numFmtId="0" fontId="76" fillId="0" borderId="0" xfId="52" applyNumberFormat="1" applyFont="1" applyFill="1" applyBorder="1" applyAlignment="1">
      <alignment horizontal="center" vertical="center" wrapText="1"/>
    </xf>
    <xf numFmtId="0" fontId="76"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1" fillId="20" borderId="0" xfId="0" applyNumberFormat="1" applyFont="1" applyFill="1" applyBorder="1" applyAlignment="1">
      <alignment horizontal="center"/>
    </xf>
    <xf numFmtId="0" fontId="81" fillId="0" borderId="0" xfId="0" applyFont="1" applyFill="1" applyBorder="1" applyAlignment="1" applyProtection="1">
      <alignment horizontal="left"/>
    </xf>
    <xf numFmtId="0" fontId="82"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37" fillId="0" borderId="14" xfId="59" applyFill="1" applyBorder="1" applyAlignment="1" applyProtection="1">
      <alignment vertical="center"/>
    </xf>
    <xf numFmtId="164" fontId="3" fillId="0" borderId="14" xfId="59" applyFont="1" applyFill="1" applyBorder="1" applyAlignment="1" applyProtection="1">
      <alignment vertical="center"/>
    </xf>
    <xf numFmtId="164" fontId="31" fillId="0" borderId="0" xfId="59" applyFont="1" applyBorder="1" applyAlignment="1" applyProtection="1"/>
    <xf numFmtId="164" fontId="137" fillId="0" borderId="0" xfId="59" applyFill="1" applyBorder="1" applyAlignment="1" applyProtection="1">
      <alignment vertical="center"/>
    </xf>
    <xf numFmtId="164" fontId="3" fillId="0" borderId="0" xfId="59"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100" fillId="0" borderId="0" xfId="62" applyFont="1" applyFill="1" applyBorder="1" applyProtection="1"/>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3" fontId="66" fillId="22" borderId="10"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7"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7"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8"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70"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9"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2"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7" fontId="6" fillId="0" borderId="0" xfId="62" applyNumberFormat="1" applyFont="1" applyFill="1" applyBorder="1" applyAlignment="1" applyProtection="1">
      <protection locked="0"/>
    </xf>
    <xf numFmtId="167" fontId="6" fillId="0" borderId="0" xfId="62" applyNumberFormat="1" applyFont="1" applyFill="1" applyBorder="1" applyProtection="1">
      <protection locked="0"/>
    </xf>
    <xf numFmtId="0" fontId="15" fillId="20" borderId="0" xfId="0" applyFont="1" applyFill="1"/>
    <xf numFmtId="166" fontId="15" fillId="20" borderId="0" xfId="0" applyNumberFormat="1" applyFont="1" applyFill="1"/>
    <xf numFmtId="167" fontId="15" fillId="20" borderId="0" xfId="0" applyNumberFormat="1" applyFont="1" applyFill="1"/>
    <xf numFmtId="3" fontId="15" fillId="20" borderId="0" xfId="0" applyNumberFormat="1" applyFont="1" applyFill="1" applyProtection="1"/>
    <xf numFmtId="166"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3" fillId="0" borderId="0" xfId="0" applyFont="1"/>
    <xf numFmtId="164" fontId="14" fillId="0" borderId="0" xfId="0" applyNumberFormat="1" applyFont="1" applyAlignment="1" applyProtection="1">
      <alignment horizontal="center"/>
    </xf>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9" fillId="0" borderId="0" xfId="0" applyNumberFormat="1" applyFont="1"/>
    <xf numFmtId="0" fontId="89"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37"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8" fillId="0" borderId="42" xfId="0" applyFont="1" applyBorder="1" applyAlignment="1">
      <alignment horizontal="justify" vertical="center" wrapText="1"/>
    </xf>
    <xf numFmtId="164" fontId="91" fillId="0" borderId="25" xfId="59" applyFont="1" applyFill="1" applyBorder="1" applyAlignment="1" applyProtection="1"/>
    <xf numFmtId="164" fontId="9" fillId="0" borderId="25" xfId="59" applyFont="1" applyFill="1" applyBorder="1" applyAlignment="1" applyProtection="1">
      <alignment vertical="center"/>
    </xf>
    <xf numFmtId="3" fontId="66" fillId="23" borderId="10" xfId="0" applyNumberFormat="1" applyFont="1" applyFill="1" applyBorder="1" applyAlignment="1" applyProtection="1">
      <alignment vertical="center"/>
      <protection locked="0"/>
    </xf>
    <xf numFmtId="0" fontId="87" fillId="0" borderId="41" xfId="0" applyFont="1" applyBorder="1" applyAlignment="1">
      <alignment vertical="center" wrapText="1"/>
    </xf>
    <xf numFmtId="0" fontId="87" fillId="0" borderId="42" xfId="0" applyFont="1" applyBorder="1" applyAlignment="1">
      <alignment vertical="center" wrapText="1"/>
    </xf>
    <xf numFmtId="0" fontId="2" fillId="0" borderId="44" xfId="0" applyFont="1" applyFill="1" applyBorder="1" applyAlignment="1" applyProtection="1">
      <alignment horizontal="center"/>
    </xf>
    <xf numFmtId="0" fontId="66" fillId="0" borderId="10" xfId="0" applyFont="1" applyFill="1" applyBorder="1" applyAlignment="1" applyProtection="1">
      <alignment horizontal="center"/>
    </xf>
    <xf numFmtId="0" fontId="66" fillId="24" borderId="10" xfId="0" applyFont="1" applyFill="1" applyBorder="1" applyAlignment="1" applyProtection="1">
      <alignment horizontal="center"/>
    </xf>
    <xf numFmtId="0" fontId="1" fillId="0" borderId="0" xfId="0" applyFont="1"/>
    <xf numFmtId="0" fontId="94" fillId="0" borderId="0" xfId="0" applyFont="1"/>
    <xf numFmtId="164" fontId="96" fillId="0" borderId="25" xfId="59"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7" fontId="0" fillId="0" borderId="0" xfId="0" applyNumberFormat="1" applyProtection="1"/>
    <xf numFmtId="164" fontId="20" fillId="0" borderId="0" xfId="49" applyFont="1" applyFill="1" applyAlignment="1" applyProtection="1">
      <alignment horizontal="right" vertical="center"/>
    </xf>
    <xf numFmtId="0" fontId="102" fillId="0" borderId="0" xfId="0" applyFont="1" applyFill="1" applyBorder="1" applyAlignment="1" applyProtection="1">
      <alignment horizontal="right"/>
    </xf>
    <xf numFmtId="164" fontId="103" fillId="0" borderId="14" xfId="59"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47" xfId="0" applyFont="1" applyBorder="1" applyAlignment="1" applyProtection="1">
      <alignment horizontal="right"/>
    </xf>
    <xf numFmtId="164" fontId="112" fillId="0" borderId="0" xfId="38" applyFont="1" applyFill="1" applyAlignment="1" applyProtection="1">
      <alignment vertical="center"/>
    </xf>
    <xf numFmtId="0" fontId="113" fillId="0" borderId="0" xfId="0" applyFont="1" applyProtection="1"/>
    <xf numFmtId="0" fontId="113"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110" fillId="0" borderId="37" xfId="0" applyNumberFormat="1" applyFont="1" applyFill="1" applyBorder="1" applyAlignment="1" applyProtection="1">
      <alignment horizontal="center" wrapText="1"/>
    </xf>
    <xf numFmtId="15" fontId="110"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66" fillId="0" borderId="54" xfId="0" applyFont="1" applyFill="1" applyBorder="1" applyAlignment="1" applyProtection="1">
      <alignment horizontal="center"/>
    </xf>
    <xf numFmtId="3" fontId="66"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6" fillId="0" borderId="55" xfId="0" applyFont="1" applyFill="1" applyBorder="1" applyAlignment="1" applyProtection="1">
      <alignment horizontal="center"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24" fillId="25" borderId="38" xfId="56" applyFont="1" applyFill="1" applyBorder="1" applyAlignment="1" applyProtection="1">
      <alignment horizontal="center"/>
    </xf>
    <xf numFmtId="15" fontId="24" fillId="25" borderId="38" xfId="56" applyNumberFormat="1" applyFont="1" applyFill="1" applyBorder="1" applyAlignment="1" applyProtection="1">
      <alignment horizontal="center"/>
    </xf>
    <xf numFmtId="164" fontId="89"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0" fontId="0" fillId="25" borderId="45" xfId="0" applyNumberFormat="1" applyFill="1" applyBorder="1" applyAlignment="1" applyProtection="1">
      <alignment horizontal="center"/>
      <protection locked="0"/>
    </xf>
    <xf numFmtId="0" fontId="0" fillId="0" borderId="22" xfId="0" applyNumberFormat="1" applyFill="1" applyBorder="1" applyAlignment="1" applyProtection="1">
      <alignment horizontal="center"/>
    </xf>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2"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19" borderId="59" xfId="0" applyNumberFormat="1" applyFont="1" applyFill="1" applyBorder="1" applyAlignment="1" applyProtection="1">
      <alignment horizontal="center"/>
      <protection locked="0"/>
    </xf>
    <xf numFmtId="166" fontId="32" fillId="19" borderId="60" xfId="0" applyNumberFormat="1" applyFont="1" applyFill="1" applyBorder="1" applyAlignment="1" applyProtection="1">
      <alignment horizontal="center"/>
      <protection locked="0"/>
    </xf>
    <xf numFmtId="166" fontId="32" fillId="19" borderId="61" xfId="0" applyNumberFormat="1" applyFont="1" applyFill="1" applyBorder="1" applyAlignment="1" applyProtection="1">
      <alignment horizontal="center"/>
      <protection locked="0"/>
    </xf>
    <xf numFmtId="166"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38" xfId="56" applyFont="1" applyBorder="1" applyAlignment="1" applyProtection="1">
      <alignment horizontal="right"/>
    </xf>
    <xf numFmtId="164" fontId="120" fillId="0" borderId="0" xfId="50" applyFont="1" applyFill="1" applyBorder="1" applyProtection="1"/>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6"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49" fontId="0" fillId="0" borderId="10" xfId="0" applyNumberFormat="1" applyBorder="1" applyAlignment="1" applyProtection="1">
      <alignment horizontal="center"/>
      <protection locked="0"/>
    </xf>
    <xf numFmtId="0" fontId="0" fillId="0" borderId="72" xfId="0" applyNumberFormat="1" applyFill="1" applyBorder="1"/>
    <xf numFmtId="3" fontId="66" fillId="0" borderId="10" xfId="0" applyNumberFormat="1" applyFont="1" applyFill="1" applyBorder="1" applyAlignment="1" applyProtection="1">
      <alignment vertical="center"/>
    </xf>
    <xf numFmtId="3" fontId="66" fillId="0" borderId="54" xfId="0" applyNumberFormat="1" applyFont="1" applyFill="1" applyBorder="1" applyAlignment="1" applyProtection="1">
      <alignment vertical="center"/>
    </xf>
    <xf numFmtId="49" fontId="83"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6" fillId="0" borderId="74" xfId="0" applyFont="1" applyFill="1" applyBorder="1" applyAlignment="1" applyProtection="1">
      <alignment horizontal="center" vertical="center" wrapText="1"/>
    </xf>
    <xf numFmtId="0" fontId="76" fillId="0" borderId="75" xfId="0" applyFont="1" applyFill="1" applyBorder="1" applyAlignment="1" applyProtection="1">
      <alignment horizontal="center"/>
    </xf>
    <xf numFmtId="0" fontId="76" fillId="0" borderId="76" xfId="0" applyFont="1" applyFill="1" applyBorder="1" applyAlignment="1" applyProtection="1">
      <alignment horizontal="center"/>
    </xf>
    <xf numFmtId="0" fontId="76" fillId="0" borderId="77"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vertical="center"/>
    </xf>
    <xf numFmtId="0" fontId="76" fillId="0" borderId="79" xfId="0" applyNumberFormat="1" applyFont="1" applyFill="1" applyBorder="1" applyAlignment="1" applyProtection="1">
      <alignment horizontal="center" vertical="center"/>
    </xf>
    <xf numFmtId="0" fontId="80" fillId="0" borderId="80" xfId="0" applyNumberFormat="1" applyFont="1" applyFill="1" applyBorder="1" applyAlignment="1" applyProtection="1">
      <alignment horizontal="center" vertical="center"/>
    </xf>
    <xf numFmtId="0" fontId="80" fillId="0" borderId="81" xfId="0" applyNumberFormat="1" applyFont="1" applyFill="1" applyBorder="1" applyAlignment="1" applyProtection="1">
      <alignment horizontal="center" vertical="center"/>
    </xf>
    <xf numFmtId="0" fontId="80"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0" fillId="0" borderId="0" xfId="0"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6"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3"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90" fillId="0" borderId="85" xfId="0" applyNumberFormat="1" applyFont="1" applyFill="1" applyBorder="1" applyAlignment="1" applyProtection="1">
      <alignment horizontal="center" vertical="center" wrapText="1"/>
    </xf>
    <xf numFmtId="0" fontId="90" fillId="0" borderId="86" xfId="0" applyNumberFormat="1" applyFont="1" applyFill="1" applyBorder="1" applyAlignment="1" applyProtection="1">
      <alignment horizontal="center" vertical="center" wrapText="1"/>
    </xf>
    <xf numFmtId="0" fontId="0" fillId="0" borderId="0" xfId="0" applyAlignment="1"/>
    <xf numFmtId="0" fontId="0" fillId="0" borderId="0" xfId="0" applyAlignment="1">
      <alignment vertical="center" wrapText="1"/>
    </xf>
    <xf numFmtId="164" fontId="28" fillId="0" borderId="0" xfId="0" applyNumberFormat="1" applyFont="1" applyAlignment="1">
      <alignment horizontal="right" vertical="center" wrapText="1"/>
    </xf>
    <xf numFmtId="9" fontId="128" fillId="0" borderId="0" xfId="61" applyFont="1" applyBorder="1" applyProtection="1"/>
    <xf numFmtId="164" fontId="35" fillId="0" borderId="0" xfId="0" applyNumberFormat="1" applyFont="1" applyAlignment="1">
      <alignment horizontal="left" vertical="center" wrapText="1"/>
    </xf>
    <xf numFmtId="0" fontId="127" fillId="0" borderId="0" xfId="0" applyFont="1" applyAlignment="1"/>
    <xf numFmtId="0" fontId="33" fillId="0" borderId="0" xfId="0" applyFont="1" applyAlignment="1"/>
    <xf numFmtId="0" fontId="30" fillId="0" borderId="0" xfId="0" applyFont="1" applyFill="1" applyBorder="1" applyAlignment="1" applyProtection="1">
      <alignment horizontal="left" wrapText="1"/>
      <protection locked="0"/>
    </xf>
    <xf numFmtId="0" fontId="129" fillId="0" borderId="0" xfId="0" applyFont="1"/>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30" fillId="0" borderId="0" xfId="0" applyNumberFormat="1" applyFont="1" applyAlignment="1" applyProtection="1">
      <alignment horizontal="right"/>
    </xf>
    <xf numFmtId="164" fontId="130" fillId="0" borderId="0" xfId="0" applyNumberFormat="1" applyFont="1" applyAlignment="1">
      <alignment horizontal="right"/>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164" fontId="133" fillId="0" borderId="18" xfId="59" applyFont="1" applyFill="1" applyBorder="1" applyAlignment="1" applyProtection="1">
      <alignment vertical="center"/>
    </xf>
    <xf numFmtId="164" fontId="133" fillId="0" borderId="18" xfId="59" applyFont="1" applyFill="1" applyBorder="1" applyAlignment="1" applyProtection="1">
      <alignment horizontal="center" vertical="center"/>
    </xf>
    <xf numFmtId="164" fontId="133" fillId="0" borderId="25" xfId="59" applyFont="1" applyFill="1" applyBorder="1" applyAlignment="1" applyProtection="1">
      <alignment vertical="center"/>
    </xf>
    <xf numFmtId="0" fontId="133" fillId="0" borderId="25" xfId="0" applyFont="1" applyBorder="1" applyProtection="1"/>
    <xf numFmtId="0" fontId="133" fillId="0" borderId="25" xfId="0" applyFont="1" applyBorder="1"/>
    <xf numFmtId="164" fontId="134" fillId="0" borderId="14" xfId="59" applyFont="1" applyFill="1" applyBorder="1" applyAlignment="1" applyProtection="1">
      <alignment horizontal="left" vertical="center"/>
    </xf>
    <xf numFmtId="164" fontId="133" fillId="0" borderId="14" xfId="59" applyFont="1" applyFill="1" applyBorder="1" applyAlignment="1" applyProtection="1">
      <alignment vertical="center"/>
    </xf>
    <xf numFmtId="164" fontId="133" fillId="26" borderId="89" xfId="59" applyFont="1" applyFill="1" applyBorder="1" applyAlignment="1" applyProtection="1">
      <alignment vertical="center"/>
    </xf>
    <xf numFmtId="164" fontId="134" fillId="0" borderId="18" xfId="59" applyFont="1" applyFill="1" applyBorder="1" applyAlignment="1" applyProtection="1">
      <alignment vertical="center"/>
    </xf>
    <xf numFmtId="164" fontId="134" fillId="0" borderId="25" xfId="59" applyFont="1" applyFill="1" applyBorder="1" applyAlignment="1" applyProtection="1">
      <alignment vertical="center"/>
    </xf>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0" fontId="136" fillId="20" borderId="0" xfId="0" applyFont="1" applyFill="1"/>
    <xf numFmtId="3" fontId="66" fillId="28" borderId="10" xfId="0" applyNumberFormat="1" applyFont="1" applyFill="1" applyBorder="1" applyAlignment="1" applyProtection="1">
      <alignment vertical="center"/>
      <protection locked="0"/>
    </xf>
    <xf numFmtId="3" fontId="66"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vertical="center"/>
      <protection locked="0"/>
    </xf>
    <xf numFmtId="3" fontId="66"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3" fontId="66" fillId="24" borderId="10" xfId="0" applyNumberFormat="1" applyFont="1" applyFill="1" applyBorder="1" applyAlignment="1" applyProtection="1">
      <alignment vertical="center"/>
    </xf>
    <xf numFmtId="0" fontId="66" fillId="0" borderId="90" xfId="0" applyFont="1" applyFill="1" applyBorder="1" applyAlignment="1" applyProtection="1">
      <alignment horizontal="center"/>
    </xf>
    <xf numFmtId="0" fontId="66" fillId="0" borderId="87" xfId="0" applyFont="1" applyFill="1" applyBorder="1" applyAlignment="1" applyProtection="1">
      <alignment horizontal="center"/>
    </xf>
    <xf numFmtId="164" fontId="133" fillId="25" borderId="91" xfId="59" applyFont="1" applyFill="1" applyBorder="1" applyAlignment="1" applyProtection="1">
      <alignment horizontal="center" vertical="center"/>
    </xf>
    <xf numFmtId="0" fontId="133" fillId="22" borderId="92" xfId="0" applyFont="1" applyFill="1" applyBorder="1"/>
    <xf numFmtId="0" fontId="80" fillId="0" borderId="93" xfId="0" applyNumberFormat="1" applyFont="1" applyFill="1" applyBorder="1" applyAlignment="1" applyProtection="1">
      <alignment horizontal="center" vertical="center"/>
    </xf>
    <xf numFmtId="15" fontId="0" fillId="0" borderId="10" xfId="56" applyNumberFormat="1" applyFont="1" applyFill="1" applyBorder="1" applyAlignment="1" applyProtection="1">
      <alignment horizontal="center"/>
      <protection locked="0"/>
    </xf>
    <xf numFmtId="0" fontId="35" fillId="0" borderId="10" xfId="0" applyFont="1" applyBorder="1" applyAlignment="1" applyProtection="1">
      <alignment horizontal="center" vertical="center" wrapText="1"/>
    </xf>
    <xf numFmtId="3" fontId="138" fillId="0" borderId="41" xfId="0" applyNumberFormat="1" applyFont="1" applyFill="1" applyBorder="1" applyAlignment="1" applyProtection="1">
      <alignment horizontal="center" vertical="center" wrapText="1"/>
      <protection locked="0"/>
    </xf>
    <xf numFmtId="49" fontId="138" fillId="0" borderId="10" xfId="0" applyNumberFormat="1" applyFont="1" applyFill="1" applyBorder="1" applyAlignment="1" applyProtection="1">
      <alignment horizontal="center" vertical="center"/>
      <protection locked="0"/>
    </xf>
    <xf numFmtId="3" fontId="138" fillId="35" borderId="41" xfId="0" applyNumberFormat="1" applyFont="1" applyFill="1" applyBorder="1" applyAlignment="1" applyProtection="1">
      <alignment horizontal="center" vertical="center" wrapText="1"/>
      <protection locked="0"/>
    </xf>
    <xf numFmtId="49" fontId="138" fillId="35" borderId="41" xfId="0" applyNumberFormat="1" applyFont="1" applyFill="1" applyBorder="1" applyAlignment="1" applyProtection="1">
      <alignment horizontal="center" vertical="center" wrapText="1"/>
      <protection locked="0"/>
    </xf>
    <xf numFmtId="49" fontId="138" fillId="35" borderId="10" xfId="0" applyNumberFormat="1" applyFont="1" applyFill="1" applyBorder="1" applyAlignment="1" applyProtection="1">
      <alignment horizontal="center" vertical="center" wrapText="1"/>
      <protection locked="0"/>
    </xf>
    <xf numFmtId="49" fontId="138" fillId="35" borderId="10" xfId="0" applyNumberFormat="1" applyFont="1" applyFill="1" applyBorder="1" applyAlignment="1" applyProtection="1">
      <alignment horizontal="center" vertical="center"/>
      <protection locked="0"/>
    </xf>
    <xf numFmtId="9" fontId="141"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15" fillId="0" borderId="67" xfId="0" applyNumberFormat="1" applyFont="1" applyFill="1" applyBorder="1" applyAlignment="1" applyProtection="1">
      <alignment wrapText="1"/>
      <protection locked="0"/>
    </xf>
    <xf numFmtId="49" fontId="115"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48" fillId="0" borderId="51" xfId="0" applyFont="1" applyBorder="1"/>
    <xf numFmtId="0" fontId="148" fillId="0" borderId="57" xfId="0" applyFont="1" applyBorder="1"/>
    <xf numFmtId="0" fontId="148"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47" fillId="0" borderId="10" xfId="0" applyNumberFormat="1" applyFont="1" applyFill="1" applyBorder="1" applyAlignment="1" applyProtection="1">
      <alignment wrapText="1"/>
      <protection locked="0"/>
    </xf>
    <xf numFmtId="49" fontId="147" fillId="0" borderId="10" xfId="0" applyNumberFormat="1" applyFont="1" applyFill="1" applyBorder="1" applyAlignment="1" applyProtection="1">
      <protection locked="0"/>
    </xf>
    <xf numFmtId="0" fontId="142" fillId="0" borderId="10" xfId="0" applyFont="1" applyBorder="1" applyAlignment="1" applyProtection="1"/>
    <xf numFmtId="3" fontId="142" fillId="0" borderId="10" xfId="0" applyNumberFormat="1" applyFont="1" applyBorder="1" applyProtection="1"/>
    <xf numFmtId="0" fontId="142"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3" fontId="2" fillId="28" borderId="10" xfId="0" applyNumberFormat="1" applyFont="1" applyFill="1" applyBorder="1" applyAlignment="1" applyProtection="1">
      <alignment horizontal="right" vertical="center" wrapText="1"/>
      <protection locked="0"/>
    </xf>
    <xf numFmtId="3" fontId="2" fillId="23" borderId="10" xfId="0" applyNumberFormat="1" applyFont="1" applyFill="1" applyBorder="1" applyAlignment="1" applyProtection="1">
      <alignment vertical="center" wrapText="1"/>
      <protection locked="0"/>
    </xf>
    <xf numFmtId="3" fontId="2" fillId="22" borderId="10" xfId="0" applyNumberFormat="1" applyFont="1" applyFill="1" applyBorder="1" applyAlignment="1" applyProtection="1">
      <alignment vertical="center" wrapText="1"/>
      <protection locked="0"/>
    </xf>
    <xf numFmtId="49" fontId="0" fillId="35" borderId="10" xfId="0" applyNumberFormat="1" applyFill="1" applyBorder="1" applyAlignment="1" applyProtection="1">
      <alignment horizontal="left"/>
      <protection locked="0"/>
    </xf>
    <xf numFmtId="49" fontId="0" fillId="0" borderId="10" xfId="0" applyNumberFormat="1" applyFill="1" applyBorder="1" applyProtection="1">
      <protection locked="0"/>
    </xf>
    <xf numFmtId="49" fontId="146"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50" fillId="38" borderId="41" xfId="0" applyNumberFormat="1" applyFont="1" applyFill="1" applyBorder="1" applyAlignment="1" applyProtection="1">
      <alignment horizontal="center" vertical="center" wrapText="1"/>
    </xf>
    <xf numFmtId="3" fontId="151" fillId="0" borderId="10" xfId="0" applyNumberFormat="1" applyFont="1" applyFill="1" applyBorder="1" applyAlignment="1" applyProtection="1"/>
    <xf numFmtId="3" fontId="151" fillId="0" borderId="58" xfId="0" applyNumberFormat="1" applyFont="1" applyFill="1" applyBorder="1" applyAlignment="1" applyProtection="1"/>
    <xf numFmtId="3" fontId="151" fillId="26" borderId="59" xfId="0" applyNumberFormat="1" applyFont="1" applyFill="1" applyBorder="1" applyAlignment="1" applyProtection="1">
      <protection locked="0"/>
    </xf>
    <xf numFmtId="4" fontId="151"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9" fontId="138" fillId="0" borderId="41" xfId="0" applyNumberFormat="1" applyFont="1" applyFill="1" applyBorder="1" applyAlignment="1" applyProtection="1">
      <alignment horizontal="center" vertical="center" wrapText="1"/>
      <protection locked="0"/>
    </xf>
    <xf numFmtId="9" fontId="2" fillId="22" borderId="10" xfId="0" applyNumberFormat="1" applyFont="1" applyFill="1" applyBorder="1" applyAlignment="1" applyProtection="1">
      <alignment vertical="center"/>
      <protection locked="0"/>
    </xf>
    <xf numFmtId="0" fontId="138" fillId="0" borderId="41" xfId="0" applyNumberFormat="1" applyFont="1" applyFill="1" applyBorder="1" applyAlignment="1" applyProtection="1">
      <alignment horizontal="center" vertical="center" wrapText="1"/>
      <protection locked="0"/>
    </xf>
    <xf numFmtId="9" fontId="66" fillId="22" borderId="10" xfId="0" applyNumberFormat="1" applyFont="1" applyFill="1" applyBorder="1" applyAlignment="1" applyProtection="1">
      <alignment vertical="center"/>
      <protection locked="0"/>
    </xf>
    <xf numFmtId="9" fontId="66" fillId="29" borderId="10" xfId="0" applyNumberFormat="1" applyFont="1" applyFill="1" applyBorder="1" applyAlignment="1" applyProtection="1">
      <alignment vertical="center"/>
      <protection locked="0"/>
    </xf>
    <xf numFmtId="9" fontId="66" fillId="28" borderId="10" xfId="0" applyNumberFormat="1" applyFont="1" applyFill="1" applyBorder="1" applyAlignment="1" applyProtection="1">
      <alignment horizontal="right" vertical="center"/>
      <protection locked="0"/>
    </xf>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3" fontId="21" fillId="26" borderId="241"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67" fontId="1" fillId="26" borderId="242" xfId="62" applyNumberFormat="1" applyFon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164" fontId="152" fillId="0" borderId="25" xfId="59" applyFont="1" applyFill="1" applyBorder="1" applyAlignment="1" applyProtection="1">
      <alignment vertical="center"/>
    </xf>
    <xf numFmtId="164" fontId="153" fillId="0" borderId="25" xfId="59" applyFont="1" applyFill="1" applyBorder="1" applyAlignment="1" applyProtection="1">
      <alignment vertical="center"/>
    </xf>
    <xf numFmtId="0" fontId="153" fillId="0" borderId="25" xfId="0" applyFont="1" applyBorder="1" applyProtection="1"/>
    <xf numFmtId="0" fontId="153" fillId="0" borderId="25" xfId="0" applyFont="1" applyBorder="1"/>
    <xf numFmtId="0" fontId="153" fillId="22" borderId="92" xfId="0" applyFont="1" applyFill="1" applyBorder="1"/>
    <xf numFmtId="0" fontId="154" fillId="0" borderId="10" xfId="0" applyFont="1" applyFill="1" applyBorder="1" applyAlignment="1" applyProtection="1">
      <alignment horizontal="center"/>
    </xf>
    <xf numFmtId="3" fontId="154" fillId="22" borderId="10" xfId="0" applyNumberFormat="1" applyFont="1" applyFill="1" applyBorder="1" applyAlignment="1" applyProtection="1">
      <alignment vertical="center"/>
      <protection locked="0"/>
    </xf>
    <xf numFmtId="3" fontId="154" fillId="22" borderId="10" xfId="0" applyNumberFormat="1" applyFont="1" applyFill="1" applyBorder="1" applyAlignment="1" applyProtection="1">
      <alignment horizontal="right" vertical="center"/>
      <protection locked="0"/>
    </xf>
    <xf numFmtId="3" fontId="154" fillId="22" borderId="10" xfId="0" applyNumberFormat="1" applyFont="1" applyFill="1" applyBorder="1" applyAlignment="1" applyProtection="1">
      <alignment horizontal="right" vertical="center" wrapText="1"/>
      <protection locked="0"/>
    </xf>
    <xf numFmtId="3" fontId="154" fillId="22" borderId="26" xfId="0" applyNumberFormat="1" applyFont="1" applyFill="1" applyBorder="1" applyAlignment="1" applyProtection="1">
      <alignment vertical="center"/>
      <protection locked="0"/>
    </xf>
    <xf numFmtId="0" fontId="154" fillId="24" borderId="10" xfId="0" applyFont="1" applyFill="1" applyBorder="1" applyAlignment="1" applyProtection="1">
      <alignment horizontal="center"/>
    </xf>
    <xf numFmtId="3" fontId="154" fillId="28" borderId="10" xfId="0" applyNumberFormat="1" applyFont="1" applyFill="1" applyBorder="1" applyAlignment="1" applyProtection="1">
      <alignment vertical="center"/>
      <protection locked="0"/>
    </xf>
    <xf numFmtId="3" fontId="154" fillId="23" borderId="10" xfId="0" applyNumberFormat="1" applyFont="1" applyFill="1" applyBorder="1" applyAlignment="1" applyProtection="1">
      <alignment vertical="center"/>
      <protection locked="0"/>
    </xf>
    <xf numFmtId="3" fontId="154" fillId="23" borderId="10" xfId="0" applyNumberFormat="1" applyFont="1" applyFill="1" applyBorder="1" applyAlignment="1" applyProtection="1">
      <alignment horizontal="right" vertical="center"/>
      <protection locked="0"/>
    </xf>
    <xf numFmtId="3" fontId="154" fillId="23" borderId="10" xfId="0" applyNumberFormat="1" applyFont="1" applyFill="1" applyBorder="1" applyAlignment="1" applyProtection="1">
      <alignment horizontal="right" vertical="center" wrapText="1"/>
      <protection locked="0"/>
    </xf>
    <xf numFmtId="3" fontId="154" fillId="23" borderId="26" xfId="0" applyNumberFormat="1" applyFont="1" applyFill="1" applyBorder="1" applyAlignment="1" applyProtection="1">
      <alignment vertical="center"/>
      <protection locked="0"/>
    </xf>
    <xf numFmtId="1" fontId="154" fillId="22" borderId="10" xfId="0" applyNumberFormat="1" applyFont="1" applyFill="1" applyBorder="1" applyAlignment="1" applyProtection="1">
      <alignment vertical="center"/>
      <protection locked="0"/>
    </xf>
    <xf numFmtId="3" fontId="154" fillId="28" borderId="10" xfId="0" applyNumberFormat="1" applyFont="1" applyFill="1" applyBorder="1" applyAlignment="1" applyProtection="1">
      <alignment horizontal="right" vertical="center"/>
      <protection locked="0"/>
    </xf>
    <xf numFmtId="9" fontId="154" fillId="28" borderId="10" xfId="0" applyNumberFormat="1" applyFont="1" applyFill="1" applyBorder="1" applyAlignment="1" applyProtection="1">
      <alignment horizontal="right" vertical="center"/>
      <protection locked="0"/>
    </xf>
    <xf numFmtId="3" fontId="154" fillId="28" borderId="10" xfId="0" applyNumberFormat="1" applyFont="1" applyFill="1" applyBorder="1" applyAlignment="1" applyProtection="1">
      <alignment horizontal="right" vertical="center" wrapText="1"/>
      <protection locked="0"/>
    </xf>
    <xf numFmtId="3" fontId="154" fillId="28" borderId="26" xfId="0" applyNumberFormat="1" applyFont="1" applyFill="1" applyBorder="1" applyAlignment="1" applyProtection="1">
      <alignment vertical="center"/>
      <protection locked="0"/>
    </xf>
    <xf numFmtId="3" fontId="154" fillId="29" borderId="10" xfId="0" applyNumberFormat="1" applyFont="1" applyFill="1" applyBorder="1" applyAlignment="1" applyProtection="1">
      <alignment vertical="center"/>
      <protection locked="0"/>
    </xf>
    <xf numFmtId="3" fontId="154" fillId="29" borderId="10" xfId="0" applyNumberFormat="1" applyFont="1" applyFill="1" applyBorder="1" applyAlignment="1" applyProtection="1">
      <alignment horizontal="right" vertical="center"/>
      <protection locked="0"/>
    </xf>
    <xf numFmtId="3" fontId="154" fillId="29" borderId="10" xfId="0" applyNumberFormat="1" applyFont="1" applyFill="1" applyBorder="1" applyAlignment="1" applyProtection="1">
      <alignment horizontal="right" vertical="center" wrapText="1"/>
      <protection locked="0"/>
    </xf>
    <xf numFmtId="3" fontId="154" fillId="29" borderId="26" xfId="0" applyNumberFormat="1" applyFont="1" applyFill="1" applyBorder="1" applyAlignment="1" applyProtection="1">
      <alignment vertical="center"/>
      <protection locked="0"/>
    </xf>
    <xf numFmtId="3" fontId="154" fillId="28" borderId="26" xfId="0" applyNumberFormat="1" applyFont="1" applyFill="1" applyBorder="1" applyAlignment="1" applyProtection="1">
      <alignment horizontal="right" vertical="center"/>
      <protection locked="0"/>
    </xf>
    <xf numFmtId="9" fontId="154" fillId="29" borderId="10" xfId="0" applyNumberFormat="1" applyFont="1" applyFill="1" applyBorder="1" applyAlignment="1" applyProtection="1">
      <alignment horizontal="right" vertical="center"/>
      <protection locked="0"/>
    </xf>
    <xf numFmtId="3" fontId="154" fillId="0" borderId="10" xfId="0" applyNumberFormat="1" applyFont="1" applyFill="1" applyBorder="1" applyAlignment="1" applyProtection="1">
      <alignment vertical="center"/>
    </xf>
    <xf numFmtId="3" fontId="154" fillId="0" borderId="10" xfId="0" applyNumberFormat="1" applyFont="1" applyFill="1" applyBorder="1" applyAlignment="1" applyProtection="1">
      <alignment horizontal="right" vertical="center"/>
    </xf>
    <xf numFmtId="3" fontId="154" fillId="24" borderId="10" xfId="0" applyNumberFormat="1" applyFont="1" applyFill="1" applyBorder="1" applyAlignment="1" applyProtection="1">
      <alignment vertical="center"/>
    </xf>
    <xf numFmtId="3" fontId="154" fillId="24" borderId="10" xfId="0" applyNumberFormat="1" applyFont="1" applyFill="1" applyBorder="1" applyAlignment="1" applyProtection="1">
      <alignment horizontal="right" vertical="center"/>
    </xf>
    <xf numFmtId="0" fontId="154"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42" fillId="0" borderId="0" xfId="0" applyNumberFormat="1" applyFont="1" applyAlignment="1" applyProtection="1">
      <alignment horizontal="center"/>
    </xf>
    <xf numFmtId="0" fontId="34" fillId="0" borderId="10" xfId="0" applyFont="1" applyBorder="1" applyAlignment="1" applyProtection="1">
      <alignment horizontal="center" vertical="center" wrapText="1"/>
    </xf>
    <xf numFmtId="9" fontId="156" fillId="27" borderId="10" xfId="61" applyFont="1" applyFill="1" applyBorder="1" applyAlignment="1" applyProtection="1">
      <alignment horizontal="center"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 fontId="0" fillId="0" borderId="70" xfId="0" applyNumberFormat="1" applyFill="1" applyBorder="1" applyProtection="1"/>
    <xf numFmtId="4" fontId="0" fillId="0" borderId="71" xfId="0" applyNumberFormat="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9" fontId="2" fillId="28" borderId="10" xfId="0" applyNumberFormat="1" applyFont="1" applyFill="1" applyBorder="1" applyAlignment="1" applyProtection="1">
      <alignment vertical="center"/>
      <protection locked="0"/>
    </xf>
    <xf numFmtId="164" fontId="157"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1" fontId="0" fillId="42"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6" fontId="32" fillId="19" borderId="255"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58" fillId="44" borderId="37" xfId="0" applyFont="1" applyFill="1" applyBorder="1" applyAlignment="1" applyProtection="1">
      <alignment horizontal="center"/>
    </xf>
    <xf numFmtId="0" fontId="158" fillId="0" borderId="36" xfId="0" applyFont="1" applyFill="1" applyBorder="1" applyAlignment="1" applyProtection="1">
      <alignment horizontal="center" wrapText="1"/>
    </xf>
    <xf numFmtId="0" fontId="142" fillId="0" borderId="36" xfId="0" applyFont="1" applyBorder="1" applyAlignment="1">
      <alignment horizontal="center" wrapText="1"/>
    </xf>
    <xf numFmtId="0" fontId="158" fillId="35" borderId="36" xfId="0" applyFont="1" applyFill="1" applyBorder="1" applyAlignment="1">
      <alignment horizontal="center" wrapText="1"/>
    </xf>
    <xf numFmtId="0" fontId="158" fillId="0" borderId="36" xfId="0" applyFont="1" applyBorder="1" applyAlignment="1">
      <alignment horizontal="center" wrapText="1"/>
    </xf>
    <xf numFmtId="0" fontId="142" fillId="0" borderId="36" xfId="0" applyFont="1" applyBorder="1" applyAlignment="1">
      <alignment horizontal="center" vertical="center" wrapText="1"/>
    </xf>
    <xf numFmtId="0" fontId="158" fillId="0" borderId="50" xfId="0" applyFont="1" applyFill="1" applyBorder="1" applyAlignment="1" applyProtection="1">
      <alignment horizontal="center" wrapText="1"/>
    </xf>
    <xf numFmtId="0" fontId="14" fillId="0" borderId="0" xfId="0" applyFont="1" applyBorder="1" applyAlignment="1">
      <alignment horizontal="center"/>
    </xf>
    <xf numFmtId="0" fontId="30" fillId="22" borderId="0" xfId="0" applyFont="1" applyFill="1" applyBorder="1" applyAlignment="1" applyProtection="1">
      <alignment horizontal="left" vertical="top" wrapText="1"/>
      <protection locked="0"/>
    </xf>
    <xf numFmtId="0" fontId="142" fillId="0" borderId="37" xfId="0" applyFont="1" applyFill="1" applyBorder="1" applyAlignment="1" applyProtection="1">
      <alignment horizontal="center" wrapText="1"/>
    </xf>
    <xf numFmtId="0" fontId="142" fillId="0" borderId="36" xfId="0" applyFont="1" applyFill="1" applyBorder="1" applyAlignment="1" applyProtection="1">
      <alignment wrapText="1"/>
    </xf>
    <xf numFmtId="0" fontId="142" fillId="0" borderId="36" xfId="0" applyFont="1" applyFill="1" applyBorder="1" applyAlignment="1" applyProtection="1">
      <alignment horizontal="center" wrapText="1"/>
    </xf>
    <xf numFmtId="0" fontId="142"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109" fillId="22" borderId="258" xfId="0" applyFont="1" applyFill="1" applyBorder="1" applyAlignment="1" applyProtection="1">
      <alignment horizontal="right" vertical="top"/>
      <protection locked="0"/>
    </xf>
    <xf numFmtId="0" fontId="109" fillId="22" borderId="259" xfId="0" applyFont="1" applyFill="1" applyBorder="1" applyAlignment="1" applyProtection="1">
      <alignment horizontal="right" vertical="top"/>
      <protection locked="0"/>
    </xf>
    <xf numFmtId="0" fontId="30" fillId="22" borderId="104" xfId="0" applyFont="1" applyFill="1" applyBorder="1" applyAlignment="1" applyProtection="1">
      <alignment horizontal="left" vertical="top"/>
      <protection locked="0"/>
    </xf>
    <xf numFmtId="49" fontId="0" fillId="0" borderId="87" xfId="0" applyNumberFormat="1" applyFill="1" applyBorder="1" applyProtection="1">
      <protection locked="0"/>
    </xf>
    <xf numFmtId="49" fontId="0" fillId="35" borderId="90" xfId="0" applyNumberFormat="1" applyFill="1" applyBorder="1" applyAlignment="1" applyProtection="1">
      <alignment horizontal="left"/>
      <protection locked="0"/>
    </xf>
    <xf numFmtId="49" fontId="0" fillId="35" borderId="57" xfId="0" applyNumberFormat="1" applyFill="1" applyBorder="1" applyAlignment="1" applyProtection="1">
      <alignment horizontal="left"/>
      <protection locked="0"/>
    </xf>
    <xf numFmtId="0" fontId="0" fillId="56" borderId="10" xfId="0" applyFill="1" applyBorder="1"/>
    <xf numFmtId="1" fontId="0" fillId="56" borderId="10" xfId="0" applyNumberFormat="1" applyFill="1" applyBorder="1"/>
    <xf numFmtId="1" fontId="0" fillId="56" borderId="49" xfId="0" applyNumberFormat="1" applyFill="1" applyBorder="1"/>
    <xf numFmtId="0" fontId="0" fillId="55" borderId="10" xfId="0" applyFill="1" applyBorder="1"/>
    <xf numFmtId="1" fontId="0" fillId="55" borderId="10" xfId="0" applyNumberFormat="1" applyFill="1" applyBorder="1"/>
    <xf numFmtId="1" fontId="0" fillId="55" borderId="49" xfId="0" applyNumberFormat="1" applyFill="1" applyBorder="1"/>
    <xf numFmtId="0" fontId="0" fillId="56" borderId="57" xfId="0" applyFill="1" applyBorder="1"/>
    <xf numFmtId="1" fontId="0" fillId="56" borderId="57" xfId="0" applyNumberFormat="1" applyFill="1" applyBorder="1"/>
    <xf numFmtId="1" fontId="0" fillId="56" borderId="52" xfId="0" applyNumberFormat="1" applyFill="1" applyBorder="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164" fontId="111" fillId="0" borderId="0" xfId="0" applyNumberFormat="1" applyFont="1" applyAlignment="1" applyProtection="1">
      <alignment horizontal="center"/>
    </xf>
    <xf numFmtId="9" fontId="66" fillId="0" borderId="10" xfId="0" applyNumberFormat="1" applyFont="1" applyFill="1" applyBorder="1" applyAlignment="1" applyProtection="1">
      <alignment vertical="center"/>
    </xf>
    <xf numFmtId="9" fontId="66" fillId="0" borderId="54" xfId="0" applyNumberFormat="1" applyFont="1" applyFill="1" applyBorder="1" applyAlignment="1" applyProtection="1">
      <alignment vertical="center"/>
    </xf>
    <xf numFmtId="49" fontId="194" fillId="0" borderId="263" xfId="0" applyNumberFormat="1" applyFont="1" applyFill="1" applyBorder="1" applyAlignment="1" applyProtection="1">
      <alignment horizontal="left" vertical="center" wrapText="1"/>
      <protection locked="0"/>
    </xf>
    <xf numFmtId="3" fontId="0" fillId="0" borderId="10" xfId="0" applyNumberFormat="1" applyFont="1" applyBorder="1" applyAlignment="1" applyProtection="1">
      <alignment vertical="center" wrapText="1"/>
    </xf>
    <xf numFmtId="0" fontId="0" fillId="56" borderId="90" xfId="0" applyFill="1" applyBorder="1"/>
    <xf numFmtId="1" fontId="0" fillId="56" borderId="90" xfId="0" applyNumberFormat="1" applyFill="1" applyBorder="1"/>
    <xf numFmtId="1" fontId="0" fillId="56" borderId="210" xfId="0" applyNumberFormat="1" applyFill="1" applyBorder="1"/>
    <xf numFmtId="0" fontId="21" fillId="35" borderId="87" xfId="0" applyNumberFormat="1" applyFont="1" applyFill="1" applyBorder="1" applyAlignment="1" applyProtection="1">
      <alignment horizontal="center" vertical="center"/>
      <protection locked="0"/>
    </xf>
    <xf numFmtId="0" fontId="21" fillId="35" borderId="87" xfId="0" applyNumberFormat="1" applyFont="1" applyFill="1" applyBorder="1" applyAlignment="1" applyProtection="1">
      <alignment horizontal="center" vertical="center"/>
    </xf>
    <xf numFmtId="3" fontId="0" fillId="35" borderId="10" xfId="0" applyNumberForma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center"/>
    </xf>
    <xf numFmtId="1" fontId="21" fillId="35" borderId="10" xfId="0" applyNumberFormat="1" applyFont="1" applyFill="1" applyBorder="1" applyAlignment="1" applyProtection="1">
      <alignment horizontal="center" vertical="center"/>
    </xf>
    <xf numFmtId="0" fontId="0" fillId="35" borderId="10" xfId="0" applyNumberFormat="1" applyFill="1" applyBorder="1" applyAlignment="1" applyProtection="1">
      <alignment horizontal="center" vertical="center"/>
      <protection locked="0"/>
    </xf>
    <xf numFmtId="1" fontId="0" fillId="35" borderId="49" xfId="0" applyNumberFormat="1" applyFill="1" applyBorder="1" applyAlignment="1" applyProtection="1">
      <alignment horizontal="center" vertical="center"/>
    </xf>
    <xf numFmtId="0" fontId="21" fillId="35" borderId="10" xfId="0" applyNumberFormat="1" applyFont="1" applyFill="1" applyBorder="1" applyAlignment="1" applyProtection="1">
      <alignment horizontal="center" vertical="center"/>
      <protection locked="0"/>
    </xf>
    <xf numFmtId="0" fontId="21" fillId="35" borderId="10" xfId="0" applyNumberFormat="1" applyFont="1" applyFill="1" applyBorder="1" applyAlignment="1" applyProtection="1">
      <alignment horizontal="center" vertical="center"/>
    </xf>
    <xf numFmtId="0" fontId="21" fillId="35" borderId="90" xfId="0" applyNumberFormat="1" applyFon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top"/>
      <protection locked="0"/>
    </xf>
    <xf numFmtId="3" fontId="0" fillId="35" borderId="10" xfId="0" applyNumberFormat="1" applyFill="1" applyBorder="1" applyAlignment="1" applyProtection="1">
      <alignment horizontal="center"/>
      <protection locked="0"/>
    </xf>
    <xf numFmtId="0" fontId="21" fillId="35" borderId="90" xfId="0" applyNumberFormat="1" applyFont="1" applyFill="1" applyBorder="1" applyAlignment="1" applyProtection="1">
      <alignment horizontal="center" vertical="center"/>
    </xf>
    <xf numFmtId="3" fontId="0" fillId="35" borderId="90" xfId="0" applyNumberFormat="1" applyFill="1" applyBorder="1" applyAlignment="1" applyProtection="1">
      <alignment horizontal="center" vertical="top"/>
      <protection locked="0"/>
    </xf>
    <xf numFmtId="1" fontId="0" fillId="35" borderId="90" xfId="0" applyNumberFormat="1" applyFill="1" applyBorder="1" applyAlignment="1" applyProtection="1">
      <alignment horizontal="center"/>
    </xf>
    <xf numFmtId="3" fontId="0" fillId="35" borderId="90" xfId="0" applyNumberFormat="1" applyFill="1" applyBorder="1" applyAlignment="1" applyProtection="1">
      <alignment horizontal="center"/>
      <protection locked="0"/>
    </xf>
    <xf numFmtId="1" fontId="21" fillId="35" borderId="90" xfId="0" applyNumberFormat="1" applyFont="1" applyFill="1" applyBorder="1" applyAlignment="1" applyProtection="1">
      <alignment horizontal="center" vertical="center"/>
    </xf>
    <xf numFmtId="0" fontId="0" fillId="35" borderId="90" xfId="0" applyNumberFormat="1" applyFill="1" applyBorder="1" applyAlignment="1" applyProtection="1">
      <alignment horizontal="center" vertical="center"/>
      <protection locked="0"/>
    </xf>
    <xf numFmtId="1" fontId="0" fillId="35" borderId="210" xfId="0" applyNumberFormat="1" applyFill="1" applyBorder="1" applyAlignment="1" applyProtection="1">
      <alignment horizontal="center" vertical="center"/>
    </xf>
    <xf numFmtId="0" fontId="21" fillId="35" borderId="57" xfId="0" applyNumberFormat="1" applyFont="1" applyFill="1" applyBorder="1" applyAlignment="1" applyProtection="1">
      <alignment horizontal="center" vertical="center"/>
      <protection locked="0"/>
    </xf>
    <xf numFmtId="0" fontId="21" fillId="35" borderId="57" xfId="0" applyNumberFormat="1" applyFont="1" applyFill="1" applyBorder="1" applyAlignment="1" applyProtection="1">
      <alignment horizontal="center" vertical="center"/>
    </xf>
    <xf numFmtId="3" fontId="0" fillId="35" borderId="57" xfId="0" applyNumberFormat="1" applyFill="1" applyBorder="1" applyAlignment="1" applyProtection="1">
      <alignment horizontal="center" vertical="top"/>
      <protection locked="0"/>
    </xf>
    <xf numFmtId="1" fontId="0" fillId="35" borderId="57" xfId="0" applyNumberFormat="1" applyFill="1" applyBorder="1" applyAlignment="1" applyProtection="1">
      <alignment horizontal="center"/>
    </xf>
    <xf numFmtId="3" fontId="0" fillId="35" borderId="57" xfId="0" applyNumberFormat="1" applyFill="1" applyBorder="1" applyAlignment="1" applyProtection="1">
      <alignment horizontal="center"/>
      <protection locked="0"/>
    </xf>
    <xf numFmtId="1" fontId="21" fillId="35" borderId="57" xfId="0" applyNumberFormat="1" applyFont="1" applyFill="1" applyBorder="1" applyAlignment="1" applyProtection="1">
      <alignment horizontal="center" vertical="center"/>
    </xf>
    <xf numFmtId="0" fontId="0" fillId="35" borderId="57" xfId="0" applyNumberFormat="1" applyFill="1" applyBorder="1" applyAlignment="1" applyProtection="1">
      <alignment horizontal="center" vertical="center"/>
      <protection locked="0"/>
    </xf>
    <xf numFmtId="1" fontId="0" fillId="35" borderId="52" xfId="0" applyNumberFormat="1" applyFill="1" applyBorder="1" applyAlignment="1" applyProtection="1">
      <alignment horizontal="center" vertical="center"/>
    </xf>
    <xf numFmtId="49" fontId="21" fillId="36" borderId="10" xfId="0" applyNumberFormat="1" applyFont="1" applyFill="1" applyBorder="1" applyProtection="1">
      <protection locked="0"/>
    </xf>
    <xf numFmtId="0" fontId="195" fillId="36" borderId="87" xfId="0" applyFont="1" applyFill="1" applyBorder="1" applyAlignment="1">
      <alignment horizontal="center" wrapText="1"/>
    </xf>
    <xf numFmtId="0" fontId="153" fillId="36" borderId="10" xfId="0" applyNumberFormat="1" applyFont="1" applyFill="1" applyBorder="1" applyAlignment="1" applyProtection="1">
      <alignment horizontal="center" vertical="center"/>
      <protection locked="0"/>
    </xf>
    <xf numFmtId="0" fontId="21" fillId="36" borderId="10"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center"/>
    </xf>
    <xf numFmtId="1" fontId="21" fillId="36" borderId="10" xfId="0" applyNumberFormat="1" applyFont="1" applyFill="1" applyBorder="1" applyAlignment="1" applyProtection="1">
      <alignment horizontal="center" vertical="center"/>
    </xf>
    <xf numFmtId="0" fontId="21" fillId="36" borderId="10" xfId="0" applyNumberFormat="1" applyFont="1" applyFill="1" applyBorder="1" applyAlignment="1" applyProtection="1">
      <alignment horizontal="center" vertical="center"/>
      <protection locked="0"/>
    </xf>
    <xf numFmtId="1" fontId="21" fillId="36" borderId="49" xfId="0" applyNumberFormat="1" applyFont="1" applyFill="1" applyBorder="1" applyAlignment="1" applyProtection="1">
      <alignment horizontal="center" vertical="center"/>
    </xf>
    <xf numFmtId="49" fontId="21" fillId="36" borderId="10" xfId="0" applyNumberFormat="1" applyFont="1" applyFill="1" applyBorder="1" applyAlignment="1" applyProtection="1">
      <alignment horizontal="left"/>
      <protection locked="0"/>
    </xf>
    <xf numFmtId="0" fontId="149" fillId="36" borderId="87" xfId="0" applyFont="1" applyFill="1" applyBorder="1" applyAlignment="1">
      <alignment horizontal="center" wrapText="1"/>
    </xf>
    <xf numFmtId="0" fontId="153" fillId="36" borderId="10" xfId="0" applyFont="1" applyFill="1" applyBorder="1" applyAlignment="1">
      <alignment horizontal="center" vertical="center"/>
    </xf>
    <xf numFmtId="3" fontId="153" fillId="36" borderId="10" xfId="0" applyNumberFormat="1"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4" fillId="0" borderId="0" xfId="0" applyFont="1" applyAlignment="1">
      <alignment horizontal="center"/>
    </xf>
    <xf numFmtId="0" fontId="125" fillId="0" borderId="0" xfId="0" applyFont="1" applyAlignment="1">
      <alignment horizontal="center"/>
    </xf>
    <xf numFmtId="164" fontId="135" fillId="30" borderId="0" xfId="47" applyFont="1" applyFill="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92" fillId="22" borderId="41" xfId="0" applyFont="1" applyFill="1" applyBorder="1" applyAlignment="1">
      <alignment horizontal="center"/>
    </xf>
    <xf numFmtId="0" fontId="92" fillId="22" borderId="42" xfId="0" applyFont="1" applyFill="1" applyBorder="1" applyAlignment="1">
      <alignment horizontal="center"/>
    </xf>
    <xf numFmtId="0" fontId="92" fillId="22" borderId="43" xfId="0" applyFont="1" applyFill="1" applyBorder="1" applyAlignment="1">
      <alignment horizont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24" fillId="22" borderId="41" xfId="0" applyFont="1" applyFill="1" applyBorder="1" applyAlignment="1">
      <alignment horizontal="center" wrapText="1"/>
    </xf>
    <xf numFmtId="0" fontId="92" fillId="22" borderId="42" xfId="0" applyFont="1" applyFill="1" applyBorder="1" applyAlignment="1">
      <alignment horizontal="center" wrapText="1"/>
    </xf>
    <xf numFmtId="0" fontId="92" fillId="22" borderId="43" xfId="0" applyFont="1" applyFill="1" applyBorder="1" applyAlignment="1">
      <alignment horizontal="center" wrapText="1"/>
    </xf>
    <xf numFmtId="0" fontId="88" fillId="0" borderId="41" xfId="0" applyFont="1" applyBorder="1" applyAlignment="1" applyProtection="1">
      <alignment vertical="center" wrapText="1"/>
      <protection locked="0"/>
    </xf>
    <xf numFmtId="0" fontId="88" fillId="0" borderId="42" xfId="0" applyFont="1" applyBorder="1" applyAlignment="1" applyProtection="1">
      <alignment vertical="center" wrapText="1"/>
      <protection locked="0"/>
    </xf>
    <xf numFmtId="0" fontId="88" fillId="0" borderId="43" xfId="0" applyFont="1" applyBorder="1" applyAlignment="1" applyProtection="1">
      <alignment vertical="center" wrapText="1"/>
      <protection locked="0"/>
    </xf>
    <xf numFmtId="0" fontId="97"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center" wrapText="1"/>
      <protection locked="0"/>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7" fillId="0" borderId="42" xfId="0" applyFont="1" applyFill="1" applyBorder="1" applyAlignment="1" applyProtection="1">
      <alignment vertical="center" wrapText="1"/>
      <protection locked="0"/>
    </xf>
    <xf numFmtId="0" fontId="97"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0" fontId="88" fillId="0" borderId="42" xfId="0" applyFont="1" applyBorder="1" applyAlignment="1" applyProtection="1">
      <alignment horizontal="justify" vertical="center" wrapText="1"/>
      <protection locked="0"/>
    </xf>
    <xf numFmtId="0" fontId="88" fillId="0" borderId="43" xfId="0" applyFont="1" applyBorder="1" applyAlignment="1" applyProtection="1">
      <alignment horizontal="justify" vertical="center" wrapText="1"/>
      <protection locked="0"/>
    </xf>
    <xf numFmtId="0" fontId="88" fillId="35" borderId="41" xfId="0" applyFont="1" applyFill="1" applyBorder="1" applyAlignment="1" applyProtection="1">
      <alignment vertical="center" wrapText="1"/>
      <protection locked="0"/>
    </xf>
    <xf numFmtId="0" fontId="88" fillId="35" borderId="42" xfId="0" applyFont="1" applyFill="1" applyBorder="1" applyAlignment="1" applyProtection="1">
      <alignment vertical="center" wrapText="1"/>
      <protection locked="0"/>
    </xf>
    <xf numFmtId="0" fontId="88" fillId="35" borderId="43" xfId="0" applyFont="1" applyFill="1" applyBorder="1" applyAlignment="1" applyProtection="1">
      <alignment vertical="center" wrapText="1"/>
      <protection locked="0"/>
    </xf>
    <xf numFmtId="0" fontId="88" fillId="0" borderId="41" xfId="0" applyFont="1" applyFill="1" applyBorder="1" applyAlignment="1" applyProtection="1">
      <alignment vertical="center" wrapText="1"/>
      <protection locked="0"/>
    </xf>
    <xf numFmtId="0" fontId="88" fillId="0" borderId="42" xfId="0" applyFont="1" applyFill="1" applyBorder="1" applyAlignment="1" applyProtection="1">
      <alignment vertical="center" wrapText="1"/>
      <protection locked="0"/>
    </xf>
    <xf numFmtId="0" fontId="88" fillId="0" borderId="43" xfId="0" applyFont="1" applyFill="1" applyBorder="1" applyAlignment="1" applyProtection="1">
      <alignment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88" fillId="0" borderId="41" xfId="0" applyFont="1" applyBorder="1" applyAlignment="1">
      <alignment horizontal="left" vertical="center" wrapText="1"/>
    </xf>
    <xf numFmtId="0" fontId="0" fillId="0" borderId="42" xfId="0" applyBorder="1" applyAlignment="1">
      <alignment horizontal="left"/>
    </xf>
    <xf numFmtId="0" fontId="0" fillId="0" borderId="43" xfId="0" applyBorder="1" applyAlignment="1">
      <alignment horizontal="left"/>
    </xf>
    <xf numFmtId="0" fontId="86" fillId="25" borderId="41" xfId="0" applyFont="1" applyFill="1" applyBorder="1" applyAlignment="1">
      <alignment horizontal="center"/>
    </xf>
    <xf numFmtId="0" fontId="86" fillId="25" borderId="42" xfId="0" applyFont="1" applyFill="1" applyBorder="1" applyAlignment="1">
      <alignment horizontal="center"/>
    </xf>
    <xf numFmtId="0" fontId="86" fillId="25" borderId="43" xfId="0" applyFont="1" applyFill="1" applyBorder="1" applyAlignment="1">
      <alignment horizontal="center"/>
    </xf>
    <xf numFmtId="164" fontId="87" fillId="0" borderId="41" xfId="0" applyNumberFormat="1"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164" fontId="87" fillId="0" borderId="41" xfId="0" applyNumberFormat="1" applyFont="1" applyBorder="1" applyAlignment="1">
      <alignment vertical="center" wrapText="1"/>
    </xf>
    <xf numFmtId="0" fontId="87" fillId="0" borderId="42" xfId="0" applyFont="1" applyBorder="1" applyAlignment="1">
      <alignment vertical="center" wrapText="1"/>
    </xf>
    <xf numFmtId="0" fontId="87" fillId="0" borderId="43" xfId="0" applyFont="1" applyBorder="1" applyAlignment="1">
      <alignment vertical="center" wrapText="1"/>
    </xf>
    <xf numFmtId="0" fontId="88" fillId="0" borderId="42" xfId="0" applyFont="1" applyBorder="1" applyAlignment="1">
      <alignment horizontal="left" vertical="center" wrapText="1"/>
    </xf>
    <xf numFmtId="0" fontId="88" fillId="0" borderId="43" xfId="0" applyFont="1" applyBorder="1" applyAlignment="1">
      <alignment horizontal="left" vertical="center" wrapText="1"/>
    </xf>
    <xf numFmtId="0" fontId="118" fillId="0" borderId="41" xfId="0" applyFont="1" applyBorder="1" applyAlignment="1">
      <alignment horizontal="left" vertical="center" wrapText="1"/>
    </xf>
    <xf numFmtId="0" fontId="118" fillId="0" borderId="42" xfId="0" applyFont="1" applyBorder="1" applyAlignment="1">
      <alignment horizontal="left" vertical="center" wrapText="1"/>
    </xf>
    <xf numFmtId="0" fontId="118" fillId="0" borderId="43" xfId="0" applyFont="1" applyBorder="1" applyAlignment="1">
      <alignment horizontal="left" vertical="center" wrapText="1"/>
    </xf>
    <xf numFmtId="0" fontId="88" fillId="0" borderId="88" xfId="0" applyFont="1" applyBorder="1" applyAlignment="1">
      <alignment horizontal="justify" vertical="center" wrapText="1"/>
    </xf>
    <xf numFmtId="0" fontId="88" fillId="0" borderId="97" xfId="0" applyFont="1" applyBorder="1" applyAlignment="1">
      <alignment horizontal="justify" vertical="center" wrapText="1"/>
    </xf>
    <xf numFmtId="0" fontId="88" fillId="0" borderId="98" xfId="0" applyFont="1" applyBorder="1" applyAlignment="1">
      <alignment horizontal="justify" vertical="center" wrapText="1"/>
    </xf>
    <xf numFmtId="164" fontId="87" fillId="0" borderId="95" xfId="0" applyNumberFormat="1" applyFont="1" applyBorder="1" applyAlignment="1">
      <alignment vertical="center" wrapText="1"/>
    </xf>
    <xf numFmtId="0" fontId="87" fillId="0" borderId="94" xfId="0" applyFont="1" applyBorder="1" applyAlignment="1">
      <alignment vertical="center" wrapText="1"/>
    </xf>
    <xf numFmtId="0" fontId="87" fillId="0" borderId="96" xfId="0" applyFont="1" applyBorder="1" applyAlignment="1">
      <alignment vertical="center" wrapText="1"/>
    </xf>
    <xf numFmtId="0" fontId="87" fillId="0" borderId="88" xfId="0" applyFont="1" applyBorder="1" applyAlignment="1">
      <alignment vertical="center" wrapText="1"/>
    </xf>
    <xf numFmtId="0" fontId="87" fillId="0" borderId="97" xfId="0" applyFont="1" applyBorder="1" applyAlignment="1">
      <alignment vertical="center" wrapText="1"/>
    </xf>
    <xf numFmtId="0" fontId="87" fillId="0" borderId="98" xfId="0" applyFont="1" applyBorder="1" applyAlignment="1">
      <alignment vertical="center" wrapText="1"/>
    </xf>
    <xf numFmtId="0" fontId="88" fillId="0" borderId="42" xfId="0" applyFont="1" applyBorder="1" applyAlignment="1" applyProtection="1">
      <alignment horizontal="left" vertical="center" wrapText="1"/>
      <protection locked="0"/>
    </xf>
    <xf numFmtId="0" fontId="88" fillId="0" borderId="43" xfId="0" applyFont="1" applyBorder="1" applyAlignment="1" applyProtection="1">
      <alignment horizontal="left"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87" fillId="0" borderId="42" xfId="0" applyFont="1" applyBorder="1" applyAlignment="1">
      <alignment vertical="center"/>
    </xf>
    <xf numFmtId="0" fontId="87" fillId="0" borderId="43" xfId="0" applyFont="1" applyBorder="1" applyAlignment="1">
      <alignment vertical="center"/>
    </xf>
    <xf numFmtId="0" fontId="0" fillId="0" borderId="0" xfId="0" applyBorder="1" applyAlignment="1">
      <alignment horizontal="center" wrapText="1"/>
    </xf>
    <xf numFmtId="0" fontId="0" fillId="0" borderId="0" xfId="0" applyBorder="1" applyAlignment="1">
      <alignment horizontal="center"/>
    </xf>
    <xf numFmtId="0" fontId="0" fillId="0" borderId="94" xfId="0" applyBorder="1" applyAlignment="1">
      <alignment horizontal="center"/>
    </xf>
    <xf numFmtId="0" fontId="0" fillId="0" borderId="94" xfId="0" applyBorder="1" applyAlignment="1">
      <alignment horizont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164" fontId="17" fillId="30" borderId="0" xfId="46" applyFont="1" applyFill="1" applyAlignment="1" applyProtection="1">
      <alignment horizontal="center" vertical="center"/>
    </xf>
    <xf numFmtId="0" fontId="85" fillId="0" borderId="0" xfId="0" applyFont="1" applyAlignment="1">
      <alignment horizontal="center"/>
    </xf>
    <xf numFmtId="0" fontId="86" fillId="26" borderId="41" xfId="0" applyFont="1" applyFill="1" applyBorder="1" applyAlignment="1">
      <alignment horizontal="center"/>
    </xf>
    <xf numFmtId="0" fontId="86" fillId="26" borderId="42" xfId="0" applyFont="1" applyFill="1" applyBorder="1" applyAlignment="1">
      <alignment horizontal="center"/>
    </xf>
    <xf numFmtId="0" fontId="86" fillId="26" borderId="43" xfId="0" applyFont="1" applyFill="1" applyBorder="1" applyAlignment="1">
      <alignment horizontal="center"/>
    </xf>
    <xf numFmtId="9" fontId="88" fillId="0" borderId="41" xfId="61" applyFont="1" applyBorder="1" applyAlignment="1">
      <alignment horizontal="left" vertical="center" wrapText="1"/>
    </xf>
    <xf numFmtId="9" fontId="88" fillId="0" borderId="42" xfId="61" applyFont="1" applyBorder="1" applyAlignment="1">
      <alignment horizontal="left" vertical="center" wrapText="1"/>
    </xf>
    <xf numFmtId="9" fontId="88" fillId="0" borderId="43" xfId="61" applyFont="1" applyBorder="1" applyAlignment="1">
      <alignment horizontal="left" vertical="center" wrapText="1"/>
    </xf>
    <xf numFmtId="0" fontId="87" fillId="0" borderId="42" xfId="0" applyFont="1" applyBorder="1" applyAlignment="1">
      <alignment horizontal="left" vertical="center"/>
    </xf>
    <xf numFmtId="0" fontId="87" fillId="0" borderId="43" xfId="0" applyFont="1" applyBorder="1" applyAlignment="1">
      <alignment horizontal="left" vertical="center"/>
    </xf>
    <xf numFmtId="0" fontId="62" fillId="0" borderId="95" xfId="0" applyFont="1" applyBorder="1" applyAlignment="1">
      <alignment horizontal="justify" wrapText="1"/>
    </xf>
    <xf numFmtId="0" fontId="62" fillId="0" borderId="94" xfId="0" applyFont="1" applyBorder="1" applyAlignment="1">
      <alignment horizontal="justify" wrapText="1"/>
    </xf>
    <xf numFmtId="0" fontId="62" fillId="0" borderId="96" xfId="0" applyFont="1" applyBorder="1" applyAlignment="1">
      <alignment horizontal="justify" wrapText="1"/>
    </xf>
    <xf numFmtId="0" fontId="14" fillId="22" borderId="41" xfId="0" applyFont="1" applyFill="1" applyBorder="1" applyAlignment="1">
      <alignment horizontal="center" vertical="center" wrapText="1"/>
    </xf>
    <xf numFmtId="0" fontId="93" fillId="22" borderId="42" xfId="0" applyFont="1" applyFill="1" applyBorder="1" applyAlignment="1">
      <alignment horizontal="center" vertical="center"/>
    </xf>
    <xf numFmtId="0" fontId="93"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92" fillId="22" borderId="42" xfId="0" applyFont="1" applyFill="1" applyBorder="1" applyAlignment="1">
      <alignment horizontal="center" vertical="center"/>
    </xf>
    <xf numFmtId="0" fontId="92" fillId="22" borderId="43" xfId="0" applyFont="1" applyFill="1" applyBorder="1" applyAlignment="1">
      <alignment horizontal="center" vertical="center"/>
    </xf>
    <xf numFmtId="0" fontId="92" fillId="22" borderId="41" xfId="0" applyFont="1" applyFill="1" applyBorder="1" applyAlignment="1">
      <alignment horizontal="center" vertical="center"/>
    </xf>
    <xf numFmtId="0" fontId="62" fillId="0" borderId="95" xfId="0" applyFont="1" applyBorder="1" applyAlignment="1">
      <alignment horizontal="left" vertical="center" wrapText="1"/>
    </xf>
    <xf numFmtId="0" fontId="62" fillId="0" borderId="94"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18" fillId="0" borderId="41" xfId="0" applyFont="1" applyBorder="1" applyAlignment="1">
      <alignment horizontal="justify" vertical="center" wrapText="1"/>
    </xf>
    <xf numFmtId="0" fontId="118" fillId="0" borderId="42" xfId="0" applyFont="1" applyBorder="1" applyAlignment="1">
      <alignment horizontal="justify" vertical="center" wrapText="1"/>
    </xf>
    <xf numFmtId="0" fontId="118" fillId="0" borderId="43" xfId="0" applyFont="1" applyBorder="1" applyAlignment="1">
      <alignment horizontal="justify" vertical="center" wrapText="1"/>
    </xf>
    <xf numFmtId="0" fontId="116" fillId="0" borderId="42" xfId="0" applyFont="1" applyBorder="1" applyAlignment="1">
      <alignment horizontal="left" vertical="center" wrapText="1"/>
    </xf>
    <xf numFmtId="0" fontId="116"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164" fontId="60" fillId="30" borderId="0" xfId="38" applyFont="1" applyFill="1" applyAlignment="1" applyProtection="1">
      <alignment horizontal="center" vertical="center"/>
    </xf>
    <xf numFmtId="0" fontId="113" fillId="0" borderId="0" xfId="0" applyFont="1" applyAlignment="1" applyProtection="1">
      <alignment horizontal="right"/>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37" fillId="0" borderId="10" xfId="56" applyNumberFormat="1" applyFill="1" applyBorder="1" applyAlignment="1" applyProtection="1">
      <alignment horizontal="center"/>
      <protection locked="0"/>
    </xf>
    <xf numFmtId="0" fontId="113" fillId="0" borderId="47" xfId="0" applyFont="1" applyBorder="1" applyAlignment="1" applyProtection="1">
      <alignment horizontal="right"/>
    </xf>
    <xf numFmtId="49" fontId="149" fillId="0" borderId="10" xfId="0" applyNumberFormat="1"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0" fontId="113" fillId="0" borderId="0" xfId="0" applyFont="1" applyBorder="1" applyAlignment="1" applyProtection="1">
      <alignment horizontal="right"/>
    </xf>
    <xf numFmtId="0" fontId="113" fillId="0" borderId="122" xfId="0" applyFont="1" applyBorder="1" applyAlignment="1" applyProtection="1">
      <alignment horizontal="right"/>
    </xf>
    <xf numFmtId="164" fontId="15" fillId="32" borderId="10" xfId="56" applyFont="1" applyFill="1" applyBorder="1" applyAlignment="1" applyProtection="1">
      <alignment horizontal="center"/>
      <protection locked="0"/>
    </xf>
    <xf numFmtId="49" fontId="66" fillId="28" borderId="240" xfId="0" applyNumberFormat="1" applyFont="1" applyFill="1" applyBorder="1" applyAlignment="1" applyProtection="1">
      <alignment horizontal="center" vertical="center" wrapText="1"/>
      <protection locked="0"/>
    </xf>
    <xf numFmtId="49" fontId="66" fillId="28" borderId="121" xfId="0" applyNumberFormat="1" applyFont="1" applyFill="1" applyBorder="1" applyAlignment="1" applyProtection="1">
      <alignment horizontal="center" vertical="center" wrapText="1"/>
      <protection locked="0"/>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0" fontId="83" fillId="0" borderId="114" xfId="0" applyFont="1" applyBorder="1" applyAlignment="1" applyProtection="1">
      <alignment horizontal="right"/>
    </xf>
    <xf numFmtId="0" fontId="119" fillId="0" borderId="114" xfId="0" applyFont="1" applyBorder="1" applyAlignment="1"/>
    <xf numFmtId="0" fontId="0" fillId="0" borderId="246" xfId="0" applyBorder="1" applyAlignment="1" applyProtection="1">
      <alignment horizontal="center"/>
    </xf>
    <xf numFmtId="0" fontId="0" fillId="0" borderId="247"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49" fontId="14" fillId="0" borderId="245"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49" fontId="14" fillId="0" borderId="243" xfId="0" applyNumberFormat="1" applyFont="1" applyFill="1" applyBorder="1" applyAlignment="1" applyProtection="1">
      <alignment horizontal="center"/>
    </xf>
    <xf numFmtId="49" fontId="14" fillId="0" borderId="244" xfId="0" applyNumberFormat="1" applyFont="1" applyFill="1" applyBorder="1" applyAlignment="1" applyProtection="1">
      <alignment horizontal="center"/>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0" fontId="154" fillId="22" borderId="102" xfId="0" applyNumberFormat="1" applyFont="1" applyFill="1" applyBorder="1" applyAlignment="1" applyProtection="1">
      <alignment horizontal="center" vertical="center" wrapText="1"/>
      <protection locked="0"/>
    </xf>
    <xf numFmtId="0" fontId="76" fillId="0" borderId="118" xfId="0" applyFont="1" applyFill="1" applyBorder="1" applyAlignment="1" applyProtection="1">
      <alignment horizontal="center" vertical="center"/>
    </xf>
    <xf numFmtId="0" fontId="76" fillId="0" borderId="119" xfId="0" applyFont="1" applyFill="1" applyBorder="1" applyAlignment="1" applyProtection="1">
      <alignment horizontal="center" vertical="center"/>
    </xf>
    <xf numFmtId="0" fontId="76" fillId="0" borderId="120" xfId="0" applyFont="1" applyFill="1" applyBorder="1" applyAlignment="1" applyProtection="1">
      <alignment horizontal="center" vertical="center"/>
    </xf>
    <xf numFmtId="49" fontId="66" fillId="22" borderId="240" xfId="0" applyNumberFormat="1" applyFont="1" applyFill="1" applyBorder="1" applyAlignment="1" applyProtection="1">
      <alignment horizontal="center" vertical="center" wrapText="1"/>
      <protection locked="0"/>
    </xf>
    <xf numFmtId="49" fontId="66" fillId="22" borderId="121" xfId="0" applyNumberFormat="1" applyFont="1" applyFill="1" applyBorder="1" applyAlignment="1" applyProtection="1">
      <alignment horizontal="center" vertical="center" wrapText="1"/>
      <protection locked="0"/>
    </xf>
    <xf numFmtId="0" fontId="154" fillId="28" borderId="102" xfId="0" applyNumberFormat="1" applyFont="1" applyFill="1" applyBorder="1" applyAlignment="1" applyProtection="1">
      <alignment horizontal="center" vertical="center" wrapText="1"/>
      <protection locked="0"/>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0" fontId="66" fillId="0" borderId="250" xfId="0" applyFont="1" applyFill="1" applyBorder="1" applyAlignment="1" applyProtection="1">
      <alignment horizontal="left" vertical="center" wrapText="1"/>
    </xf>
    <xf numFmtId="0" fontId="66" fillId="0" borderId="251" xfId="0" applyFont="1" applyFill="1" applyBorder="1" applyAlignment="1" applyProtection="1">
      <alignment horizontal="left" vertical="center" wrapText="1"/>
    </xf>
    <xf numFmtId="0" fontId="66" fillId="0" borderId="252" xfId="0" applyFont="1" applyFill="1" applyBorder="1" applyAlignment="1" applyProtection="1">
      <alignment horizontal="left" vertical="center" wrapText="1"/>
    </xf>
    <xf numFmtId="0" fontId="66" fillId="0" borderId="253" xfId="0" applyFont="1" applyFill="1" applyBorder="1" applyAlignment="1" applyProtection="1">
      <alignment horizontal="left" vertical="center" wrapText="1"/>
    </xf>
    <xf numFmtId="0" fontId="66" fillId="0" borderId="25" xfId="0" applyFont="1" applyFill="1" applyBorder="1" applyAlignment="1" applyProtection="1">
      <alignment horizontal="left" vertical="center" wrapText="1"/>
    </xf>
    <xf numFmtId="0" fontId="66" fillId="0" borderId="254" xfId="0" applyFont="1" applyFill="1" applyBorder="1" applyAlignment="1" applyProtection="1">
      <alignment horizontal="left" vertical="center" wrapText="1"/>
    </xf>
    <xf numFmtId="0" fontId="66" fillId="24" borderId="238" xfId="0" applyFont="1" applyFill="1" applyBorder="1" applyAlignment="1" applyProtection="1">
      <alignment horizontal="center" vertical="center" wrapText="1"/>
    </xf>
    <xf numFmtId="0" fontId="66" fillId="24" borderId="239" xfId="0" applyFont="1" applyFill="1" applyBorder="1" applyAlignment="1" applyProtection="1">
      <alignment horizontal="center" vertical="center" wrapText="1"/>
    </xf>
    <xf numFmtId="0" fontId="66" fillId="0" borderId="238" xfId="0" applyFont="1" applyFill="1" applyBorder="1" applyAlignment="1" applyProtection="1">
      <alignment horizontal="center" vertical="center" wrapText="1"/>
    </xf>
    <xf numFmtId="0" fontId="66" fillId="0" borderId="249" xfId="0" applyFont="1" applyFill="1" applyBorder="1" applyAlignment="1" applyProtection="1">
      <alignment horizontal="center" vertical="center" wrapText="1"/>
    </xf>
    <xf numFmtId="0" fontId="66" fillId="0" borderId="234" xfId="0" applyFont="1" applyFill="1" applyBorder="1" applyAlignment="1" applyProtection="1">
      <alignment horizontal="left" vertical="center" wrapText="1"/>
    </xf>
    <xf numFmtId="0" fontId="66" fillId="0" borderId="94" xfId="0" applyFont="1" applyFill="1" applyBorder="1" applyAlignment="1" applyProtection="1">
      <alignment horizontal="left" vertical="center" wrapText="1"/>
    </xf>
    <xf numFmtId="0" fontId="66" fillId="0" borderId="235" xfId="0" applyFont="1" applyFill="1" applyBorder="1" applyAlignment="1" applyProtection="1">
      <alignment horizontal="left" vertical="center" wrapText="1"/>
    </xf>
    <xf numFmtId="0" fontId="66" fillId="24" borderId="250" xfId="0" applyFont="1" applyFill="1" applyBorder="1" applyAlignment="1" applyProtection="1">
      <alignment horizontal="left" vertical="center" wrapText="1"/>
    </xf>
    <xf numFmtId="0" fontId="66" fillId="24" borderId="251" xfId="0" applyFont="1" applyFill="1" applyBorder="1" applyAlignment="1" applyProtection="1">
      <alignment horizontal="left" vertical="center" wrapText="1"/>
    </xf>
    <xf numFmtId="0" fontId="66" fillId="24" borderId="252" xfId="0" applyFont="1" applyFill="1" applyBorder="1" applyAlignment="1" applyProtection="1">
      <alignment horizontal="left" vertical="center" wrapText="1"/>
    </xf>
    <xf numFmtId="0" fontId="66" fillId="24" borderId="253" xfId="0" applyFont="1" applyFill="1" applyBorder="1" applyAlignment="1" applyProtection="1">
      <alignment horizontal="left" vertical="center" wrapText="1"/>
    </xf>
    <xf numFmtId="0" fontId="66" fillId="24" borderId="25" xfId="0" applyFont="1" applyFill="1" applyBorder="1" applyAlignment="1" applyProtection="1">
      <alignment horizontal="left" vertical="center" wrapText="1"/>
    </xf>
    <xf numFmtId="0" fontId="66" fillId="24" borderId="254" xfId="0" applyFont="1" applyFill="1" applyBorder="1" applyAlignment="1" applyProtection="1">
      <alignment horizontal="left" vertical="center" wrapText="1"/>
    </xf>
    <xf numFmtId="0" fontId="66" fillId="0" borderId="240" xfId="0" applyFont="1" applyFill="1" applyBorder="1" applyAlignment="1" applyProtection="1">
      <alignment horizontal="center" vertical="center" wrapText="1"/>
    </xf>
    <xf numFmtId="0" fontId="66" fillId="0" borderId="248" xfId="0" applyFont="1" applyFill="1" applyBorder="1" applyAlignment="1" applyProtection="1">
      <alignment horizontal="center" vertical="center" wrapText="1"/>
    </xf>
    <xf numFmtId="0" fontId="66" fillId="24" borderId="240" xfId="0" applyFont="1" applyFill="1" applyBorder="1" applyAlignment="1" applyProtection="1">
      <alignment horizontal="center" vertical="center" wrapText="1"/>
    </xf>
    <xf numFmtId="0" fontId="66" fillId="24" borderId="121" xfId="0" applyFont="1" applyFill="1" applyBorder="1" applyAlignment="1" applyProtection="1">
      <alignment horizontal="center" vertical="center" wrapText="1"/>
    </xf>
    <xf numFmtId="0" fontId="66" fillId="0" borderId="239" xfId="0" applyFont="1" applyFill="1" applyBorder="1" applyAlignment="1" applyProtection="1">
      <alignment horizontal="center" vertical="center" wrapText="1"/>
    </xf>
    <xf numFmtId="0" fontId="66" fillId="0" borderId="121" xfId="0" applyFont="1" applyFill="1" applyBorder="1" applyAlignment="1" applyProtection="1">
      <alignment horizontal="center" vertical="center" wrapText="1"/>
    </xf>
    <xf numFmtId="0" fontId="158" fillId="44" borderId="48" xfId="0" applyFont="1" applyFill="1" applyBorder="1" applyAlignment="1" applyProtection="1">
      <alignment horizontal="center" vertical="center"/>
    </xf>
    <xf numFmtId="0" fontId="158" fillId="44" borderId="264" xfId="0" applyFont="1" applyFill="1" applyBorder="1" applyAlignment="1" applyProtection="1">
      <alignment horizontal="center" vertical="center"/>
    </xf>
    <xf numFmtId="0" fontId="158" fillId="44" borderId="51" xfId="0" applyFont="1" applyFill="1" applyBorder="1" applyAlignment="1" applyProtection="1">
      <alignment horizontal="center" vertical="center"/>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49" fontId="154" fillId="22" borderId="43" xfId="0" applyNumberFormat="1" applyFont="1" applyFill="1" applyBorder="1" applyAlignment="1" applyProtection="1">
      <alignment horizontal="center" vertical="center" wrapText="1"/>
      <protection locked="0"/>
    </xf>
    <xf numFmtId="49" fontId="154" fillId="28" borderId="111" xfId="0" applyNumberFormat="1" applyFont="1" applyFill="1" applyBorder="1" applyAlignment="1" applyProtection="1">
      <alignment horizontal="left" vertical="center" wrapText="1"/>
      <protection locked="0"/>
    </xf>
    <xf numFmtId="49" fontId="154" fillId="28" borderId="10" xfId="0" applyNumberFormat="1" applyFont="1" applyFill="1" applyBorder="1" applyAlignment="1" applyProtection="1">
      <alignment horizontal="left" vertical="center" wrapText="1"/>
      <protection locked="0"/>
    </xf>
    <xf numFmtId="49" fontId="154" fillId="28" borderId="41" xfId="0" applyNumberFormat="1" applyFont="1" applyFill="1" applyBorder="1" applyAlignment="1" applyProtection="1">
      <alignment horizontal="left" vertical="center" wrapText="1"/>
      <protection locked="0"/>
    </xf>
    <xf numFmtId="49" fontId="154" fillId="28" borderId="43" xfId="0" applyNumberFormat="1" applyFont="1" applyFill="1" applyBorder="1" applyAlignment="1" applyProtection="1">
      <alignment horizontal="center" vertical="center" wrapText="1"/>
      <protection locked="0"/>
    </xf>
    <xf numFmtId="49" fontId="154" fillId="43" borderId="111" xfId="0" applyNumberFormat="1" applyFont="1" applyFill="1" applyBorder="1" applyAlignment="1" applyProtection="1">
      <alignment horizontal="left" vertical="center" wrapText="1"/>
      <protection locked="0"/>
    </xf>
    <xf numFmtId="49" fontId="154" fillId="43" borderId="10" xfId="0" applyNumberFormat="1" applyFont="1" applyFill="1" applyBorder="1" applyAlignment="1" applyProtection="1">
      <alignment horizontal="left" vertical="center" wrapText="1"/>
      <protection locked="0"/>
    </xf>
    <xf numFmtId="49" fontId="154" fillId="43" borderId="41" xfId="0" applyNumberFormat="1" applyFont="1" applyFill="1" applyBorder="1" applyAlignment="1" applyProtection="1">
      <alignment horizontal="left" vertical="center" wrapText="1"/>
      <protection locked="0"/>
    </xf>
    <xf numFmtId="49" fontId="154" fillId="22" borderId="121" xfId="0" applyNumberFormat="1" applyFont="1" applyFill="1" applyBorder="1" applyAlignment="1" applyProtection="1">
      <alignment horizontal="left" vertical="center" wrapText="1"/>
      <protection locked="0"/>
    </xf>
    <xf numFmtId="49" fontId="154" fillId="22" borderId="87" xfId="0" applyNumberFormat="1" applyFont="1" applyFill="1" applyBorder="1" applyAlignment="1" applyProtection="1">
      <alignment horizontal="left" vertical="center" wrapText="1"/>
      <protection locked="0"/>
    </xf>
    <xf numFmtId="49" fontId="154" fillId="22" borderId="88" xfId="0" applyNumberFormat="1" applyFont="1" applyFill="1" applyBorder="1" applyAlignment="1" applyProtection="1">
      <alignment horizontal="left" vertical="center" wrapText="1"/>
      <protection locked="0"/>
    </xf>
    <xf numFmtId="49" fontId="154" fillId="22" borderId="111" xfId="0" applyNumberFormat="1" applyFont="1" applyFill="1" applyBorder="1" applyAlignment="1" applyProtection="1">
      <alignment horizontal="left" vertical="center" wrapText="1"/>
      <protection locked="0"/>
    </xf>
    <xf numFmtId="49" fontId="154" fillId="22" borderId="10" xfId="0" applyNumberFormat="1" applyFont="1" applyFill="1" applyBorder="1" applyAlignment="1" applyProtection="1">
      <alignment horizontal="left" vertical="center" wrapText="1"/>
      <protection locked="0"/>
    </xf>
    <xf numFmtId="49" fontId="154" fillId="22" borderId="41" xfId="0" applyNumberFormat="1" applyFont="1" applyFill="1" applyBorder="1" applyAlignment="1" applyProtection="1">
      <alignment horizontal="left" vertical="center" wrapText="1"/>
      <protection locked="0"/>
    </xf>
    <xf numFmtId="0" fontId="154" fillId="22" borderId="106" xfId="0" applyNumberFormat="1" applyFont="1" applyFill="1" applyBorder="1" applyAlignment="1" applyProtection="1">
      <alignment horizontal="center" vertical="center" wrapText="1"/>
      <protection locked="0"/>
    </xf>
    <xf numFmtId="0" fontId="154" fillId="22" borderId="238" xfId="0" applyNumberFormat="1" applyFont="1" applyFill="1" applyBorder="1" applyAlignment="1" applyProtection="1">
      <alignment horizontal="center" vertical="center" wrapText="1"/>
      <protection locked="0"/>
    </xf>
    <xf numFmtId="0" fontId="154" fillId="22" borderId="239" xfId="0" applyNumberFormat="1" applyFont="1" applyFill="1" applyBorder="1" applyAlignment="1" applyProtection="1">
      <alignment horizontal="center" vertical="center" wrapText="1"/>
      <protection locked="0"/>
    </xf>
    <xf numFmtId="0" fontId="154" fillId="0" borderId="43" xfId="0" applyFont="1" applyFill="1" applyBorder="1" applyAlignment="1" applyProtection="1">
      <alignment horizontal="center" vertical="center" wrapText="1"/>
    </xf>
    <xf numFmtId="0" fontId="154" fillId="24" borderId="106" xfId="0" applyFont="1" applyFill="1" applyBorder="1" applyAlignment="1" applyProtection="1">
      <alignment horizontal="left" vertical="center" wrapText="1"/>
    </xf>
    <xf numFmtId="0" fontId="154" fillId="24" borderId="42" xfId="0" applyFont="1" applyFill="1" applyBorder="1" applyAlignment="1" applyProtection="1">
      <alignment horizontal="left" vertical="center" wrapText="1"/>
    </xf>
    <xf numFmtId="0" fontId="154" fillId="24" borderId="107" xfId="0" applyFont="1" applyFill="1" applyBorder="1" applyAlignment="1" applyProtection="1">
      <alignment horizontal="left" vertical="center" wrapText="1"/>
    </xf>
    <xf numFmtId="0" fontId="154" fillId="24" borderId="108" xfId="0" applyFont="1" applyFill="1" applyBorder="1" applyAlignment="1" applyProtection="1">
      <alignment horizontal="left" vertical="center" wrapText="1"/>
    </xf>
    <xf numFmtId="0" fontId="154" fillId="24" borderId="109" xfId="0" applyFont="1" applyFill="1" applyBorder="1" applyAlignment="1" applyProtection="1">
      <alignment horizontal="left" vertical="center" wrapText="1"/>
    </xf>
    <xf numFmtId="0" fontId="154" fillId="24" borderId="110" xfId="0" applyFont="1" applyFill="1" applyBorder="1" applyAlignment="1" applyProtection="1">
      <alignment horizontal="left" vertical="center" wrapText="1"/>
    </xf>
    <xf numFmtId="0" fontId="158" fillId="44" borderId="264" xfId="0" applyFont="1" applyFill="1" applyBorder="1" applyAlignment="1" applyProtection="1">
      <alignment horizontal="center" vertical="center"/>
      <protection locked="0"/>
    </xf>
    <xf numFmtId="0" fontId="0" fillId="0" borderId="265" xfId="0" applyBorder="1" applyAlignment="1">
      <alignment horizontal="center"/>
    </xf>
    <xf numFmtId="0" fontId="0" fillId="0" borderId="53" xfId="0" applyBorder="1" applyAlignment="1">
      <alignment horizontal="center"/>
    </xf>
    <xf numFmtId="0" fontId="154" fillId="0" borderId="106" xfId="0" applyFont="1" applyFill="1" applyBorder="1" applyAlignment="1" applyProtection="1">
      <alignment horizontal="left" vertical="center" wrapText="1"/>
    </xf>
    <xf numFmtId="0" fontId="154" fillId="0" borderId="42" xfId="0" applyFont="1" applyFill="1" applyBorder="1" applyAlignment="1" applyProtection="1">
      <alignment horizontal="left" vertical="center" wrapText="1"/>
    </xf>
    <xf numFmtId="0" fontId="154" fillId="0" borderId="107" xfId="0" applyFont="1" applyFill="1" applyBorder="1" applyAlignment="1" applyProtection="1">
      <alignment horizontal="left" vertical="center" wrapText="1"/>
    </xf>
    <xf numFmtId="0" fontId="154" fillId="0" borderId="108" xfId="0" applyFont="1" applyFill="1" applyBorder="1" applyAlignment="1" applyProtection="1">
      <alignment horizontal="left" vertical="center" wrapText="1"/>
    </xf>
    <xf numFmtId="0" fontId="154" fillId="0" borderId="109" xfId="0" applyFont="1" applyFill="1" applyBorder="1" applyAlignment="1" applyProtection="1">
      <alignment horizontal="left" vertical="center" wrapText="1"/>
    </xf>
    <xf numFmtId="0" fontId="154" fillId="0" borderId="110" xfId="0" applyFont="1" applyFill="1" applyBorder="1" applyAlignment="1" applyProtection="1">
      <alignment horizontal="left" vertical="center" wrapText="1"/>
    </xf>
    <xf numFmtId="0" fontId="154" fillId="0" borderId="102" xfId="0" applyFont="1" applyFill="1" applyBorder="1" applyAlignment="1" applyProtection="1">
      <alignment horizontal="center" vertical="center" wrapText="1"/>
    </xf>
    <xf numFmtId="0" fontId="154" fillId="24" borderId="102" xfId="0" applyFont="1" applyFill="1" applyBorder="1" applyAlignment="1" applyProtection="1">
      <alignment horizontal="center" vertical="center" wrapText="1"/>
    </xf>
    <xf numFmtId="0" fontId="154" fillId="24" borderId="43" xfId="0" applyFont="1" applyFill="1" applyBorder="1" applyAlignment="1" applyProtection="1">
      <alignment horizontal="center" vertical="center" wrapText="1"/>
    </xf>
    <xf numFmtId="0" fontId="154" fillId="0" borderId="112" xfId="0" applyFont="1" applyFill="1" applyBorder="1" applyAlignment="1" applyProtection="1">
      <alignment horizontal="center" vertical="center" wrapText="1"/>
    </xf>
    <xf numFmtId="0" fontId="154" fillId="0" borderId="113" xfId="0" applyFont="1" applyFill="1" applyBorder="1" applyAlignment="1" applyProtection="1">
      <alignment horizontal="center" vertical="center" wrapText="1"/>
    </xf>
    <xf numFmtId="164" fontId="105" fillId="30" borderId="0" xfId="38" applyFont="1" applyFill="1" applyAlignment="1" applyProtection="1">
      <alignment horizontal="center" vertical="center"/>
    </xf>
    <xf numFmtId="164" fontId="24" fillId="25" borderId="38" xfId="56" applyFont="1" applyFill="1" applyBorder="1" applyAlignment="1" applyProtection="1">
      <alignment horizontal="center"/>
    </xf>
    <xf numFmtId="164" fontId="33" fillId="25" borderId="0" xfId="49" applyFont="1" applyFill="1" applyAlignment="1" applyProtection="1">
      <alignment horizontal="center" vertical="center" wrapText="1"/>
    </xf>
    <xf numFmtId="174"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1" fillId="0" borderId="38" xfId="56" applyFont="1" applyFill="1" applyBorder="1" applyAlignment="1" applyProtection="1">
      <alignment horizontal="right" wrapText="1"/>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164" fontId="1" fillId="0" borderId="38" xfId="56" applyFont="1" applyFill="1" applyBorder="1" applyAlignment="1" applyProtection="1">
      <alignment horizontal="right" vertical="top" wrapText="1"/>
    </xf>
    <xf numFmtId="0" fontId="0" fillId="0" borderId="38" xfId="0" applyBorder="1"/>
    <xf numFmtId="164" fontId="114" fillId="33" borderId="38" xfId="56" applyFont="1" applyFill="1" applyBorder="1" applyAlignment="1" applyProtection="1">
      <alignment horizontal="center" wrapText="1"/>
    </xf>
    <xf numFmtId="15" fontId="24" fillId="25" borderId="38" xfId="56" applyNumberFormat="1" applyFont="1" applyFill="1" applyBorder="1" applyAlignment="1" applyProtection="1">
      <alignment horizontal="center"/>
    </xf>
    <xf numFmtId="0" fontId="0" fillId="0" borderId="38" xfId="0" applyBorder="1" applyAlignment="1"/>
    <xf numFmtId="0" fontId="115" fillId="0" borderId="123" xfId="0" applyFont="1" applyFill="1" applyBorder="1" applyAlignment="1" applyProtection="1">
      <alignment horizontal="left" wrapText="1"/>
    </xf>
    <xf numFmtId="0" fontId="115" fillId="0" borderId="73" xfId="0" applyFont="1" applyFill="1" applyBorder="1" applyAlignment="1" applyProtection="1">
      <alignment horizontal="left" wrapText="1"/>
    </xf>
    <xf numFmtId="0" fontId="115" fillId="0" borderId="124" xfId="0" applyFont="1" applyFill="1" applyBorder="1" applyAlignment="1" applyProtection="1">
      <alignment horizontal="left" wrapText="1"/>
    </xf>
    <xf numFmtId="0" fontId="115" fillId="0" borderId="125" xfId="0" applyFont="1" applyFill="1" applyBorder="1" applyAlignment="1" applyProtection="1">
      <alignment horizontal="left" wrapText="1"/>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111" fillId="0" borderId="0" xfId="0" applyFont="1" applyAlignment="1" applyProtection="1">
      <alignment horizontal="center"/>
    </xf>
    <xf numFmtId="164" fontId="110" fillId="0" borderId="103" xfId="0" applyNumberFormat="1" applyFont="1" applyBorder="1" applyAlignment="1" applyProtection="1">
      <alignment horizontal="center" vertical="center" wrapText="1"/>
    </xf>
    <xf numFmtId="164" fontId="110" fillId="0" borderId="104" xfId="0" applyNumberFormat="1" applyFont="1" applyBorder="1" applyAlignment="1" applyProtection="1">
      <alignment horizontal="center" vertical="center" wrapText="1"/>
    </xf>
    <xf numFmtId="164" fontId="110"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30" fillId="22" borderId="41"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164" fontId="35" fillId="0" borderId="0" xfId="0" applyNumberFormat="1" applyFont="1" applyAlignment="1">
      <alignment horizontal="center" vertical="center" wrapText="1"/>
    </xf>
    <xf numFmtId="164" fontId="35" fillId="0" borderId="0" xfId="0" applyNumberFormat="1" applyFont="1" applyAlignment="1">
      <alignment horizontal="center" vertical="center"/>
    </xf>
    <xf numFmtId="0" fontId="84" fillId="0" borderId="0" xfId="0" applyFont="1" applyAlignment="1">
      <alignment horizontal="left" wrapText="1"/>
    </xf>
    <xf numFmtId="0" fontId="30" fillId="22" borderId="0" xfId="0" applyFont="1" applyFill="1" applyBorder="1" applyAlignment="1" applyProtection="1">
      <alignment horizontal="left" wrapText="1"/>
      <protection locked="0"/>
    </xf>
    <xf numFmtId="0" fontId="34" fillId="22" borderId="0" xfId="0" applyFont="1" applyFill="1" applyBorder="1" applyAlignment="1" applyProtection="1">
      <alignment horizontal="left" vertical="top" wrapText="1"/>
      <protection locked="0"/>
    </xf>
    <xf numFmtId="0" fontId="142" fillId="56" borderId="48" xfId="0" applyFont="1" applyFill="1" applyBorder="1" applyAlignment="1" applyProtection="1">
      <alignment horizontal="center" vertical="center"/>
    </xf>
    <xf numFmtId="0" fontId="0" fillId="0" borderId="51" xfId="0" applyBorder="1" applyAlignment="1"/>
    <xf numFmtId="0" fontId="142" fillId="55" borderId="264" xfId="0" applyFont="1" applyFill="1" applyBorder="1" applyAlignment="1" applyProtection="1">
      <alignment horizontal="center" vertical="center" wrapText="1"/>
    </xf>
    <xf numFmtId="0" fontId="0" fillId="0" borderId="265" xfId="0" applyBorder="1" applyAlignment="1">
      <alignment horizontal="center" wrapText="1"/>
    </xf>
    <xf numFmtId="0" fontId="0" fillId="0" borderId="53" xfId="0" applyBorder="1" applyAlignment="1">
      <alignment horizontal="center" wrapText="1"/>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9" fontId="0" fillId="35" borderId="10" xfId="61" applyFont="1" applyFill="1" applyBorder="1" applyAlignment="1" applyProtection="1">
      <alignment horizontal="left" vertical="center" wrapText="1"/>
      <protection locked="0"/>
    </xf>
    <xf numFmtId="9" fontId="1" fillId="35" borderId="10" xfId="61" applyFont="1" applyFill="1" applyBorder="1" applyAlignment="1" applyProtection="1">
      <alignment horizontal="left" vertical="center" wrapText="1"/>
      <protection locked="0"/>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0" fontId="21" fillId="35" borderId="41" xfId="0" applyFont="1" applyFill="1" applyBorder="1" applyAlignment="1" applyProtection="1">
      <alignment vertical="center" wrapText="1"/>
    </xf>
    <xf numFmtId="0" fontId="21" fillId="35" borderId="42" xfId="0" applyFont="1" applyFill="1" applyBorder="1" applyAlignment="1" applyProtection="1">
      <alignment vertical="center" wrapText="1"/>
    </xf>
    <xf numFmtId="0" fontId="21" fillId="35" borderId="43" xfId="0" applyFont="1" applyFill="1" applyBorder="1" applyAlignment="1" applyProtection="1">
      <alignment vertical="center" wrapText="1"/>
    </xf>
    <xf numFmtId="164" fontId="111" fillId="0" borderId="0" xfId="0" applyNumberFormat="1" applyFont="1" applyAlignment="1" applyProtection="1">
      <alignment horizontal="center"/>
    </xf>
    <xf numFmtId="0" fontId="0" fillId="0" borderId="0" xfId="0" applyAlignment="1">
      <alignment horizontal="center"/>
    </xf>
    <xf numFmtId="9" fontId="155" fillId="31" borderId="41" xfId="61" applyFont="1" applyFill="1" applyBorder="1" applyAlignment="1" applyProtection="1">
      <alignment horizontal="center" vertical="center" wrapText="1"/>
    </xf>
    <xf numFmtId="9" fontId="155" fillId="31" borderId="43" xfId="61" applyFont="1" applyFill="1" applyBorder="1" applyAlignment="1" applyProtection="1">
      <alignment horizontal="center" vertical="center" wrapText="1"/>
    </xf>
    <xf numFmtId="0" fontId="34" fillId="22" borderId="256" xfId="0" applyFont="1" applyFill="1" applyBorder="1" applyAlignment="1" applyProtection="1">
      <alignment horizontal="left" vertical="top" wrapText="1"/>
      <protection locked="0"/>
    </xf>
    <xf numFmtId="0" fontId="0" fillId="0" borderId="104" xfId="0" applyBorder="1" applyAlignment="1">
      <alignment horizontal="left" vertical="top" wrapText="1"/>
    </xf>
    <xf numFmtId="0" fontId="0" fillId="0" borderId="105" xfId="0" applyBorder="1" applyAlignment="1">
      <alignment horizontal="left" vertical="top" wrapText="1"/>
    </xf>
    <xf numFmtId="0" fontId="34" fillId="0" borderId="94" xfId="0" applyFont="1" applyBorder="1" applyAlignment="1" applyProtection="1">
      <alignment horizontal="left" vertical="center"/>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0" fontId="21" fillId="35" borderId="41" xfId="0" applyFont="1" applyFill="1" applyBorder="1" applyAlignment="1" applyProtection="1">
      <alignment horizontal="left" vertical="center" wrapText="1"/>
    </xf>
    <xf numFmtId="0" fontId="21" fillId="35" borderId="42"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1" fillId="35" borderId="10" xfId="0" applyFont="1" applyFill="1" applyBorder="1" applyAlignment="1" applyProtection="1">
      <alignment vertical="center" wrapText="1"/>
    </xf>
    <xf numFmtId="0" fontId="1" fillId="35" borderId="41" xfId="0" applyFont="1" applyFill="1" applyBorder="1" applyAlignment="1" applyProtection="1">
      <alignment vertical="center" wrapText="1"/>
    </xf>
    <xf numFmtId="0" fontId="1" fillId="35" borderId="42" xfId="0" applyFont="1" applyFill="1" applyBorder="1" applyAlignment="1" applyProtection="1">
      <alignment vertical="center" wrapText="1"/>
    </xf>
    <xf numFmtId="0" fontId="1" fillId="35" borderId="43" xfId="0" applyFont="1" applyFill="1" applyBorder="1" applyAlignment="1" applyProtection="1">
      <alignment vertical="center" wrapText="1"/>
    </xf>
    <xf numFmtId="9" fontId="21" fillId="35" borderId="10" xfId="61" applyFont="1" applyFill="1" applyBorder="1" applyAlignment="1" applyProtection="1">
      <alignment horizontal="left" vertical="center" wrapText="1"/>
      <protection locked="0"/>
    </xf>
    <xf numFmtId="9" fontId="21" fillId="35" borderId="41" xfId="61" applyFont="1" applyFill="1" applyBorder="1" applyAlignment="1" applyProtection="1">
      <alignment horizontal="left" vertical="center" wrapText="1"/>
      <protection locked="0"/>
    </xf>
    <xf numFmtId="9" fontId="21" fillId="35" borderId="42" xfId="61" applyFont="1" applyFill="1" applyBorder="1" applyAlignment="1" applyProtection="1">
      <alignment horizontal="left" vertical="center" wrapText="1"/>
      <protection locked="0"/>
    </xf>
    <xf numFmtId="9" fontId="21" fillId="35" borderId="43" xfId="61" applyFont="1" applyFill="1" applyBorder="1" applyAlignment="1" applyProtection="1">
      <alignment horizontal="left" vertical="center" wrapText="1"/>
      <protection locked="0"/>
    </xf>
    <xf numFmtId="0" fontId="0" fillId="35" borderId="41" xfId="0" applyFill="1" applyBorder="1" applyAlignment="1">
      <alignment horizontal="left" vertical="center" wrapText="1"/>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34" fillId="22" borderId="10" xfId="61" applyFont="1" applyFill="1" applyBorder="1" applyAlignment="1" applyProtection="1">
      <alignment horizontal="left" vertical="center" wrapText="1"/>
      <protection locked="0"/>
    </xf>
    <xf numFmtId="0" fontId="34" fillId="20" borderId="0" xfId="0" applyFont="1" applyFill="1" applyBorder="1" applyAlignment="1" applyProtection="1">
      <alignment horizontal="left"/>
    </xf>
    <xf numFmtId="0" fontId="0" fillId="35" borderId="42" xfId="0" applyFill="1" applyBorder="1" applyAlignment="1">
      <alignment vertical="center" wrapText="1"/>
    </xf>
    <xf numFmtId="0" fontId="0" fillId="35" borderId="43" xfId="0" applyFill="1" applyBorder="1" applyAlignment="1">
      <alignment vertical="center" wrapText="1"/>
    </xf>
    <xf numFmtId="0" fontId="0" fillId="0" borderId="257" xfId="0" applyBorder="1" applyAlignment="1">
      <alignment horizontal="left" vertical="top" wrapText="1"/>
    </xf>
    <xf numFmtId="49" fontId="142" fillId="0" borderId="41" xfId="0" applyNumberFormat="1" applyFont="1" applyBorder="1" applyAlignment="1" applyProtection="1">
      <alignment vertical="center" wrapText="1"/>
    </xf>
    <xf numFmtId="0" fontId="142" fillId="0" borderId="42" xfId="0" applyFont="1" applyBorder="1" applyAlignment="1" applyProtection="1">
      <alignment vertical="center" wrapText="1"/>
    </xf>
    <xf numFmtId="0" fontId="142" fillId="0" borderId="43" xfId="0" applyFont="1" applyBorder="1" applyAlignment="1" applyProtection="1">
      <alignment vertical="center" wrapText="1"/>
    </xf>
    <xf numFmtId="9" fontId="139" fillId="31" borderId="41" xfId="61" applyFont="1" applyFill="1" applyBorder="1" applyAlignment="1" applyProtection="1">
      <alignment horizontal="center" vertical="center" wrapText="1"/>
    </xf>
    <xf numFmtId="9" fontId="139" fillId="31" borderId="43" xfId="61" applyFont="1" applyFill="1" applyBorder="1" applyAlignment="1" applyProtection="1">
      <alignment horizontal="center" vertical="center" wrapText="1"/>
    </xf>
    <xf numFmtId="9" fontId="140" fillId="34" borderId="41" xfId="61" applyFont="1" applyFill="1" applyBorder="1" applyAlignment="1" applyProtection="1">
      <alignment horizontal="center" vertical="center" wrapText="1"/>
    </xf>
    <xf numFmtId="9" fontId="140" fillId="34" borderId="43" xfId="61" applyFont="1" applyFill="1" applyBorder="1" applyAlignment="1" applyProtection="1">
      <alignment horizontal="center" vertical="center" wrapText="1"/>
    </xf>
    <xf numFmtId="0" fontId="33" fillId="0" borderId="97" xfId="0" applyFont="1" applyBorder="1" applyAlignment="1" applyProtection="1">
      <alignment horizontal="center"/>
    </xf>
    <xf numFmtId="0" fontId="142" fillId="0" borderId="10" xfId="0" applyFont="1" applyBorder="1" applyAlignment="1" applyProtection="1">
      <alignment horizontal="center" vertical="center" wrapText="1"/>
    </xf>
    <xf numFmtId="0" fontId="142" fillId="0" borderId="41" xfId="0" applyFont="1" applyBorder="1" applyAlignment="1" applyProtection="1">
      <alignment vertical="center" wrapText="1"/>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49" fontId="142" fillId="0" borderId="42" xfId="0" applyNumberFormat="1" applyFont="1" applyBorder="1" applyAlignment="1" applyProtection="1">
      <alignment vertical="center" wrapText="1"/>
    </xf>
    <xf numFmtId="49" fontId="142" fillId="0" borderId="43" xfId="0" applyNumberFormat="1" applyFont="1" applyBorder="1" applyAlignment="1" applyProtection="1">
      <alignment vertical="center" wrapText="1"/>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43" fillId="20" borderId="41" xfId="0" applyFont="1" applyFill="1" applyBorder="1" applyAlignment="1" applyProtection="1">
      <alignment vertical="center" wrapText="1"/>
    </xf>
    <xf numFmtId="0" fontId="143" fillId="20" borderId="42" xfId="0" applyFont="1" applyFill="1" applyBorder="1" applyAlignment="1" applyProtection="1">
      <alignment vertical="center" wrapText="1"/>
    </xf>
    <xf numFmtId="0" fontId="143" fillId="20" borderId="43" xfId="0" applyFont="1" applyFill="1" applyBorder="1" applyAlignment="1" applyProtection="1">
      <alignment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164" fontId="60" fillId="30" borderId="0" xfId="47" applyFont="1" applyFill="1" applyAlignment="1" applyProtection="1">
      <alignment horizontal="center" vertical="center"/>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0" fontId="20" fillId="22" borderId="41" xfId="0" applyFont="1" applyFill="1" applyBorder="1" applyAlignment="1" applyProtection="1">
      <alignment horizontal="left" vertical="top" wrapText="1"/>
      <protection locked="0"/>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34" fillId="0" borderId="10" xfId="0" applyFont="1" applyBorder="1" applyAlignment="1" applyProtection="1">
      <alignment horizontal="center"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79" fillId="0" borderId="187" xfId="0" applyNumberFormat="1" applyFont="1" applyFill="1" applyBorder="1" applyAlignment="1" applyProtection="1">
      <alignment horizontal="left" vertical="center" wrapText="1"/>
    </xf>
    <xf numFmtId="0" fontId="79" fillId="0" borderId="188" xfId="0" applyNumberFormat="1" applyFont="1" applyFill="1" applyBorder="1" applyAlignment="1" applyProtection="1">
      <alignment horizontal="left" vertical="center" wrapText="1"/>
    </xf>
    <xf numFmtId="0" fontId="79" fillId="0" borderId="189" xfId="0" applyNumberFormat="1" applyFont="1" applyFill="1" applyBorder="1" applyAlignment="1" applyProtection="1">
      <alignment horizontal="left" vertical="center" wrapText="1"/>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 fillId="0" borderId="159" xfId="61" applyNumberFormat="1" applyFont="1" applyFill="1" applyBorder="1" applyAlignment="1" applyProtection="1">
      <alignment horizontal="left" vertical="center" wrapText="1"/>
    </xf>
    <xf numFmtId="0" fontId="79" fillId="0" borderId="178" xfId="0" applyNumberFormat="1" applyFont="1" applyFill="1" applyBorder="1" applyAlignment="1" applyProtection="1">
      <alignment horizontal="left" vertical="top" wrapText="1"/>
    </xf>
    <xf numFmtId="0" fontId="79" fillId="0" borderId="179" xfId="0" applyNumberFormat="1" applyFont="1" applyFill="1" applyBorder="1" applyAlignment="1" applyProtection="1">
      <alignment horizontal="left" vertical="top" wrapText="1"/>
    </xf>
    <xf numFmtId="0" fontId="79" fillId="0" borderId="180" xfId="0" applyNumberFormat="1" applyFont="1" applyFill="1" applyBorder="1" applyAlignment="1" applyProtection="1">
      <alignment horizontal="left" vertical="top" wrapText="1"/>
    </xf>
    <xf numFmtId="0" fontId="78" fillId="19" borderId="12" xfId="0" applyFont="1" applyFill="1" applyBorder="1" applyAlignment="1" applyProtection="1">
      <alignment horizontal="center" vertical="center"/>
    </xf>
    <xf numFmtId="0" fontId="79" fillId="0" borderId="131" xfId="0" applyNumberFormat="1" applyFont="1" applyFill="1" applyBorder="1" applyAlignment="1" applyProtection="1">
      <alignment horizontal="left" vertical="top" wrapText="1"/>
    </xf>
    <xf numFmtId="0" fontId="79" fillId="0" borderId="132" xfId="0" applyNumberFormat="1" applyFont="1" applyFill="1" applyBorder="1" applyAlignment="1" applyProtection="1">
      <alignment horizontal="left" vertical="top" wrapText="1"/>
    </xf>
    <xf numFmtId="0" fontId="79" fillId="0" borderId="167" xfId="0" applyNumberFormat="1" applyFont="1" applyFill="1" applyBorder="1" applyAlignment="1" applyProtection="1">
      <alignment horizontal="left" vertical="top" wrapText="1"/>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127" fillId="0" borderId="0" xfId="0" applyFont="1" applyBorder="1" applyAlignment="1" applyProtection="1">
      <alignment horizontal="center"/>
    </xf>
    <xf numFmtId="0" fontId="111" fillId="0" borderId="0" xfId="0" applyFont="1" applyBorder="1" applyAlignment="1" applyProtection="1">
      <alignment horizont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9" fillId="0" borderId="14" xfId="0" applyNumberFormat="1" applyFont="1" applyFill="1" applyBorder="1" applyAlignment="1" applyProtection="1">
      <alignment horizontal="left" vertical="top" wrapText="1"/>
    </xf>
    <xf numFmtId="0" fontId="79" fillId="0" borderId="144" xfId="0" applyNumberFormat="1" applyFont="1" applyFill="1" applyBorder="1" applyAlignment="1" applyProtection="1">
      <alignment horizontal="left" vertical="top" wrapText="1"/>
    </xf>
    <xf numFmtId="0" fontId="79" fillId="0" borderId="145" xfId="0" applyNumberFormat="1" applyFont="1" applyFill="1" applyBorder="1" applyAlignment="1" applyProtection="1">
      <alignment horizontal="left" vertical="top" wrapText="1"/>
    </xf>
    <xf numFmtId="0" fontId="79" fillId="0" borderId="146" xfId="0" applyNumberFormat="1" applyFont="1" applyFill="1" applyBorder="1" applyAlignment="1" applyProtection="1">
      <alignment horizontal="left" vertical="top" wrapText="1"/>
    </xf>
    <xf numFmtId="0" fontId="79"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xf>
    <xf numFmtId="0" fontId="77"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7"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79"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9" fillId="0" borderId="0" xfId="0" applyNumberFormat="1" applyFont="1" applyFill="1" applyBorder="1" applyAlignment="1" applyProtection="1">
      <alignment horizontal="left" vertical="top" wrapText="1"/>
    </xf>
    <xf numFmtId="0" fontId="79" fillId="0" borderId="137" xfId="0" applyNumberFormat="1" applyFont="1" applyFill="1" applyBorder="1" applyAlignment="1" applyProtection="1">
      <alignment horizontal="left" vertical="top" wrapText="1"/>
    </xf>
    <xf numFmtId="0" fontId="121" fillId="25" borderId="153" xfId="0" applyFont="1" applyFill="1" applyBorder="1" applyAlignment="1" applyProtection="1">
      <alignment horizontal="center" vertical="center"/>
    </xf>
    <xf numFmtId="0" fontId="121"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21" fillId="25" borderId="156" xfId="0" applyFont="1" applyFill="1" applyBorder="1" applyAlignment="1" applyProtection="1">
      <alignment horizontal="center" vertical="center"/>
    </xf>
    <xf numFmtId="0" fontId="121" fillId="25" borderId="157" xfId="0" applyFont="1" applyFill="1" applyBorder="1" applyAlignment="1" applyProtection="1">
      <alignment horizontal="center" vertical="center"/>
    </xf>
    <xf numFmtId="0" fontId="121" fillId="25" borderId="158" xfId="0" applyFont="1" applyFill="1" applyBorder="1" applyAlignment="1" applyProtection="1">
      <alignment horizontal="center" vertical="center"/>
    </xf>
    <xf numFmtId="0" fontId="79" fillId="0" borderId="164" xfId="0" applyNumberFormat="1" applyFont="1" applyFill="1" applyBorder="1" applyAlignment="1" applyProtection="1">
      <alignment horizontal="left" vertical="top" wrapText="1"/>
    </xf>
    <xf numFmtId="0" fontId="79" fillId="0" borderId="165" xfId="0" applyNumberFormat="1" applyFont="1" applyFill="1" applyBorder="1" applyAlignment="1" applyProtection="1">
      <alignment horizontal="left" vertical="top" wrapText="1"/>
    </xf>
    <xf numFmtId="0" fontId="79" fillId="0" borderId="166"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0" fontId="21" fillId="0" borderId="225" xfId="0" applyFont="1" applyBorder="1" applyAlignment="1" applyProtection="1">
      <alignment horizontal="left"/>
      <protection locked="0"/>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21" fillId="0" borderId="34" xfId="0" applyFont="1" applyBorder="1" applyAlignment="1" applyProtection="1">
      <alignment horizontal="left"/>
      <protection locked="0"/>
    </xf>
    <xf numFmtId="0" fontId="76" fillId="21" borderId="229" xfId="52" applyNumberFormat="1" applyFont="1" applyFill="1" applyBorder="1" applyAlignment="1">
      <alignment horizontal="center" vertical="center" wrapText="1"/>
    </xf>
    <xf numFmtId="0" fontId="76" fillId="21" borderId="217"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164" fontId="15" fillId="33" borderId="0" xfId="58" applyFont="1" applyFill="1" applyBorder="1" applyAlignment="1" applyProtection="1">
      <alignment horizontal="center"/>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15" fontId="28" fillId="0" borderId="0" xfId="0" applyNumberFormat="1" applyFont="1" applyAlignment="1">
      <alignment horizontal="right"/>
    </xf>
    <xf numFmtId="0" fontId="127" fillId="0" borderId="0" xfId="0" applyFont="1" applyAlignment="1">
      <alignment horizontal="center"/>
    </xf>
    <xf numFmtId="0" fontId="111" fillId="0" borderId="0" xfId="0" applyFont="1" applyAlignment="1">
      <alignment horizontal="center"/>
    </xf>
    <xf numFmtId="164" fontId="28" fillId="0" borderId="0" xfId="0" applyNumberFormat="1" applyFont="1" applyAlignment="1">
      <alignment horizontal="left"/>
    </xf>
    <xf numFmtId="0" fontId="76" fillId="21" borderId="213" xfId="52" applyNumberFormat="1" applyFont="1" applyFill="1" applyBorder="1" applyAlignment="1">
      <alignment horizontal="center" vertical="center" wrapText="1"/>
    </xf>
    <xf numFmtId="0" fontId="76" fillId="21" borderId="214" xfId="52" applyNumberFormat="1" applyFont="1" applyFill="1" applyBorder="1" applyAlignment="1">
      <alignment horizontal="center" vertical="center" wrapText="1"/>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6" fillId="21" borderId="13" xfId="52" applyNumberFormat="1" applyFont="1" applyFill="1" applyBorder="1" applyAlignment="1">
      <alignment horizontal="center" vertical="center" wrapText="1"/>
    </xf>
    <xf numFmtId="0" fontId="76" fillId="21" borderId="190" xfId="52" applyNumberFormat="1" applyFont="1" applyFill="1" applyBorder="1" applyAlignment="1">
      <alignment horizontal="center" vertical="center" wrapText="1"/>
    </xf>
    <xf numFmtId="14" fontId="21" fillId="0" borderId="207" xfId="0" applyNumberFormat="1"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0" fontId="98" fillId="21" borderId="210" xfId="0" applyFont="1" applyFill="1" applyBorder="1" applyAlignment="1">
      <alignment horizontal="center" vertical="center" textRotation="90" wrapText="1"/>
    </xf>
    <xf numFmtId="0" fontId="98" fillId="21" borderId="211" xfId="0" applyFont="1" applyFill="1" applyBorder="1" applyAlignment="1">
      <alignment horizontal="center" vertical="center" textRotation="90" wrapText="1"/>
    </xf>
    <xf numFmtId="0" fontId="98" fillId="21" borderId="212" xfId="0" applyFont="1" applyFill="1" applyBorder="1" applyAlignment="1">
      <alignment horizontal="center" vertical="center" textRotation="90" wrapText="1"/>
    </xf>
    <xf numFmtId="0" fontId="76" fillId="21" borderId="215" xfId="52"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8"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6" fillId="21" borderId="206" xfId="52" applyNumberFormat="1" applyFont="1" applyFill="1" applyBorder="1" applyAlignment="1">
      <alignment horizontal="center" vertical="center" wrapText="1"/>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14" fontId="21" fillId="0" borderId="34" xfId="0" applyNumberFormat="1" applyFont="1" applyFill="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cellXfs>
  <cellStyles count="174">
    <cellStyle name="???????????" xfId="92"/>
    <cellStyle name="????????????? ???????????" xfId="93"/>
    <cellStyle name="_TB_Calc_number" xfId="69"/>
    <cellStyle name="_TB_Calc_percent" xfId="70"/>
    <cellStyle name="_TB_def_number" xfId="71"/>
    <cellStyle name="_TB_def_percent" xfId="72"/>
    <cellStyle name="_TB_results1" xfId="89"/>
    <cellStyle name="_TB_subtitle2" xfId="73"/>
    <cellStyle name="_TB_textunprotect" xfId="90"/>
    <cellStyle name="_TB_years" xfId="91"/>
    <cellStyle name="20% - Accent1" xfId="1"/>
    <cellStyle name="20% - Accent2" xfId="2"/>
    <cellStyle name="20% - Accent3" xfId="3"/>
    <cellStyle name="20% - Accent4" xfId="4"/>
    <cellStyle name="20% - Accent5" xfId="5"/>
    <cellStyle name="20% - Accent6" xfId="6"/>
    <cellStyle name="20% - Акцент1 2" xfId="94"/>
    <cellStyle name="20% - Акцент2 2" xfId="95"/>
    <cellStyle name="20% - Акцент3 2" xfId="96"/>
    <cellStyle name="20% - Акцент4 2" xfId="97"/>
    <cellStyle name="20% - Акцент5 2" xfId="98"/>
    <cellStyle name="20% - Акцент6 2" xfId="99"/>
    <cellStyle name="40% - Accent1" xfId="7"/>
    <cellStyle name="40% - Accent2" xfId="8"/>
    <cellStyle name="40% - Accent3" xfId="9"/>
    <cellStyle name="40% - Accent4" xfId="10"/>
    <cellStyle name="40% - Accent5" xfId="11"/>
    <cellStyle name="40% - Accent6" xfId="12"/>
    <cellStyle name="40% - Акцент1 2" xfId="100"/>
    <cellStyle name="40% - Акцент2 2" xfId="101"/>
    <cellStyle name="40% - Акцент3 2" xfId="102"/>
    <cellStyle name="40% - Акцент4 2" xfId="103"/>
    <cellStyle name="40% - Акцент5 2" xfId="104"/>
    <cellStyle name="40% - Акцент6 2" xfId="105"/>
    <cellStyle name="60% - Accent1" xfId="13"/>
    <cellStyle name="60% - Accent2" xfId="14"/>
    <cellStyle name="60% - Accent3" xfId="15"/>
    <cellStyle name="60% - Accent4" xfId="16"/>
    <cellStyle name="60% - Accent5" xfId="17"/>
    <cellStyle name="60% - Accent6" xfId="18"/>
    <cellStyle name="60% - Акцент1 2" xfId="106"/>
    <cellStyle name="60% - Акцент2 2" xfId="107"/>
    <cellStyle name="60% - Акцент3 2" xfId="108"/>
    <cellStyle name="60% - Акцент4 2" xfId="109"/>
    <cellStyle name="60% - Акцент5 2" xfId="110"/>
    <cellStyle name="60% - Акцент6 2" xfId="111"/>
    <cellStyle name="Accent1" xfId="19"/>
    <cellStyle name="Accent2" xfId="20"/>
    <cellStyle name="Accent3" xfId="21"/>
    <cellStyle name="Accent4" xfId="22"/>
    <cellStyle name="Accent5" xfId="23"/>
    <cellStyle name="Accent6" xfId="24"/>
    <cellStyle name="Activity" xfId="173"/>
    <cellStyle name="Ãèïåðññûëêà" xfId="112"/>
    <cellStyle name="Bad" xfId="25"/>
    <cellStyle name="Calculation" xfId="26"/>
    <cellStyle name="Check Cell" xfId="27"/>
    <cellStyle name="Comma 2" xfId="82"/>
    <cellStyle name="Comma 2 2" xfId="68"/>
    <cellStyle name="Comma 2 3" xfId="85"/>
    <cellStyle name="Comma 3" xfId="87"/>
    <cellStyle name="Comma 4" xfId="113"/>
    <cellStyle name="Comma 5" xfId="114"/>
    <cellStyle name="Euro" xfId="28"/>
    <cellStyle name="Euro 2" xfId="115"/>
    <cellStyle name="Explanatory Text" xfId="29"/>
    <cellStyle name="Good" xfId="30"/>
    <cellStyle name="Heading 1" xfId="31"/>
    <cellStyle name="Heading 2" xfId="32"/>
    <cellStyle name="Heading 3" xfId="33"/>
    <cellStyle name="Heading 4" xfId="34"/>
    <cellStyle name="Hyperlink 2" xfId="74"/>
    <cellStyle name="Hyperlink 3" xfId="116"/>
    <cellStyle name="info" xfId="117"/>
    <cellStyle name="Input" xfId="35"/>
    <cellStyle name="Îòêðûâàâøàÿñÿ ãèïåðññûëêà" xfId="118"/>
    <cellStyle name="Linked Cell" xfId="36"/>
    <cellStyle name="ListData" xfId="119"/>
    <cellStyle name="Millares 2" xfId="37"/>
    <cellStyle name="Normal 10" xfId="120"/>
    <cellStyle name="Normal 11" xfId="121"/>
    <cellStyle name="Normal 12" xfId="172"/>
    <cellStyle name="Normal 2" xfId="38"/>
    <cellStyle name="Normal 2 2" xfId="39"/>
    <cellStyle name="Normal 2 2 2" xfId="84"/>
    <cellStyle name="Normal 2 3" xfId="40"/>
    <cellStyle name="Normal 2 4" xfId="41"/>
    <cellStyle name="Normal 2 5" xfId="42"/>
    <cellStyle name="Normal 2 6" xfId="43"/>
    <cellStyle name="Normal 2 7" xfId="44"/>
    <cellStyle name="Normal 2 8" xfId="45"/>
    <cellStyle name="Normal 2 9" xfId="65"/>
    <cellStyle name="Normal 2_Dashboard ver 2.2 ES" xfId="46"/>
    <cellStyle name="Normal 2_Prototipo" xfId="47"/>
    <cellStyle name="Normal 3" xfId="48"/>
    <cellStyle name="Normal 3 2" xfId="75"/>
    <cellStyle name="Normal 4" xfId="49"/>
    <cellStyle name="Normal 4 2" xfId="76"/>
    <cellStyle name="Normal 5" xfId="50"/>
    <cellStyle name="Normal 5 2" xfId="78"/>
    <cellStyle name="Normal 5 3" xfId="77"/>
    <cellStyle name="Normal 6" xfId="51"/>
    <cellStyle name="Normal 6 2" xfId="79"/>
    <cellStyle name="Normal 7" xfId="64"/>
    <cellStyle name="Normal 7 2" xfId="122"/>
    <cellStyle name="Normal 8" xfId="123"/>
    <cellStyle name="Normal 8 2" xfId="124"/>
    <cellStyle name="Normal 9" xfId="125"/>
    <cellStyle name="Normal_TZ_R3HIV_Phase_2_21_August_08" xfId="52"/>
    <cellStyle name="Note" xfId="53"/>
    <cellStyle name="Output" xfId="54"/>
    <cellStyle name="Percent 2" xfId="66"/>
    <cellStyle name="Percent 3" xfId="67"/>
    <cellStyle name="Percent 4" xfId="88"/>
    <cellStyle name="Percent 5" xfId="126"/>
    <cellStyle name="Percent 6" xfId="127"/>
    <cellStyle name="Percent 7" xfId="128"/>
    <cellStyle name="Percent 8" xfId="129"/>
    <cellStyle name="SheetHeader" xfId="130"/>
    <cellStyle name="TableHeader" xfId="131"/>
    <cellStyle name="Title" xfId="55"/>
    <cellStyle name="Título 3 3" xfId="56"/>
    <cellStyle name="Título 3 3_Prototipo" xfId="57"/>
    <cellStyle name="Título 3 3_PrototipoRep1" xfId="58"/>
    <cellStyle name="Título 3 7" xfId="59"/>
    <cellStyle name="Warning Text" xfId="60"/>
    <cellStyle name="Акцент1 2" xfId="132"/>
    <cellStyle name="Акцент2 2" xfId="133"/>
    <cellStyle name="Акцент3 2" xfId="134"/>
    <cellStyle name="Акцент4 2" xfId="135"/>
    <cellStyle name="Акцент5 2" xfId="136"/>
    <cellStyle name="Акцент6 2" xfId="137"/>
    <cellStyle name="Ввод  2" xfId="138"/>
    <cellStyle name="Вывод 2" xfId="139"/>
    <cellStyle name="Вычисление 2" xfId="140"/>
    <cellStyle name="Гиперссылка 2" xfId="141"/>
    <cellStyle name="Гиперссылка 3" xfId="142"/>
    <cellStyle name="Заголовок 1 2" xfId="143"/>
    <cellStyle name="Заголовок 2 2" xfId="144"/>
    <cellStyle name="Заголовок 3 2" xfId="145"/>
    <cellStyle name="Заголовок 4 2" xfId="146"/>
    <cellStyle name="Итог 2" xfId="147"/>
    <cellStyle name="Контрольная ячейка 2" xfId="148"/>
    <cellStyle name="Название 2" xfId="149"/>
    <cellStyle name="Нейтральный 2" xfId="150"/>
    <cellStyle name="Обычный" xfId="0" builtinId="0"/>
    <cellStyle name="Обычный 2" xfId="80"/>
    <cellStyle name="Обычный 2 2" xfId="151"/>
    <cellStyle name="Обычный 2 3" xfId="152"/>
    <cellStyle name="Обычный 3" xfId="81"/>
    <cellStyle name="Обычный 4" xfId="153"/>
    <cellStyle name="Обычный 4 2" xfId="154"/>
    <cellStyle name="Обычный 4_KGZ Rnd 7 budget HIV" xfId="155"/>
    <cellStyle name="Обычный 5" xfId="156"/>
    <cellStyle name="Обычный 6" xfId="157"/>
    <cellStyle name="Обычный 7" xfId="63"/>
    <cellStyle name="Плохой 2" xfId="158"/>
    <cellStyle name="Пояснение 2" xfId="159"/>
    <cellStyle name="Примечание 2" xfId="160"/>
    <cellStyle name="Процентный" xfId="61" builtinId="5"/>
    <cellStyle name="Процентный 2" xfId="161"/>
    <cellStyle name="Процентный 3" xfId="83"/>
    <cellStyle name="Связанная ячейка 2" xfId="162"/>
    <cellStyle name="Текст предупреждения 2" xfId="163"/>
    <cellStyle name="Финансовый" xfId="62" builtinId="3"/>
    <cellStyle name="Финансовый 2" xfId="164"/>
    <cellStyle name="Финансовый 2 2" xfId="165"/>
    <cellStyle name="Финансовый 3" xfId="166"/>
    <cellStyle name="Финансовый 4" xfId="167"/>
    <cellStyle name="Финансовый 5" xfId="168"/>
    <cellStyle name="Финансовый 6" xfId="169"/>
    <cellStyle name="Финансовый 7" xfId="86"/>
    <cellStyle name="Хороший 2" xfId="171"/>
    <cellStyle name="Хороший 3" xfId="170"/>
  </cellStyles>
  <dxfs count="101">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xmlMaps" Target="xmlMap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2675489.2999999998</c:v>
                </c:pt>
                <c:pt idx="1">
                  <c:v>14534177.495320581</c:v>
                </c:pt>
                <c:pt idx="2">
                  <c:v>20832314.79699133</c:v>
                </c:pt>
                <c:pt idx="3">
                  <c:v>24341578.491344776</c:v>
                </c:pt>
              </c:numCache>
            </c:numRef>
          </c:val>
          <c:extLst xmlns:c16r2="http://schemas.microsoft.com/office/drawing/2015/06/char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9988796</c:v>
                </c:pt>
                <c:pt idx="1">
                  <c:v>16926007</c:v>
                </c:pt>
                <c:pt idx="2">
                  <c:v>20590367</c:v>
                </c:pt>
                <c:pt idx="3">
                  <c:v>24099630</c:v>
                </c:pt>
              </c:numCache>
            </c:numRef>
          </c:val>
          <c:extLst xmlns:c16r2="http://schemas.microsoft.com/office/drawing/2015/06/char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682159824"/>
        <c:axId val="682148400"/>
      </c:barChart>
      <c:catAx>
        <c:axId val="68215982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682148400"/>
        <c:crosses val="autoZero"/>
        <c:auto val="1"/>
        <c:lblAlgn val="ctr"/>
        <c:lblOffset val="100"/>
        <c:tickLblSkip val="1"/>
        <c:tickMarkSkip val="1"/>
        <c:noMultiLvlLbl val="0"/>
      </c:catAx>
      <c:valAx>
        <c:axId val="6821484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68215982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данных'!$B$39:$B$55</c:f>
              <c:numCache>
                <c:formatCode>#,##0</c:formatCode>
                <c:ptCount val="17"/>
                <c:pt idx="0">
                  <c:v>6278809.2197592426</c:v>
                </c:pt>
                <c:pt idx="1">
                  <c:v>2926084.3703791345</c:v>
                </c:pt>
                <c:pt idx="2">
                  <c:v>731687.90596694732</c:v>
                </c:pt>
                <c:pt idx="3">
                  <c:v>465984.09313467797</c:v>
                </c:pt>
                <c:pt idx="4">
                  <c:v>118579.00739639475</c:v>
                </c:pt>
                <c:pt idx="5">
                  <c:v>2672558.5136298249</c:v>
                </c:pt>
                <c:pt idx="6">
                  <c:v>137964.81331944445</c:v>
                </c:pt>
                <c:pt idx="7">
                  <c:v>270247.71354999125</c:v>
                </c:pt>
                <c:pt idx="8">
                  <c:v>650650.34947741497</c:v>
                </c:pt>
                <c:pt idx="9">
                  <c:v>36228.885999999999</c:v>
                </c:pt>
                <c:pt idx="10">
                  <c:v>9748558.2101391014</c:v>
                </c:pt>
                <c:pt idx="11">
                  <c:v>162495.40859260003</c:v>
                </c:pt>
                <c:pt idx="12">
                  <c:v>141730</c:v>
                </c:pt>
              </c:numCache>
            </c:numRef>
          </c:val>
          <c:extLst xmlns:c16r2="http://schemas.microsoft.com/office/drawing/2015/06/char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данных'!$C$39:$C$55</c:f>
              <c:numCache>
                <c:formatCode>#,##0</c:formatCode>
                <c:ptCount val="17"/>
                <c:pt idx="0">
                  <c:v>5738863.8473999994</c:v>
                </c:pt>
                <c:pt idx="1">
                  <c:v>2615179.6788368011</c:v>
                </c:pt>
                <c:pt idx="2">
                  <c:v>714426.45000000007</c:v>
                </c:pt>
                <c:pt idx="3">
                  <c:v>458873.82000000007</c:v>
                </c:pt>
                <c:pt idx="4">
                  <c:v>104064.91999999998</c:v>
                </c:pt>
                <c:pt idx="5">
                  <c:v>2246388.59</c:v>
                </c:pt>
                <c:pt idx="6">
                  <c:v>119765.82999999999</c:v>
                </c:pt>
                <c:pt idx="7">
                  <c:v>257024.38000000003</c:v>
                </c:pt>
                <c:pt idx="8">
                  <c:v>556917.70000000007</c:v>
                </c:pt>
                <c:pt idx="9">
                  <c:v>12499.159802554585</c:v>
                </c:pt>
                <c:pt idx="10">
                  <c:v>8569477.5399999991</c:v>
                </c:pt>
                <c:pt idx="11">
                  <c:v>162360.82000000004</c:v>
                </c:pt>
                <c:pt idx="12">
                  <c:v>115886.93999999999</c:v>
                </c:pt>
              </c:numCache>
            </c:numRef>
          </c:val>
          <c:extLst xmlns:c16r2="http://schemas.microsoft.com/office/drawing/2015/06/char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682152752"/>
        <c:axId val="682148944"/>
      </c:barChart>
      <c:catAx>
        <c:axId val="682152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682148944"/>
        <c:crosses val="autoZero"/>
        <c:auto val="1"/>
        <c:lblAlgn val="ctr"/>
        <c:lblOffset val="100"/>
        <c:tickMarkSkip val="1"/>
        <c:noMultiLvlLbl val="0"/>
      </c:catAx>
      <c:valAx>
        <c:axId val="6821489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68215275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20590367</c:v>
                </c:pt>
                <c:pt idx="1">
                  <c:v>12280314.708639355</c:v>
                </c:pt>
                <c:pt idx="2">
                  <c:v>6555713.9400000013</c:v>
                </c:pt>
                <c:pt idx="3">
                  <c:v>6192283.2599999988</c:v>
                </c:pt>
              </c:numCache>
            </c:numRef>
          </c:val>
          <c:extLst xmlns:c16r2="http://schemas.microsoft.com/office/drawing/2015/06/char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3509263</c:v>
                </c:pt>
                <c:pt idx="1">
                  <c:v>2142701.7773999991</c:v>
                </c:pt>
                <c:pt idx="2">
                  <c:v>932683.72</c:v>
                </c:pt>
                <c:pt idx="3">
                  <c:v>1056429.9300000002</c:v>
                </c:pt>
              </c:numCache>
            </c:numRef>
          </c:val>
          <c:extLst xmlns:c16r2="http://schemas.microsoft.com/office/drawing/2015/06/char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682154928"/>
        <c:axId val="682150576"/>
      </c:barChart>
      <c:catAx>
        <c:axId val="682154928"/>
        <c:scaling>
          <c:orientation val="minMax"/>
        </c:scaling>
        <c:delete val="0"/>
        <c:axPos val="b"/>
        <c:numFmt formatCode="General" sourceLinked="1"/>
        <c:majorTickMark val="none"/>
        <c:minorTickMark val="none"/>
        <c:tickLblPos val="nextTo"/>
        <c:crossAx val="682150576"/>
        <c:crosses val="autoZero"/>
        <c:auto val="1"/>
        <c:lblAlgn val="ctr"/>
        <c:lblOffset val="100"/>
        <c:noMultiLvlLbl val="0"/>
      </c:catAx>
      <c:valAx>
        <c:axId val="682150576"/>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68215492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данных'!$C$101:$C$105</c:f>
              <c:numCache>
                <c:formatCode>0</c:formatCode>
                <c:ptCount val="5"/>
                <c:pt idx="0" formatCode="General">
                  <c:v>0</c:v>
                </c:pt>
                <c:pt idx="1">
                  <c:v>0</c:v>
                </c:pt>
                <c:pt idx="2">
                  <c:v>26</c:v>
                </c:pt>
                <c:pt idx="4">
                  <c:v>10</c:v>
                </c:pt>
              </c:numCache>
            </c:numRef>
          </c:val>
          <c:extLst xmlns:c16r2="http://schemas.microsoft.com/office/drawing/2015/06/char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2-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данных'!$D$101:$D$105</c:f>
              <c:numCache>
                <c:formatCode>0</c:formatCode>
                <c:ptCount val="5"/>
                <c:pt idx="0" formatCode="General">
                  <c:v>0</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735733504"/>
        <c:axId val="735735680"/>
      </c:barChart>
      <c:catAx>
        <c:axId val="735733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735680"/>
        <c:crosses val="autoZero"/>
        <c:auto val="1"/>
        <c:lblAlgn val="ctr"/>
        <c:lblOffset val="100"/>
        <c:noMultiLvlLbl val="0"/>
      </c:catAx>
      <c:valAx>
        <c:axId val="7357356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733504"/>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4672132925533"/>
          <c:y val="1.9528958880139981E-2"/>
          <c:w val="0.8170820589575063"/>
          <c:h val="0.68240489938757654"/>
        </c:manualLayout>
      </c:layout>
      <c:lineChart>
        <c:grouping val="standard"/>
        <c:varyColors val="0"/>
        <c:ser>
          <c:idx val="0"/>
          <c:order val="0"/>
          <c:tx>
            <c:strRef>
              <c:f>'Ввод данных'!$A$113</c:f>
              <c:strCache>
                <c:ptCount val="1"/>
                <c:pt idx="0">
                  <c:v>Совокупный утвердженный бюджет*</c:v>
                </c:pt>
              </c:strCache>
            </c:strRef>
          </c:tx>
          <c:spPr>
            <a:ln w="28575" cap="rnd">
              <a:solidFill>
                <a:schemeClr val="accent1"/>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данных'!$B$113:$M$113</c:f>
              <c:numCache>
                <c:formatCode>#,##0</c:formatCode>
                <c:ptCount val="12"/>
                <c:pt idx="0">
                  <c:v>68288.95</c:v>
                </c:pt>
                <c:pt idx="1">
                  <c:v>6287291.4238936165</c:v>
                </c:pt>
                <c:pt idx="2">
                  <c:v>7315696.3089702176</c:v>
                </c:pt>
                <c:pt idx="3">
                  <c:v>8802627.5289702173</c:v>
                </c:pt>
              </c:numCache>
            </c:numRef>
          </c:val>
          <c:smooth val="0"/>
          <c:extLst xmlns:c16r2="http://schemas.microsoft.com/office/drawing/2015/06/chart">
            <c:ext xmlns:c16="http://schemas.microsoft.com/office/drawing/2014/chart" uri="{C3380CC4-5D6E-409C-BE32-E72D297353CC}">
              <c16:uniqueId val="{00000000-1FDB-481B-AC85-C5C3ACCAC2F8}"/>
            </c:ext>
          </c:extLst>
        </c:ser>
        <c:ser>
          <c:idx val="1"/>
          <c:order val="1"/>
          <c:tx>
            <c:strRef>
              <c:f>'Ввод данных'!$A$114</c:f>
              <c:strCache>
                <c:ptCount val="1"/>
                <c:pt idx="0">
                  <c:v>Общий объем финансовых обязательств</c:v>
                </c:pt>
              </c:strCache>
            </c:strRef>
          </c:tx>
          <c:spPr>
            <a:ln w="28575" cap="rnd">
              <a:solidFill>
                <a:schemeClr val="accent2"/>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данных'!$B$114:$M$114</c:f>
              <c:numCache>
                <c:formatCode>#,##0</c:formatCode>
                <c:ptCount val="12"/>
                <c:pt idx="0">
                  <c:v>3286506.8408695655</c:v>
                </c:pt>
                <c:pt idx="1">
                  <c:v>5577444.0008695647</c:v>
                </c:pt>
                <c:pt idx="2">
                  <c:v>378547.96</c:v>
                </c:pt>
                <c:pt idx="3">
                  <c:v>61875.05</c:v>
                </c:pt>
              </c:numCache>
            </c:numRef>
          </c:val>
          <c:smooth val="0"/>
          <c:extLst xmlns:c16r2="http://schemas.microsoft.com/office/drawing/2015/06/chart">
            <c:ext xmlns:c16="http://schemas.microsoft.com/office/drawing/2014/chart" uri="{C3380CC4-5D6E-409C-BE32-E72D297353CC}">
              <c16:uniqueId val="{00000001-1FDB-481B-AC85-C5C3ACCAC2F8}"/>
            </c:ext>
          </c:extLst>
        </c:ser>
        <c:ser>
          <c:idx val="2"/>
          <c:order val="2"/>
          <c:tx>
            <c:strRef>
              <c:f>'Ввод данных'!$A$115</c:f>
              <c:strCache>
                <c:ptCount val="1"/>
                <c:pt idx="0">
                  <c:v>Общий объем расходов</c:v>
                </c:pt>
              </c:strCache>
            </c:strRef>
          </c:tx>
          <c:spPr>
            <a:ln w="28575" cap="rnd">
              <a:solidFill>
                <a:schemeClr val="accent3"/>
              </a:solidFill>
              <a:round/>
            </a:ln>
            <a:effectLst/>
          </c:spPr>
          <c:marker>
            <c:symbol val="none"/>
          </c:marker>
          <c:cat>
            <c:strRef>
              <c:f>'Ввод данных'!$B$109:$M$109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'Ввод данных'!$B$115:$M$115</c:f>
              <c:numCache>
                <c:formatCode>#,##0</c:formatCode>
                <c:ptCount val="12"/>
                <c:pt idx="0">
                  <c:v>68288.95</c:v>
                </c:pt>
                <c:pt idx="1">
                  <c:v>1791168.95</c:v>
                </c:pt>
                <c:pt idx="2">
                  <c:v>6628611.7073867591</c:v>
                </c:pt>
                <c:pt idx="3">
                  <c:v>7954155.337386759</c:v>
                </c:pt>
              </c:numCache>
            </c:numRef>
          </c:val>
          <c:smooth val="0"/>
          <c:extLst xmlns:c16r2="http://schemas.microsoft.com/office/drawing/2015/06/chart">
            <c:ext xmlns:c16="http://schemas.microsoft.com/office/drawing/2014/chart" uri="{C3380CC4-5D6E-409C-BE32-E72D297353CC}">
              <c16:uniqueId val="{00000002-1FDB-481B-AC85-C5C3ACCAC2F8}"/>
            </c:ext>
          </c:extLst>
        </c:ser>
        <c:dLbls>
          <c:showLegendKey val="0"/>
          <c:showVal val="0"/>
          <c:showCatName val="0"/>
          <c:showSerName val="0"/>
          <c:showPercent val="0"/>
          <c:showBubbleSize val="0"/>
        </c:dLbls>
        <c:smooth val="0"/>
        <c:axId val="735729696"/>
        <c:axId val="735728608"/>
      </c:lineChart>
      <c:catAx>
        <c:axId val="73572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728608"/>
        <c:crosses val="autoZero"/>
        <c:auto val="1"/>
        <c:lblAlgn val="ctr"/>
        <c:lblOffset val="100"/>
        <c:tickLblSkip val="1"/>
        <c:tickMarkSkip val="1"/>
        <c:noMultiLvlLbl val="0"/>
      </c:catAx>
      <c:valAx>
        <c:axId val="7357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729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'[1]Ввод данных'!$A$89</c:f>
              <c:strCache>
                <c:ptCount val="1"/>
                <c:pt idx="0">
                  <c:v>Отдел управления проектом</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'[1]Ввод данных'!$B$89:$D$89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74B-4005-864A-0DDDFC5C7C10}"/>
            </c:ext>
          </c:extLst>
        </c:ser>
        <c:ser>
          <c:idx val="2"/>
          <c:order val="1"/>
          <c:tx>
            <c:strRef>
              <c:f>'Ввод данных'!$A$90</c:f>
              <c:strCache>
                <c:ptCount val="1"/>
                <c:pt idx="0">
                  <c:v>ВИЧ/СПИД</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'Ввод данных'!$B$90:$D$90</c:f>
              <c:numCache>
                <c:formatCode>0</c:formatCode>
                <c:ptCount val="3"/>
                <c:pt idx="0">
                  <c:v>6</c:v>
                </c:pt>
                <c:pt idx="1">
                  <c:v>6</c:v>
                </c:pt>
                <c:pt idx="2">
                  <c:v>0</c:v>
                </c:pt>
              </c:numCache>
            </c:numRef>
          </c:val>
          <c:extLst xmlns:c16r2="http://schemas.microsoft.com/office/drawing/2015/06/chart">
            <c:ext xmlns:c16="http://schemas.microsoft.com/office/drawing/2014/chart" uri="{C3380CC4-5D6E-409C-BE32-E72D297353CC}">
              <c16:uniqueId val="{00000001-274B-4005-864A-0DDDFC5C7C10}"/>
            </c:ext>
          </c:extLst>
        </c:ser>
        <c:ser>
          <c:idx val="0"/>
          <c:order val="2"/>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'Ввод данных'!$B$91:$D$91</c:f>
              <c:numCache>
                <c:formatCode>General</c:formatCode>
                <c:ptCount val="3"/>
                <c:pt idx="0">
                  <c:v>4</c:v>
                </c:pt>
                <c:pt idx="1">
                  <c:v>4</c:v>
                </c:pt>
                <c:pt idx="2">
                  <c:v>0</c:v>
                </c:pt>
              </c:numCache>
            </c:numRef>
          </c:val>
          <c:extLst xmlns:c16r2="http://schemas.microsoft.com/office/drawing/2015/06/chart">
            <c:ext xmlns:c16="http://schemas.microsoft.com/office/drawing/2014/chart" uri="{C3380CC4-5D6E-409C-BE32-E72D297353CC}">
              <c16:uniqueId val="{00000002-274B-4005-864A-0DDDFC5C7C10}"/>
            </c:ext>
          </c:extLst>
        </c:ser>
        <c:dLbls>
          <c:showLegendKey val="0"/>
          <c:showVal val="1"/>
          <c:showCatName val="0"/>
          <c:showSerName val="0"/>
          <c:showPercent val="0"/>
          <c:showBubbleSize val="0"/>
        </c:dLbls>
        <c:gapWidth val="150"/>
        <c:overlap val="-25"/>
        <c:axId val="735731328"/>
        <c:axId val="735732416"/>
      </c:barChart>
      <c:catAx>
        <c:axId val="73573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732416"/>
        <c:crosses val="autoZero"/>
        <c:auto val="1"/>
        <c:lblAlgn val="ctr"/>
        <c:lblOffset val="100"/>
        <c:noMultiLvlLbl val="0"/>
      </c:catAx>
      <c:valAx>
        <c:axId val="735732416"/>
        <c:scaling>
          <c:orientation val="minMax"/>
        </c:scaling>
        <c:delete val="1"/>
        <c:axPos val="l"/>
        <c:numFmt formatCode="General" sourceLinked="1"/>
        <c:majorTickMark val="none"/>
        <c:minorTickMark val="none"/>
        <c:tickLblPos val="nextTo"/>
        <c:crossAx val="735731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данных'!$B$81:$B$84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1">
                  <c:v>1</c:v>
                </c:pt>
                <c:pt idx="2">
                  <c:v>0</c:v>
                </c:pt>
                <c:pt idx="3">
                  <c:v>0</c:v>
                </c:pt>
              </c:numCache>
            </c:numRef>
          </c:val>
          <c:extLst xmlns:c16r2="http://schemas.microsoft.com/office/drawing/2015/06/char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1">
                  <c:v>0</c:v>
                </c:pt>
                <c:pt idx="2">
                  <c:v>0</c:v>
                </c:pt>
                <c:pt idx="3">
                  <c:v>0</c:v>
                </c:pt>
              </c:numCache>
            </c:numRef>
          </c:val>
          <c:extLst xmlns:c16r2="http://schemas.microsoft.com/office/drawing/2015/06/chart">
            <c:ext xmlns:c16="http://schemas.microsoft.com/office/drawing/2014/chart" uri="{C3380CC4-5D6E-409C-BE32-E72D297353CC}">
              <c16:uniqueId val="{00000002-9E67-4D7D-BE0E-C99C3E701244}"/>
            </c:ext>
          </c:extLst>
        </c:ser>
        <c:ser>
          <c:idx val="3"/>
          <c:order val="3"/>
          <c:tx>
            <c:strRef>
              <c:f>'[1]Ввод данных'!$E$80</c:f>
              <c:strCache>
                <c:ptCount val="1"/>
                <c:pt idx="0">
                  <c:v>Невыполненные и просроченные</c:v>
                </c:pt>
              </c:strCache>
            </c:strRef>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данных'!$E$81:$E$84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735735136"/>
        <c:axId val="737521632"/>
      </c:barChart>
      <c:catAx>
        <c:axId val="735735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521632"/>
        <c:crosses val="autoZero"/>
        <c:auto val="1"/>
        <c:lblAlgn val="ctr"/>
        <c:lblOffset val="100"/>
        <c:tickLblSkip val="1"/>
        <c:tickMarkSkip val="1"/>
        <c:noMultiLvlLbl val="0"/>
      </c:catAx>
      <c:valAx>
        <c:axId val="7375216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35735136"/>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данных'!$B$96:$F$96</c:f>
              <c:numCache>
                <c:formatCode>General</c:formatCode>
                <c:ptCount val="5"/>
                <c:pt idx="0">
                  <c:v>28</c:v>
                </c:pt>
                <c:pt idx="1">
                  <c:v>26</c:v>
                </c:pt>
                <c:pt idx="2">
                  <c:v>26</c:v>
                </c:pt>
                <c:pt idx="3">
                  <c:v>28</c:v>
                </c:pt>
                <c:pt idx="4">
                  <c:v>26</c:v>
                </c:pt>
              </c:numCache>
            </c:numRef>
          </c:val>
          <c:extLst xmlns:c16r2="http://schemas.microsoft.com/office/drawing/2015/06/chart">
            <c:ext xmlns:c16="http://schemas.microsoft.com/office/drawing/2014/chart" uri="{C3380CC4-5D6E-409C-BE32-E72D297353CC}">
              <c16:uniqueId val="{00000000-3C2F-4B91-B11C-0BA014ED291D}"/>
            </c:ext>
          </c:extLst>
        </c:ser>
        <c:ser>
          <c:idx val="1"/>
          <c:order val="1"/>
          <c:tx>
            <c:strRef>
              <c:f>'Ввод данных'!$A$91</c:f>
              <c:strCache>
                <c:ptCount val="1"/>
                <c:pt idx="0">
                  <c:v>ТБ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737522176"/>
        <c:axId val="737522720"/>
      </c:barChart>
      <c:catAx>
        <c:axId val="7375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522720"/>
        <c:crosses val="autoZero"/>
        <c:auto val="1"/>
        <c:lblAlgn val="ctr"/>
        <c:lblOffset val="100"/>
        <c:noMultiLvlLbl val="0"/>
      </c:catAx>
      <c:valAx>
        <c:axId val="737522720"/>
        <c:scaling>
          <c:orientation val="minMax"/>
        </c:scaling>
        <c:delete val="1"/>
        <c:axPos val="l"/>
        <c:numFmt formatCode="General" sourceLinked="1"/>
        <c:majorTickMark val="none"/>
        <c:minorTickMark val="none"/>
        <c:tickLblPos val="nextTo"/>
        <c:crossAx val="737522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данных'!$F$164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данных'!$G$164:$J$164</c:f>
              <c:numCache>
                <c:formatCode>#,##0</c:formatCode>
                <c:ptCount val="4"/>
                <c:pt idx="0">
                  <c:v>13750</c:v>
                </c:pt>
                <c:pt idx="1">
                  <c:v>14375</c:v>
                </c:pt>
                <c:pt idx="2">
                  <c:v>15000</c:v>
                </c:pt>
                <c:pt idx="3">
                  <c:v>15625</c:v>
                </c:pt>
              </c:numCache>
            </c:numRef>
          </c:val>
          <c:extLst xmlns:c16r2="http://schemas.microsoft.com/office/drawing/2015/06/chart">
            <c:ext xmlns:c16="http://schemas.microsoft.com/office/drawing/2014/chart" uri="{C3380CC4-5D6E-409C-BE32-E72D297353CC}">
              <c16:uniqueId val="{00000000-F4FA-4784-8E5F-61D375F426FC}"/>
            </c:ext>
          </c:extLst>
        </c:ser>
        <c:ser>
          <c:idx val="1"/>
          <c:order val="1"/>
          <c:tx>
            <c:strRef>
              <c:f>'Ввод данных'!$F$165</c:f>
              <c:strCache>
                <c:ptCount val="1"/>
                <c:pt idx="0">
                  <c:v>Достигнуто на 101%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данных'!$G$165:$J$165</c:f>
              <c:numCache>
                <c:formatCode>#,##0</c:formatCode>
                <c:ptCount val="4"/>
                <c:pt idx="0">
                  <c:v>14682</c:v>
                </c:pt>
                <c:pt idx="1">
                  <c:v>15859</c:v>
                </c:pt>
                <c:pt idx="2">
                  <c:v>16430</c:v>
                </c:pt>
                <c:pt idx="3">
                  <c:v>15828</c:v>
                </c:pt>
              </c:numCache>
            </c:numRef>
          </c:val>
          <c:extLst xmlns:c16r2="http://schemas.microsoft.com/office/drawing/2015/06/chart">
            <c:ext xmlns:c16="http://schemas.microsoft.com/office/drawing/2014/chart" uri="{C3380CC4-5D6E-409C-BE32-E72D297353CC}">
              <c16:uniqueId val="{00000001-F4FA-4784-8E5F-61D375F426FC}"/>
            </c:ext>
          </c:extLst>
        </c:ser>
        <c:dLbls>
          <c:showLegendKey val="0"/>
          <c:showVal val="1"/>
          <c:showCatName val="0"/>
          <c:showSerName val="0"/>
          <c:showPercent val="0"/>
          <c:showBubbleSize val="0"/>
        </c:dLbls>
        <c:gapWidth val="150"/>
        <c:overlap val="-25"/>
        <c:axId val="737525984"/>
        <c:axId val="737524352"/>
      </c:barChart>
      <c:catAx>
        <c:axId val="73752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524352"/>
        <c:crosses val="autoZero"/>
        <c:auto val="1"/>
        <c:lblAlgn val="ctr"/>
        <c:lblOffset val="100"/>
        <c:noMultiLvlLbl val="0"/>
      </c:catAx>
      <c:valAx>
        <c:axId val="737524352"/>
        <c:scaling>
          <c:orientation val="minMax"/>
        </c:scaling>
        <c:delete val="1"/>
        <c:axPos val="l"/>
        <c:numFmt formatCode="#,##0" sourceLinked="1"/>
        <c:majorTickMark val="none"/>
        <c:minorTickMark val="none"/>
        <c:tickLblPos val="nextTo"/>
        <c:crossAx val="7375259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с известным ВИЧ статусом, получающих антиретровирусную терапию на данный момент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данных'!$F$166</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данных'!$G$166:$J$166</c:f>
              <c:numCache>
                <c:formatCode>#,##0</c:formatCode>
                <c:ptCount val="4"/>
                <c:pt idx="0">
                  <c:v>2700</c:v>
                </c:pt>
                <c:pt idx="1">
                  <c:v>3100</c:v>
                </c:pt>
                <c:pt idx="2">
                  <c:v>3478</c:v>
                </c:pt>
                <c:pt idx="3">
                  <c:v>3926</c:v>
                </c:pt>
              </c:numCache>
            </c:numRef>
          </c:val>
          <c:extLst xmlns:c16r2="http://schemas.microsoft.com/office/drawing/2015/06/chart">
            <c:ext xmlns:c16="http://schemas.microsoft.com/office/drawing/2014/chart" uri="{C3380CC4-5D6E-409C-BE32-E72D297353CC}">
              <c16:uniqueId val="{00000000-9E25-406D-8890-99728E61850A}"/>
            </c:ext>
          </c:extLst>
        </c:ser>
        <c:ser>
          <c:idx val="1"/>
          <c:order val="1"/>
          <c:tx>
            <c:strRef>
              <c:f>'Ввод данных'!$F$167</c:f>
              <c:strCache>
                <c:ptCount val="1"/>
                <c:pt idx="0">
                  <c:v>Достигнуто на 98%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данных'!$G$167:$J$167</c:f>
              <c:numCache>
                <c:formatCode>#,##0</c:formatCode>
                <c:ptCount val="4"/>
                <c:pt idx="0">
                  <c:v>2668</c:v>
                </c:pt>
                <c:pt idx="1">
                  <c:v>2995</c:v>
                </c:pt>
                <c:pt idx="2">
                  <c:v>3237</c:v>
                </c:pt>
                <c:pt idx="3">
                  <c:v>3454</c:v>
                </c:pt>
              </c:numCache>
            </c:numRef>
          </c:val>
          <c:extLst xmlns:c16r2="http://schemas.microsoft.com/office/drawing/2015/06/chart">
            <c:ext xmlns:c16="http://schemas.microsoft.com/office/drawing/2014/chart" uri="{C3380CC4-5D6E-409C-BE32-E72D297353CC}">
              <c16:uniqueId val="{00000001-9E25-406D-8890-99728E61850A}"/>
            </c:ext>
          </c:extLst>
        </c:ser>
        <c:dLbls>
          <c:showLegendKey val="0"/>
          <c:showVal val="1"/>
          <c:showCatName val="0"/>
          <c:showSerName val="0"/>
          <c:showPercent val="0"/>
          <c:showBubbleSize val="0"/>
        </c:dLbls>
        <c:gapWidth val="150"/>
        <c:overlap val="-25"/>
        <c:axId val="737524896"/>
        <c:axId val="737525440"/>
      </c:barChart>
      <c:catAx>
        <c:axId val="73752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525440"/>
        <c:crosses val="autoZero"/>
        <c:auto val="1"/>
        <c:lblAlgn val="ctr"/>
        <c:lblOffset val="100"/>
        <c:noMultiLvlLbl val="0"/>
      </c:catAx>
      <c:valAx>
        <c:axId val="737525440"/>
        <c:scaling>
          <c:orientation val="minMax"/>
        </c:scaling>
        <c:delete val="1"/>
        <c:axPos val="l"/>
        <c:numFmt formatCode="#,##0" sourceLinked="1"/>
        <c:majorTickMark val="none"/>
        <c:minorTickMark val="none"/>
        <c:tickLblPos val="nextTo"/>
        <c:crossAx val="7375248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Количество ЛЖВ, находящихся на попечении общинных организаций и участвующих в программах поддержки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данных'!$F$168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данных'!$G$168:$J$168</c:f>
              <c:numCache>
                <c:formatCode>#,##0</c:formatCode>
                <c:ptCount val="4"/>
                <c:pt idx="0">
                  <c:v>1410</c:v>
                </c:pt>
                <c:pt idx="1">
                  <c:v>1480</c:v>
                </c:pt>
                <c:pt idx="2">
                  <c:v>1616</c:v>
                </c:pt>
                <c:pt idx="3">
                  <c:v>2032</c:v>
                </c:pt>
              </c:numCache>
            </c:numRef>
          </c:val>
          <c:extLst xmlns:c16r2="http://schemas.microsoft.com/office/drawing/2015/06/chart">
            <c:ext xmlns:c16="http://schemas.microsoft.com/office/drawing/2014/chart" uri="{C3380CC4-5D6E-409C-BE32-E72D297353CC}">
              <c16:uniqueId val="{00000000-8E36-4759-95E6-C1FD3F67DC3B}"/>
            </c:ext>
          </c:extLst>
        </c:ser>
        <c:ser>
          <c:idx val="1"/>
          <c:order val="1"/>
          <c:tx>
            <c:strRef>
              <c:f>'Ввод данных'!$F$169</c:f>
              <c:strCache>
                <c:ptCount val="1"/>
                <c:pt idx="0">
                  <c:v>Достигнуто на 120%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данных'!$G$163:$J$163</c:f>
              <c:strCache>
                <c:ptCount val="4"/>
                <c:pt idx="0">
                  <c:v>P1</c:v>
                </c:pt>
                <c:pt idx="1">
                  <c:v>P2</c:v>
                </c:pt>
                <c:pt idx="2">
                  <c:v>P3</c:v>
                </c:pt>
                <c:pt idx="3">
                  <c:v>P4</c:v>
                </c:pt>
              </c:strCache>
            </c:strRef>
          </c:cat>
          <c:val>
            <c:numRef>
              <c:f>'Ввод данных'!$G$169:$J$169</c:f>
              <c:numCache>
                <c:formatCode>#,##0</c:formatCode>
                <c:ptCount val="4"/>
                <c:pt idx="0">
                  <c:v>2514</c:v>
                </c:pt>
                <c:pt idx="1">
                  <c:v>2851</c:v>
                </c:pt>
                <c:pt idx="2">
                  <c:v>3117</c:v>
                </c:pt>
                <c:pt idx="3">
                  <c:v>3029</c:v>
                </c:pt>
              </c:numCache>
            </c:numRef>
          </c:val>
          <c:extLst xmlns:c16r2="http://schemas.microsoft.com/office/drawing/2015/06/chart">
            <c:ext xmlns:c16="http://schemas.microsoft.com/office/drawing/2014/chart" uri="{C3380CC4-5D6E-409C-BE32-E72D297353CC}">
              <c16:uniqueId val="{00000001-8E36-4759-95E6-C1FD3F67DC3B}"/>
            </c:ext>
          </c:extLst>
        </c:ser>
        <c:dLbls>
          <c:showLegendKey val="0"/>
          <c:showVal val="1"/>
          <c:showCatName val="0"/>
          <c:showSerName val="0"/>
          <c:showPercent val="0"/>
          <c:showBubbleSize val="0"/>
        </c:dLbls>
        <c:gapWidth val="150"/>
        <c:overlap val="-25"/>
        <c:axId val="735802096"/>
        <c:axId val="735808080"/>
      </c:barChart>
      <c:catAx>
        <c:axId val="73580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808080"/>
        <c:crosses val="autoZero"/>
        <c:auto val="1"/>
        <c:lblAlgn val="ctr"/>
        <c:lblOffset val="100"/>
        <c:noMultiLvlLbl val="0"/>
      </c:catAx>
      <c:valAx>
        <c:axId val="735808080"/>
        <c:scaling>
          <c:orientation val="minMax"/>
        </c:scaling>
        <c:delete val="1"/>
        <c:axPos val="l"/>
        <c:numFmt formatCode="#,##0" sourceLinked="1"/>
        <c:majorTickMark val="none"/>
        <c:minorTickMark val="none"/>
        <c:tickLblPos val="nextTo"/>
        <c:crossAx val="7358020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устойчивыми формами туберкулеза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данных'!$F$217</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'Ввод данных'!$G$217:$J$217</c:f>
              <c:numCache>
                <c:formatCode>"Q"#\ ##0_);[Red]\("Q"#\ ##0\)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3B9B-49FD-BF6F-70EC39C3254D}"/>
            </c:ext>
          </c:extLst>
        </c:ser>
        <c:ser>
          <c:idx val="1"/>
          <c:order val="1"/>
          <c:tx>
            <c:strRef>
              <c:f>'Ввод данных'!$F$218</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'Ввод данных'!$G$218:$J$218</c:f>
              <c:numCache>
                <c:formatCode>#,##0</c:formatCode>
                <c:ptCount val="4"/>
                <c:pt idx="0">
                  <c:v>1939</c:v>
                </c:pt>
                <c:pt idx="1">
                  <c:v>2254</c:v>
                </c:pt>
                <c:pt idx="2">
                  <c:v>2413</c:v>
                </c:pt>
                <c:pt idx="3">
                  <c:v>2413</c:v>
                </c:pt>
              </c:numCache>
            </c:numRef>
          </c:val>
          <c:extLst xmlns:c16r2="http://schemas.microsoft.com/office/drawing/2015/06/chart">
            <c:ext xmlns:c16="http://schemas.microsoft.com/office/drawing/2014/chart" uri="{C3380CC4-5D6E-409C-BE32-E72D297353CC}">
              <c16:uniqueId val="{00000001-3B9B-49FD-BF6F-70EC39C3254D}"/>
            </c:ext>
          </c:extLst>
        </c:ser>
        <c:ser>
          <c:idx val="2"/>
          <c:order val="2"/>
          <c:tx>
            <c:strRef>
              <c:f>'Ввод данных'!$F$219</c:f>
              <c:strCache>
                <c:ptCount val="1"/>
                <c:pt idx="0">
                  <c:v>Достигнуто</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'Ввод данных'!$G$219:$J$219</c:f>
              <c:numCache>
                <c:formatCode>#,##0</c:formatCode>
                <c:ptCount val="4"/>
                <c:pt idx="0">
                  <c:v>1476</c:v>
                </c:pt>
                <c:pt idx="1">
                  <c:v>1689</c:v>
                </c:pt>
                <c:pt idx="2">
                  <c:v>1684</c:v>
                </c:pt>
              </c:numCache>
            </c:numRef>
          </c:val>
          <c:extLst xmlns:c16r2="http://schemas.microsoft.com/office/drawing/2015/06/chart">
            <c:ext xmlns:c16="http://schemas.microsoft.com/office/drawing/2014/chart" uri="{C3380CC4-5D6E-409C-BE32-E72D297353CC}">
              <c16:uniqueId val="{00000000-3C14-43CC-A1CA-4F50138BC553}"/>
            </c:ext>
          </c:extLst>
        </c:ser>
        <c:dLbls>
          <c:showLegendKey val="0"/>
          <c:showVal val="1"/>
          <c:showCatName val="0"/>
          <c:showSerName val="0"/>
          <c:showPercent val="0"/>
          <c:showBubbleSize val="0"/>
        </c:dLbls>
        <c:gapWidth val="150"/>
        <c:overlap val="-25"/>
        <c:axId val="735802640"/>
        <c:axId val="735804272"/>
      </c:barChart>
      <c:catAx>
        <c:axId val="73580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804272"/>
        <c:crosses val="autoZero"/>
        <c:auto val="1"/>
        <c:lblAlgn val="ctr"/>
        <c:lblOffset val="100"/>
        <c:noMultiLvlLbl val="0"/>
      </c:catAx>
      <c:valAx>
        <c:axId val="735804272"/>
        <c:scaling>
          <c:orientation val="minMax"/>
        </c:scaling>
        <c:delete val="1"/>
        <c:axPos val="l"/>
        <c:numFmt formatCode="&quot;Q&quot;#\ ##0_);[Red]\(&quot;Q&quot;#\ ##0\)" sourceLinked="1"/>
        <c:majorTickMark val="none"/>
        <c:minorTickMark val="none"/>
        <c:tickLblPos val="nextTo"/>
        <c:crossAx val="7358026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чувствительной формой ТБ и ПЛУ(ПТП 1 ряда)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данных'!$F$220</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данных'!$G$217:$J$217</c:f>
              <c:strCache>
                <c:ptCount val="4"/>
                <c:pt idx="0">
                  <c:v>Р1</c:v>
                </c:pt>
                <c:pt idx="1">
                  <c:v>Р2</c:v>
                </c:pt>
                <c:pt idx="2">
                  <c:v>P3</c:v>
                </c:pt>
                <c:pt idx="3">
                  <c:v>P4</c:v>
                </c:pt>
              </c:strCache>
            </c:strRef>
          </c:cat>
          <c:val>
            <c:numRef>
              <c:f>'Ввод данных'!$G$220:$J$220</c:f>
              <c:numCache>
                <c:formatCode>#,##0</c:formatCode>
                <c:ptCount val="4"/>
                <c:pt idx="0">
                  <c:v>1677</c:v>
                </c:pt>
                <c:pt idx="1">
                  <c:v>1677</c:v>
                </c:pt>
                <c:pt idx="2">
                  <c:v>1677</c:v>
                </c:pt>
              </c:numCache>
            </c:numRef>
          </c:val>
          <c:extLst xmlns:c16r2="http://schemas.microsoft.com/office/drawing/2015/06/chart">
            <c:ext xmlns:c16="http://schemas.microsoft.com/office/drawing/2014/chart" uri="{C3380CC4-5D6E-409C-BE32-E72D297353CC}">
              <c16:uniqueId val="{00000000-0FA3-483E-9E00-1641FC511067}"/>
            </c:ext>
          </c:extLst>
        </c:ser>
        <c:ser>
          <c:idx val="1"/>
          <c:order val="1"/>
          <c:tx>
            <c:strRef>
              <c:f>'Ввод данных'!$F$221</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данных'!$G$217:$J$217</c:f>
              <c:strCache>
                <c:ptCount val="4"/>
                <c:pt idx="0">
                  <c:v>Р1</c:v>
                </c:pt>
                <c:pt idx="1">
                  <c:v>Р2</c:v>
                </c:pt>
                <c:pt idx="2">
                  <c:v>P3</c:v>
                </c:pt>
                <c:pt idx="3">
                  <c:v>P4</c:v>
                </c:pt>
              </c:strCache>
            </c:strRef>
          </c:cat>
          <c:val>
            <c:numRef>
              <c:f>'Ввод данных'!$G$221:$J$221</c:f>
              <c:numCache>
                <c:formatCode>#,##0</c:formatCode>
                <c:ptCount val="4"/>
                <c:pt idx="0">
                  <c:v>1628</c:v>
                </c:pt>
                <c:pt idx="1">
                  <c:v>2087</c:v>
                </c:pt>
                <c:pt idx="2">
                  <c:v>2034</c:v>
                </c:pt>
                <c:pt idx="3">
                  <c:v>1798</c:v>
                </c:pt>
              </c:numCache>
            </c:numRef>
          </c:val>
          <c:extLst xmlns:c16r2="http://schemas.microsoft.com/office/drawing/2015/06/chart">
            <c:ext xmlns:c16="http://schemas.microsoft.com/office/drawing/2014/chart" uri="{C3380CC4-5D6E-409C-BE32-E72D297353CC}">
              <c16:uniqueId val="{00000001-0FA3-483E-9E00-1641FC511067}"/>
            </c:ext>
          </c:extLst>
        </c:ser>
        <c:dLbls>
          <c:showLegendKey val="0"/>
          <c:showVal val="1"/>
          <c:showCatName val="0"/>
          <c:showSerName val="0"/>
          <c:showPercent val="0"/>
          <c:showBubbleSize val="0"/>
        </c:dLbls>
        <c:gapWidth val="150"/>
        <c:overlap val="-25"/>
        <c:axId val="735806448"/>
        <c:axId val="735808624"/>
      </c:barChart>
      <c:catAx>
        <c:axId val="73580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5808624"/>
        <c:crosses val="autoZero"/>
        <c:auto val="1"/>
        <c:lblAlgn val="ctr"/>
        <c:lblOffset val="100"/>
        <c:noMultiLvlLbl val="0"/>
      </c:catAx>
      <c:valAx>
        <c:axId val="735808624"/>
        <c:scaling>
          <c:orientation val="minMax"/>
        </c:scaling>
        <c:delete val="1"/>
        <c:axPos val="l"/>
        <c:numFmt formatCode="#,##0" sourceLinked="1"/>
        <c:majorTickMark val="none"/>
        <c:minorTickMark val="none"/>
        <c:tickLblPos val="nextTo"/>
        <c:crossAx val="7358064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MDR TB-1: </a:t>
            </a:r>
            <a:r>
              <a:rPr lang="ru-RU" sz="1000"/>
              <a:t>Процент ранее излеченных ТБ пациентов, прошедших ТЛЧ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данных'!$F$222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данных'!$G$217:$J$217</c:f>
              <c:strCache>
                <c:ptCount val="4"/>
                <c:pt idx="0">
                  <c:v>Р1</c:v>
                </c:pt>
                <c:pt idx="1">
                  <c:v>Р2</c:v>
                </c:pt>
                <c:pt idx="2">
                  <c:v>P3</c:v>
                </c:pt>
                <c:pt idx="3">
                  <c:v>P4</c:v>
                </c:pt>
              </c:strCache>
            </c:strRef>
          </c:cat>
          <c:val>
            <c:numRef>
              <c:f>'Ввод данных'!$G$222:$J$222</c:f>
              <c:numCache>
                <c:formatCode>0%</c:formatCode>
                <c:ptCount val="4"/>
                <c:pt idx="0">
                  <c:v>0.85</c:v>
                </c:pt>
                <c:pt idx="1">
                  <c:v>0.9</c:v>
                </c:pt>
                <c:pt idx="2">
                  <c:v>0.95</c:v>
                </c:pt>
                <c:pt idx="3">
                  <c:v>0.95</c:v>
                </c:pt>
              </c:numCache>
            </c:numRef>
          </c:val>
          <c:extLst xmlns:c16r2="http://schemas.microsoft.com/office/drawing/2015/06/chart">
            <c:ext xmlns:c16="http://schemas.microsoft.com/office/drawing/2014/chart" uri="{C3380CC4-5D6E-409C-BE32-E72D297353CC}">
              <c16:uniqueId val="{00000000-C5F8-4F29-8519-CACFFDA40A9D}"/>
            </c:ext>
          </c:extLst>
        </c:ser>
        <c:ser>
          <c:idx val="1"/>
          <c:order val="1"/>
          <c:tx>
            <c:strRef>
              <c:f>'Ввод данных'!$F$223</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данных'!$G$217:$J$217</c:f>
              <c:strCache>
                <c:ptCount val="4"/>
                <c:pt idx="0">
                  <c:v>Р1</c:v>
                </c:pt>
                <c:pt idx="1">
                  <c:v>Р2</c:v>
                </c:pt>
                <c:pt idx="2">
                  <c:v>P3</c:v>
                </c:pt>
                <c:pt idx="3">
                  <c:v>P4</c:v>
                </c:pt>
              </c:strCache>
            </c:strRef>
          </c:cat>
          <c:val>
            <c:numRef>
              <c:f>'Ввод данных'!$G$223:$J$223</c:f>
              <c:numCache>
                <c:formatCode>0%</c:formatCode>
                <c:ptCount val="4"/>
                <c:pt idx="0">
                  <c:v>0.96</c:v>
                </c:pt>
                <c:pt idx="1">
                  <c:v>0.95</c:v>
                </c:pt>
                <c:pt idx="2">
                  <c:v>0.96</c:v>
                </c:pt>
                <c:pt idx="3">
                  <c:v>0.95</c:v>
                </c:pt>
              </c:numCache>
            </c:numRef>
          </c:val>
          <c:extLst xmlns:c16r2="http://schemas.microsoft.com/office/drawing/2015/06/chart">
            <c:ext xmlns:c16="http://schemas.microsoft.com/office/drawing/2014/chart" uri="{C3380CC4-5D6E-409C-BE32-E72D297353CC}">
              <c16:uniqueId val="{00000001-C5F8-4F29-8519-CACFFDA40A9D}"/>
            </c:ext>
          </c:extLst>
        </c:ser>
        <c:dLbls>
          <c:showLegendKey val="0"/>
          <c:showVal val="1"/>
          <c:showCatName val="0"/>
          <c:showSerName val="0"/>
          <c:showPercent val="0"/>
          <c:showBubbleSize val="0"/>
        </c:dLbls>
        <c:gapWidth val="150"/>
        <c:overlap val="-25"/>
        <c:axId val="735804816"/>
        <c:axId val="738504912"/>
      </c:barChart>
      <c:catAx>
        <c:axId val="73580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8504912"/>
        <c:crosses val="autoZero"/>
        <c:auto val="1"/>
        <c:lblAlgn val="ctr"/>
        <c:lblOffset val="100"/>
        <c:noMultiLvlLbl val="0"/>
      </c:catAx>
      <c:valAx>
        <c:axId val="738504912"/>
        <c:scaling>
          <c:orientation val="minMax"/>
        </c:scaling>
        <c:delete val="1"/>
        <c:axPos val="l"/>
        <c:numFmt formatCode="0%" sourceLinked="1"/>
        <c:majorTickMark val="none"/>
        <c:minorTickMark val="none"/>
        <c:tickLblPos val="nextTo"/>
        <c:crossAx val="7358048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2675489.2999999998</c:v>
                </c:pt>
                <c:pt idx="1">
                  <c:v>14534177.495320581</c:v>
                </c:pt>
                <c:pt idx="2">
                  <c:v>20832314.79699133</c:v>
                </c:pt>
                <c:pt idx="3">
                  <c:v>24341578.491344776</c:v>
                </c:pt>
              </c:numCache>
            </c:numRef>
          </c:val>
          <c:extLst xmlns:c16r2="http://schemas.microsoft.com/office/drawing/2015/06/char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9988796</c:v>
                </c:pt>
                <c:pt idx="1">
                  <c:v>16926007</c:v>
                </c:pt>
                <c:pt idx="2">
                  <c:v>20590367</c:v>
                </c:pt>
                <c:pt idx="3">
                  <c:v>24099630</c:v>
                </c:pt>
              </c:numCache>
            </c:numRef>
          </c:val>
          <c:extLst xmlns:c16r2="http://schemas.microsoft.com/office/drawing/2015/06/char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738502192"/>
        <c:axId val="738497840"/>
      </c:areaChart>
      <c:catAx>
        <c:axId val="73850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738497840"/>
        <c:crosses val="autoZero"/>
        <c:auto val="1"/>
        <c:lblAlgn val="ctr"/>
        <c:lblOffset val="100"/>
        <c:tickLblSkip val="8"/>
        <c:tickMarkSkip val="1"/>
        <c:noMultiLvlLbl val="0"/>
      </c:catAx>
      <c:valAx>
        <c:axId val="73849784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73850219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1052;&#1077;&#1085;&#1102;!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xdr:cNvPr>
        <xdr:cNvGrpSpPr>
          <a:grpSpLocks/>
        </xdr:cNvGrpSpPr>
      </xdr:nvGrpSpPr>
      <xdr:grpSpPr bwMode="auto">
        <a:xfrm>
          <a:off x="3260725" y="2398713"/>
          <a:ext cx="1285875" cy="409575"/>
          <a:chOff x="1200" y="1912"/>
          <a:chExt cx="3456" cy="774"/>
        </a:xfrm>
      </xdr:grpSpPr>
      <xdr:sp macro="" textlink="">
        <xdr:nvSpPr>
          <xdr:cNvPr id="393056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xdr:cNvGrpSpPr>
          <a:grpSpLocks/>
        </xdr:cNvGrpSpPr>
      </xdr:nvGrpSpPr>
      <xdr:grpSpPr bwMode="auto">
        <a:xfrm>
          <a:off x="3260725" y="3465513"/>
          <a:ext cx="1314450" cy="371475"/>
          <a:chOff x="1200" y="1912"/>
          <a:chExt cx="3456" cy="774"/>
        </a:xfrm>
      </xdr:grpSpPr>
      <xdr:sp macro="" textlink="">
        <xdr:nvSpPr>
          <xdr:cNvPr id="3930562"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xdr:cNvPr>
        <xdr:cNvGrpSpPr>
          <a:grpSpLocks/>
        </xdr:cNvGrpSpPr>
      </xdr:nvGrpSpPr>
      <xdr:grpSpPr bwMode="auto">
        <a:xfrm>
          <a:off x="3251200" y="2932113"/>
          <a:ext cx="1314450" cy="390525"/>
          <a:chOff x="1200" y="1912"/>
          <a:chExt cx="3456" cy="774"/>
        </a:xfrm>
      </xdr:grpSpPr>
      <xdr:sp macro="" textlink="">
        <xdr:nvSpPr>
          <xdr:cNvPr id="3930559"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xdr:cNvSpPr>
          <a:spLocks noChangeArrowheads="1"/>
        </xdr:cNvSpPr>
      </xdr:nvSpPr>
      <xdr:spPr bwMode="auto">
        <a:xfrm>
          <a:off x="2247900" y="1428750"/>
          <a:ext cx="3362325" cy="238125"/>
        </a:xfrm>
        <a:prstGeom prst="rect">
          <a:avLst/>
        </a:prstGeom>
        <a:noFill/>
        <a:ln>
          <a:noFill/>
        </a:ln>
        <a:extLst/>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xdr:cNvPr>
        <xdr:cNvGrpSpPr>
          <a:grpSpLocks/>
        </xdr:cNvGrpSpPr>
      </xdr:nvGrpSpPr>
      <xdr:grpSpPr bwMode="auto">
        <a:xfrm>
          <a:off x="5708650" y="2579688"/>
          <a:ext cx="1501775" cy="409575"/>
          <a:chOff x="599" y="262"/>
          <a:chExt cx="158" cy="43"/>
        </a:xfrm>
      </xdr:grpSpPr>
      <xdr:sp macro="" textlink="">
        <xdr:nvSpPr>
          <xdr:cNvPr id="3930555"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xdr:cNvGrpSpPr>
          <a:grpSpLocks/>
        </xdr:cNvGrpSpPr>
      </xdr:nvGrpSpPr>
      <xdr:grpSpPr bwMode="auto">
        <a:xfrm>
          <a:off x="327025" y="1903413"/>
          <a:ext cx="2143125" cy="2124075"/>
          <a:chOff x="32" y="188"/>
          <a:chExt cx="225" cy="225"/>
        </a:xfrm>
      </xdr:grpSpPr>
      <xdr:sp macro="" textlink="">
        <xdr:nvSpPr>
          <xdr:cNvPr id="393055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xdr:cNvGrpSpPr>
          <a:grpSpLocks/>
        </xdr:cNvGrpSpPr>
      </xdr:nvGrpSpPr>
      <xdr:grpSpPr bwMode="auto">
        <a:xfrm>
          <a:off x="5699125" y="3208338"/>
          <a:ext cx="1501775" cy="409575"/>
          <a:chOff x="578" y="328"/>
          <a:chExt cx="158" cy="43"/>
        </a:xfrm>
      </xdr:grpSpPr>
      <xdr:sp macro="" textlink="">
        <xdr:nvSpPr>
          <xdr:cNvPr id="3930549"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xdr:cNvGrpSpPr>
          <a:grpSpLocks/>
        </xdr:cNvGrpSpPr>
      </xdr:nvGrpSpPr>
      <xdr:grpSpPr bwMode="auto">
        <a:xfrm>
          <a:off x="593725" y="3475038"/>
          <a:ext cx="1504950" cy="342900"/>
          <a:chOff x="56" y="259"/>
          <a:chExt cx="158" cy="40"/>
        </a:xfrm>
      </xdr:grpSpPr>
      <xdr:sp macro="" textlink="">
        <xdr:nvSpPr>
          <xdr:cNvPr id="3930545"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xdr:cNvPr>
        <xdr:cNvGrpSpPr>
          <a:grpSpLocks/>
        </xdr:cNvGrpSpPr>
      </xdr:nvGrpSpPr>
      <xdr:grpSpPr bwMode="auto">
        <a:xfrm>
          <a:off x="593725" y="2417763"/>
          <a:ext cx="1504950" cy="371475"/>
          <a:chOff x="1343025" y="2428876"/>
          <a:chExt cx="3240982" cy="617274"/>
        </a:xfrm>
      </xdr:grpSpPr>
      <xdr:sp macro="" textlink="">
        <xdr:nvSpPr>
          <xdr:cNvPr id="3930541"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xdr:cNvPr>
        <xdr:cNvGrpSpPr>
          <a:grpSpLocks/>
        </xdr:cNvGrpSpPr>
      </xdr:nvGrpSpPr>
      <xdr:grpSpPr bwMode="auto">
        <a:xfrm>
          <a:off x="593725" y="2951163"/>
          <a:ext cx="1504950" cy="371475"/>
          <a:chOff x="1343025" y="2428876"/>
          <a:chExt cx="3240982" cy="617274"/>
        </a:xfrm>
      </xdr:grpSpPr>
      <xdr:sp macro="" textlink="">
        <xdr:nvSpPr>
          <xdr:cNvPr id="39305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139211</xdr:colOff>
      <xdr:row>33</xdr:row>
      <xdr:rowOff>21981</xdr:rowOff>
    </xdr:to>
    <xdr:graphicFrame macro="">
      <xdr:nvGraphicFramePr>
        <xdr:cNvPr id="2854334"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xdr:cNvGrpSpPr>
          <a:grpSpLocks/>
        </xdr:cNvGrpSpPr>
      </xdr:nvGrpSpPr>
      <xdr:grpSpPr bwMode="auto">
        <a:xfrm>
          <a:off x="4776177" y="4362451"/>
          <a:ext cx="3408973" cy="162658"/>
          <a:chOff x="0" y="0"/>
          <a:chExt cx="37352" cy="2842"/>
        </a:xfrm>
      </xdr:grpSpPr>
      <xdr:sp macro="" textlink="">
        <xdr:nvSpPr>
          <xdr:cNvPr id="2854337" name="Rectangle 1"/>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18</xdr:row>
      <xdr:rowOff>1000125</xdr:rowOff>
    </xdr:from>
    <xdr:to>
      <xdr:col>12</xdr:col>
      <xdr:colOff>933450</xdr:colOff>
      <xdr:row>26</xdr:row>
      <xdr:rowOff>57151</xdr:rowOff>
    </xdr:to>
    <xdr:graphicFrame macro="">
      <xdr:nvGraphicFramePr>
        <xdr:cNvPr id="287084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29</xdr:row>
      <xdr:rowOff>9525</xdr:rowOff>
    </xdr:from>
    <xdr:to>
      <xdr:col>5</xdr:col>
      <xdr:colOff>1123951</xdr:colOff>
      <xdr:row>52</xdr:row>
      <xdr:rowOff>85725</xdr:rowOff>
    </xdr:to>
    <xdr:graphicFrame macro="">
      <xdr:nvGraphicFramePr>
        <xdr:cNvPr id="287084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3"/>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212912</xdr:colOff>
      <xdr:row>9</xdr:row>
      <xdr:rowOff>0</xdr:rowOff>
    </xdr:from>
    <xdr:to>
      <xdr:col>4</xdr:col>
      <xdr:colOff>504265</xdr:colOff>
      <xdr:row>19</xdr:row>
      <xdr:rowOff>69971</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509869</xdr:colOff>
      <xdr:row>9</xdr:row>
      <xdr:rowOff>7325</xdr:rowOff>
    </xdr:from>
    <xdr:to>
      <xdr:col>11</xdr:col>
      <xdr:colOff>278869</xdr:colOff>
      <xdr:row>19</xdr:row>
      <xdr:rowOff>77296</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284951</xdr:colOff>
      <xdr:row>9</xdr:row>
      <xdr:rowOff>11207</xdr:rowOff>
    </xdr:from>
    <xdr:to>
      <xdr:col>16</xdr:col>
      <xdr:colOff>1546412</xdr:colOff>
      <xdr:row>20</xdr:row>
      <xdr:rowOff>2737</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22411</xdr:colOff>
      <xdr:row>42</xdr:row>
      <xdr:rowOff>11206</xdr:rowOff>
    </xdr:from>
    <xdr:to>
      <xdr:col>4</xdr:col>
      <xdr:colOff>504265</xdr:colOff>
      <xdr:row>52</xdr:row>
      <xdr:rowOff>67236</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515471</xdr:colOff>
      <xdr:row>42</xdr:row>
      <xdr:rowOff>11206</xdr:rowOff>
    </xdr:from>
    <xdr:to>
      <xdr:col>11</xdr:col>
      <xdr:colOff>11207</xdr:colOff>
      <xdr:row>53</xdr:row>
      <xdr:rowOff>11207</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8804</xdr:colOff>
      <xdr:row>42</xdr:row>
      <xdr:rowOff>12989</xdr:rowOff>
    </xdr:from>
    <xdr:to>
      <xdr:col>17</xdr:col>
      <xdr:colOff>0</xdr:colOff>
      <xdr:row>53</xdr:row>
      <xdr:rowOff>11206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xdr:cNvGrpSpPr>
          <a:grpSpLocks/>
        </xdr:cNvGrpSpPr>
      </xdr:nvGrpSpPr>
      <xdr:grpSpPr bwMode="auto">
        <a:xfrm>
          <a:off x="5556250" y="5577417"/>
          <a:ext cx="85725" cy="0"/>
          <a:chOff x="595" y="540"/>
          <a:chExt cx="9" cy="9"/>
        </a:xfrm>
      </xdr:grpSpPr>
      <xdr:sp macro="" textlink="">
        <xdr:nvSpPr>
          <xdr:cNvPr id="343514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xdr:cNvGrpSpPr>
          <a:grpSpLocks/>
        </xdr:cNvGrpSpPr>
      </xdr:nvGrpSpPr>
      <xdr:grpSpPr bwMode="auto">
        <a:xfrm>
          <a:off x="6537325" y="5577417"/>
          <a:ext cx="86783" cy="0"/>
          <a:chOff x="698" y="540"/>
          <a:chExt cx="9" cy="9"/>
        </a:xfrm>
      </xdr:grpSpPr>
      <xdr:sp macro="" textlink="">
        <xdr:nvSpPr>
          <xdr:cNvPr id="343514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xdr:cNvGrpSpPr>
          <a:grpSpLocks/>
        </xdr:cNvGrpSpPr>
      </xdr:nvGrpSpPr>
      <xdr:grpSpPr bwMode="auto">
        <a:xfrm>
          <a:off x="5183717" y="5577417"/>
          <a:ext cx="86783" cy="0"/>
          <a:chOff x="698" y="540"/>
          <a:chExt cx="9" cy="9"/>
        </a:xfrm>
      </xdr:grpSpPr>
      <xdr:sp macro="" textlink="">
        <xdr:nvSpPr>
          <xdr:cNvPr id="3435142"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xdr:cNvGrpSpPr>
          <a:grpSpLocks/>
        </xdr:cNvGrpSpPr>
      </xdr:nvGrpSpPr>
      <xdr:grpSpPr bwMode="auto">
        <a:xfrm>
          <a:off x="1439333" y="5577417"/>
          <a:ext cx="85725" cy="0"/>
          <a:chOff x="595" y="540"/>
          <a:chExt cx="9" cy="9"/>
        </a:xfrm>
      </xdr:grpSpPr>
      <xdr:sp macro="" textlink="">
        <xdr:nvSpPr>
          <xdr:cNvPr id="3435140"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hboard-P1-%20TB_HIV%20(3-4%20&#1082;&#1074;.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M/Dashboard/HIV/2017/CCM_Generic_Dashboard_ru_HIV_Jan_June_2017_draft%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 val="Лист1"/>
    </sheetNames>
    <sheetDataSet>
      <sheetData sheetId="0"/>
      <sheetData sheetId="1"/>
      <sheetData sheetId="2">
        <row r="80">
          <cell r="E80" t="str">
            <v>Невыполненные и просроченные</v>
          </cell>
        </row>
        <row r="81">
          <cell r="B81">
            <v>0</v>
          </cell>
          <cell r="E81">
            <v>0</v>
          </cell>
        </row>
        <row r="82">
          <cell r="B82">
            <v>0</v>
          </cell>
          <cell r="E82">
            <v>0</v>
          </cell>
        </row>
        <row r="83">
          <cell r="B83">
            <v>0</v>
          </cell>
          <cell r="E83">
            <v>0</v>
          </cell>
        </row>
        <row r="84">
          <cell r="B84">
            <v>0</v>
          </cell>
          <cell r="E84">
            <v>0</v>
          </cell>
        </row>
        <row r="89">
          <cell r="A89" t="str">
            <v>Отдел управления проектом</v>
          </cell>
          <cell r="B89" t="str">
            <v>Запланировано</v>
          </cell>
          <cell r="C89" t="str">
            <v>Заполнено</v>
          </cell>
          <cell r="D89" t="str">
            <v>Вакантно</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SingleCells1.xml><?xml version="1.0" encoding="utf-8"?>
<singleXmlCells xmlns="http://schemas.openxmlformats.org/spreadsheetml/2006/main">
  <singleXmlCell id="419" r="B4" connectionId="0">
    <xmlCellPr id="1" uniqueName="1">
      <xmlPr mapId="43" xpath="/ns1:Root/ns1:Country" xmlDataType="string"/>
    </xmlCellPr>
  </singleXmlCell>
  <singleXmlCell id="420" r="B6" connectionId="0">
    <xmlCellPr id="1" uniqueName="1">
      <xmlPr mapId="43" xpath="/ns1:Root/ns1:GrantNumber" xmlDataType="string"/>
    </xmlCellPr>
  </singleXmlCell>
  <singleXmlCell id="421" r="B8" connectionId="0">
    <xmlCellPr id="1" uniqueName="1">
      <xmlPr mapId="43" xpath="/ns1:Root/ns1:PR" xmlDataType="string"/>
    </xmlCellPr>
  </singleXmlCell>
  <singleXmlCell id="422" r="B10" connectionId="0">
    <xmlCellPr id="1" uniqueName="1">
      <xmlPr mapId="43" xpath="/ns1:Root/ns1:StartDate" xmlDataType="dateTime"/>
    </xmlCellPr>
  </singleXmlCell>
  <singleXmlCell id="423" r="B12" connectionId="0">
    <xmlCellPr id="1" uniqueName="1">
      <xmlPr mapId="43" xpath="/ns1:Root/ns1:LatestRating" xmlDataType="string"/>
    </xmlCellPr>
  </singleXmlCell>
  <singleXmlCell id="424" r="F4" connectionId="0">
    <xmlCellPr id="1" uniqueName="1">
      <xmlPr mapId="43" xpath="/ns1:Root/ns1:GranTitle" xmlDataType="string"/>
    </xmlCellPr>
  </singleXmlCell>
  <singleXmlCell id="425" r="F6" connectionId="0">
    <xmlCellPr id="1" uniqueName="1">
      <xmlPr mapId="43" xpath="/ns1:Root/ns1:Componenent" xmlDataType="string"/>
    </xmlCellPr>
  </singleXmlCell>
  <singleXmlCell id="426" r="H6" connectionId="0">
    <xmlCellPr id="1" uniqueName="1">
      <xmlPr mapId="43" xpath="/ns1:Root/ns1:TotalFunding" xmlDataType="double"/>
    </xmlCellPr>
  </singleXmlCell>
  <singleXmlCell id="427" r="F8" connectionId="0">
    <xmlCellPr id="1" uniqueName="1">
      <xmlPr mapId="43" xpath="/ns1:Root/ns1:Round" xmlDataType="string"/>
    </xmlCellPr>
  </singleXmlCell>
  <singleXmlCell id="428" r="H8" connectionId="0">
    <xmlCellPr id="1" uniqueName="1">
      <xmlPr mapId="43" xpath="/ns1:Root/ns1:Phase" xmlDataType="string"/>
    </xmlCellPr>
  </singleXmlCell>
  <singleXmlCell id="429" r="F10" connectionId="0">
    <xmlCellPr id="1" uniqueName="1">
      <xmlPr mapId="43" xpath="/ns1:Root/ns1:LFA" xmlDataType="string"/>
    </xmlCellPr>
  </singleXmlCell>
  <singleXmlCell id="430" r="F12" connectionId="0">
    <xmlCellPr id="1" uniqueName="1">
      <xmlPr mapId="43" xpath="/ns1:Root/ns1:FPM" xmlDataType="string"/>
    </xmlCellPr>
  </singleXmlCell>
  <singleXmlCell id="431" r="B16" connectionId="0">
    <xmlCellPr id="1" uniqueName="1">
      <xmlPr mapId="43" xpath="/ns1:Root/ns1:Period" xmlDataType="string"/>
    </xmlCellPr>
  </singleXmlCell>
  <singleXmlCell id="432" r="D16" connectionId="0">
    <xmlCellPr id="1" uniqueName="1">
      <xmlPr mapId="43" xpath="/ns1:Root/ns1:From" xmlDataType="dateTime"/>
    </xmlCellPr>
  </singleXmlCell>
  <singleXmlCell id="433" r="F16" connectionId="0">
    <xmlCellPr id="1" uniqueName="1">
      <xmlPr mapId="43" xpath="/ns1:Root/ns1:To" xmlDataType="dateTime"/>
    </xmlCellPr>
  </singleXmlCell>
  <singleXmlCell id="434" r="I16" connectionId="0">
    <xmlCellPr id="1" uniqueName="1">
      <xmlPr mapId="43" xpath="/ns1:Root/ns1:DataEntryDate" xmlDataType="dateTime"/>
    </xmlCellPr>
  </singleXmlCell>
  <singleXmlCell id="435" r="C18" connectionId="0">
    <xmlCellPr id="1" uniqueName="1">
      <xmlPr mapId="43" xpath="/ns1:Root/ns1:PreparedBy" xmlDataType="string"/>
    </xmlCellPr>
  </singleXmlCell>
  <singleXmlCell id="436" r="B31" connectionId="0">
    <xmlCellPr id="1" uniqueName="1">
      <xmlPr mapId="43" xpath="/ns1:Root/ns1:F1/ns1:Budget__in____P1" xmlDataType="double"/>
    </xmlCellPr>
  </singleXmlCell>
  <singleXmlCell id="437" r="C31" connectionId="0">
    <xmlCellPr id="1" uniqueName="1">
      <xmlPr mapId="43" xpath="/ns1:Root/ns1:F1/ns1:Budget__in____P2" xmlDataType="double"/>
    </xmlCellPr>
  </singleXmlCell>
  <singleXmlCell id="438" r="D31" connectionId="0">
    <xmlCellPr id="1" uniqueName="1">
      <xmlPr mapId="43" xpath="/ns1:Root/ns1:F1/ns1:Budget__in____P3" xmlDataType="string"/>
    </xmlCellPr>
  </singleXmlCell>
  <singleXmlCell id="439" r="E31" connectionId="0">
    <xmlCellPr id="1" uniqueName="1">
      <xmlPr mapId="43" xpath="/ns1:Root/ns1:F1/ns1:Budget__in____P4" xmlDataType="string"/>
    </xmlCellPr>
  </singleXmlCell>
  <singleXmlCell id="440" r="F31" connectionId="0">
    <xmlCellPr id="1" uniqueName="1">
      <xmlPr mapId="43" xpath="/ns1:Root/ns1:F1/ns1:Budget__in____P5" xmlDataType="string"/>
    </xmlCellPr>
  </singleXmlCell>
  <singleXmlCell id="441" r="G31" connectionId="0">
    <xmlCellPr id="1" uniqueName="1">
      <xmlPr mapId="43" xpath="/ns1:Root/ns1:F1/ns1:Budget__in____P6" xmlDataType="string"/>
    </xmlCellPr>
  </singleXmlCell>
  <singleXmlCell id="442" r="H31" connectionId="0">
    <xmlCellPr id="1" uniqueName="1">
      <xmlPr mapId="43" xpath="/ns1:Root/ns1:F1/ns1:Budget__in____P7" xmlDataType="string"/>
    </xmlCellPr>
  </singleXmlCell>
  <singleXmlCell id="443" r="I31" connectionId="0">
    <xmlCellPr id="1" uniqueName="1">
      <xmlPr mapId="43" xpath="/ns1:Root/ns1:F1/ns1:Budget__in____P8" xmlDataType="string"/>
    </xmlCellPr>
  </singleXmlCell>
  <singleXmlCell id="444" r="J31" connectionId="0">
    <xmlCellPr id="1" uniqueName="1">
      <xmlPr mapId="43" xpath="/ns1:Root/ns1:F1/ns1:Budget__in____P9" xmlDataType="string"/>
    </xmlCellPr>
  </singleXmlCell>
  <singleXmlCell id="445" r="K31" connectionId="0">
    <xmlCellPr id="1" uniqueName="1">
      <xmlPr mapId="43" xpath="/ns1:Root/ns1:F1/ns1:Budget__in____P10" xmlDataType="string"/>
    </xmlCellPr>
  </singleXmlCell>
  <singleXmlCell id="446" r="L31" connectionId="0">
    <xmlCellPr id="1" uniqueName="1">
      <xmlPr mapId="43" xpath="/ns1:Root/ns1:F1/ns1:Budget__in____P11" xmlDataType="string"/>
    </xmlCellPr>
  </singleXmlCell>
  <singleXmlCell id="447" r="M31" connectionId="0">
    <xmlCellPr id="1" uniqueName="1">
      <xmlPr mapId="43" xpath="/ns1:Root/ns1:F1/ns1:Budget__in____P12" xmlDataType="string"/>
    </xmlCellPr>
  </singleXmlCell>
  <singleXmlCell id="448" r="B32" connectionId="0">
    <xmlCellPr id="1" uniqueName="1">
      <xmlPr mapId="43" xpath="/ns1:Root/ns1:F1/ns1:Disbursements_by_GF__in____P1" xmlDataType="double"/>
    </xmlCellPr>
  </singleXmlCell>
  <singleXmlCell id="449" r="C32" connectionId="0">
    <xmlCellPr id="1" uniqueName="1">
      <xmlPr mapId="43" xpath="/ns1:Root/ns1:F1/ns1:Disbursements_by_GF__in____P2" xmlDataType="double"/>
    </xmlCellPr>
  </singleXmlCell>
  <singleXmlCell id="450" r="D32" connectionId="0">
    <xmlCellPr id="1" uniqueName="1">
      <xmlPr mapId="43" xpath="/ns1:Root/ns1:F1/ns1:Disbursements_by_GF__in____P3" xmlDataType="string"/>
    </xmlCellPr>
  </singleXmlCell>
  <singleXmlCell id="451" r="E32" connectionId="0">
    <xmlCellPr id="1" uniqueName="1">
      <xmlPr mapId="43" xpath="/ns1:Root/ns1:F1/ns1:Disbursements_by_GF__in____P4" xmlDataType="string"/>
    </xmlCellPr>
  </singleXmlCell>
  <singleXmlCell id="452" r="F32" connectionId="0">
    <xmlCellPr id="1" uniqueName="1">
      <xmlPr mapId="43" xpath="/ns1:Root/ns1:F1/ns1:Disbursements_by_GF__in____P5" xmlDataType="string"/>
    </xmlCellPr>
  </singleXmlCell>
  <singleXmlCell id="453" r="G32" connectionId="0">
    <xmlCellPr id="1" uniqueName="1">
      <xmlPr mapId="43" xpath="/ns1:Root/ns1:F1/ns1:Disbursements_by_GF__in____P6" xmlDataType="string"/>
    </xmlCellPr>
  </singleXmlCell>
  <singleXmlCell id="454" r="H32" connectionId="0">
    <xmlCellPr id="1" uniqueName="1">
      <xmlPr mapId="43" xpath="/ns1:Root/ns1:F1/ns1:Disbursements_by_GF__in____P7" xmlDataType="string"/>
    </xmlCellPr>
  </singleXmlCell>
  <singleXmlCell id="455" r="I32" connectionId="0">
    <xmlCellPr id="1" uniqueName="1">
      <xmlPr mapId="43" xpath="/ns1:Root/ns1:F1/ns1:Disbursements_by_GF__in____P8" xmlDataType="string"/>
    </xmlCellPr>
  </singleXmlCell>
  <singleXmlCell id="456" r="J32" connectionId="0">
    <xmlCellPr id="1" uniqueName="1">
      <xmlPr mapId="43" xpath="/ns1:Root/ns1:F1/ns1:Disbursements_by_GF__in____P9" xmlDataType="string"/>
    </xmlCellPr>
  </singleXmlCell>
  <singleXmlCell id="457" r="K32" connectionId="0">
    <xmlCellPr id="1" uniqueName="1">
      <xmlPr mapId="43" xpath="/ns1:Root/ns1:F1/ns1:Disbursements_by_GF__in____P10" xmlDataType="string"/>
    </xmlCellPr>
  </singleXmlCell>
  <singleXmlCell id="458" r="L32" connectionId="0">
    <xmlCellPr id="1" uniqueName="1">
      <xmlPr mapId="43" xpath="/ns1:Root/ns1:F1/ns1:Disbursements_by_GF__in____P11" xmlDataType="string"/>
    </xmlCellPr>
  </singleXmlCell>
  <singleXmlCell id="459" r="M32" connectionId="0">
    <xmlCellPr id="1" uniqueName="1">
      <xmlPr mapId="43" xpath="/ns1:Root/ns1:F1/ns1:Disbursements_by_GF__in____P12" xmlDataType="string"/>
    </xmlCellPr>
  </singleXmlCell>
  <singleXmlCell id="460" r="B39" connectionId="0">
    <xmlCellPr id="1" uniqueName="1">
      <xmlPr mapId="43" xpath="/ns1:Root/ns1:F2/ns1:TB__detect_and_treat_Cumulative_Budget__in___" xmlDataType="double"/>
    </xmlCellPr>
  </singleXmlCell>
  <singleXmlCell id="461" r="C39" connectionId="0">
    <xmlCellPr id="1" uniqueName="1">
      <xmlPr mapId="43" xpath="/ns1:Root/ns1:F2/ns1:TB__detect_and_treat_Cumulative_Expenditures__in___" xmlDataType="double"/>
    </xmlCellPr>
  </singleXmlCell>
  <singleXmlCell id="462" r="B54" connectionId="0">
    <xmlCellPr id="1" uniqueName="1">
      <xmlPr mapId="43" xpath="/ns1:Root/ns1:F2/ns1:TB__ID_cases_Cumulative_Budget__in___" xmlDataType="double"/>
    </xmlCellPr>
  </singleXmlCell>
  <singleXmlCell id="463" r="C54" connectionId="0">
    <xmlCellPr id="1" uniqueName="1">
      <xmlPr mapId="43" xpath="/ns1:Root/ns1:F2/ns1:TB__ID_cases_Cumulative_Expenditures__in___" xmlDataType="double"/>
    </xmlCellPr>
  </singleXmlCell>
  <singleXmlCell id="464" r="B55" connectionId="0">
    <xmlCellPr id="1" uniqueName="1">
      <xmlPr mapId="43" xpath="/ns1:Root/ns1:F2/ns1:TB_HIV__Cumulative_Budget__in___" xmlDataType="double"/>
    </xmlCellPr>
  </singleXmlCell>
  <singleXmlCell id="465" r="C55" connectionId="0">
    <xmlCellPr id="1" uniqueName="1">
      <xmlPr mapId="43" xpath="/ns1:Root/ns1:F2/ns1:TB_HIV__Cumulative_Expenditures__in___" xmlDataType="double"/>
    </xmlCellPr>
  </singleXmlCell>
  <singleXmlCell id="476" r="B61" connectionId="0">
    <xmlCellPr id="1" uniqueName="1">
      <xmlPr mapId="43" xpath="/ns1:Root/ns1:F3/ns1:Disbursed_by_Global_Fund_Prior_to_reporting_period__in___" xmlDataType="double"/>
    </xmlCellPr>
  </singleXmlCell>
  <singleXmlCell id="477" r="C61" connectionId="0">
    <xmlCellPr id="1" uniqueName="1">
      <xmlPr mapId="43" xpath="/ns1:Root/ns1:F3/ns1:Disbursed_by_Global_Fund_Reporting_period__in___" xmlDataType="double"/>
    </xmlCellPr>
  </singleXmlCell>
  <singleXmlCell id="478" r="B62" connectionId="0">
    <xmlCellPr id="1" uniqueName="1">
      <xmlPr mapId="43" xpath="/ns1:Root/ns1:F3/ns1:PR_expenditure_and_disbursement_Prior_to_reporting_period__in___" xmlDataType="double"/>
    </xmlCellPr>
  </singleXmlCell>
  <singleXmlCell id="479" r="C62" connectionId="0">
    <xmlCellPr id="1" uniqueName="1">
      <xmlPr mapId="43" xpath="/ns1:Root/ns1:F3/ns1:PR_expenditure_and_disbursement_Reporting_period__in___" xmlDataType="double"/>
    </xmlCellPr>
  </singleXmlCell>
  <singleXmlCell id="480" r="B63" connectionId="0">
    <xmlCellPr id="1" uniqueName="1">
      <xmlPr mapId="43" xpath="/ns1:Root/ns1:F3/ns1:Disbursed_to_SRs_Prior_to_reporting_period__in___" xmlDataType="double"/>
    </xmlCellPr>
  </singleXmlCell>
  <singleXmlCell id="481" r="C63" connectionId="0">
    <xmlCellPr id="1" uniqueName="1">
      <xmlPr mapId="43" xpath="/ns1:Root/ns1:F3/ns1:Disbursed_to_SRs_Reporting_period__in___" xmlDataType="double"/>
    </xmlCellPr>
  </singleXmlCell>
  <singleXmlCell id="482" r="B64" connectionId="0">
    <xmlCellPr id="1" uniqueName="1">
      <xmlPr mapId="43" xpath="/ns1:Root/ns1:F3/ns1:SR_expenditures_Prior_to_reporting_period__in___" xmlDataType="double"/>
    </xmlCellPr>
  </singleXmlCell>
  <singleXmlCell id="483" r="C64" connectionId="0">
    <xmlCellPr id="1" uniqueName="1">
      <xmlPr mapId="43" xpath="/ns1:Root/ns1:F3/ns1:SR_expenditures_Reporting_period__in___" xmlDataType="double"/>
    </xmlCellPr>
  </singleXmlCell>
  <singleXmlCell id="484" r="C71" connectionId="0">
    <xmlCellPr id="1" uniqueName="1">
      <xmlPr mapId="43" xpath="/ns1:Root/ns1:F4/ns1:Days_taken_to_submit_acceptable_PU_DR_to_LFA_Expected__days_" xmlDataType="double"/>
    </xmlCellPr>
  </singleXmlCell>
  <singleXmlCell id="485" r="D71" connectionId="0">
    <xmlCellPr id="1" uniqueName="1">
      <xmlPr mapId="43" xpath="/ns1:Root/ns1:F4/ns1:Days_taken_to_submit_acceptable_PU_DR_to_LFA_Actual__days_" xmlDataType="double"/>
    </xmlCellPr>
  </singleXmlCell>
  <singleXmlCell id="486" r="C72" connectionId="0">
    <xmlCellPr id="1" uniqueName="1">
      <xmlPr mapId="43" xpath="/ns1:Root/ns1:F4/ns1:Days_taken_for_disbursement_to_reach_PR_Expected__days_" xmlDataType="double"/>
    </xmlCellPr>
  </singleXmlCell>
  <singleXmlCell id="487" r="D72" connectionId="0">
    <xmlCellPr id="1" uniqueName="1">
      <xmlPr mapId="43" xpath="/ns1:Root/ns1:F4/ns1:Days_taken_for_disbursement_to_reach_PR_Actual__days_" xmlDataType="double"/>
    </xmlCellPr>
  </singleXmlCell>
  <singleXmlCell id="488" r="C73" connectionId="0">
    <xmlCellPr id="1" uniqueName="1">
      <xmlPr mapId="43" xpath="/ns1:Root/ns1:F4/ns1:Days_taken_for_disbursement_to_reach_SRs__Expected__days_" xmlDataType="double"/>
    </xmlCellPr>
  </singleXmlCell>
  <singleXmlCell id="489" r="D73" connectionId="0">
    <xmlCellPr id="1" uniqueName="1">
      <xmlPr mapId="43" xpath="/ns1:Root/ns1:F4/ns1:Days_taken_for_disbursement_to_reach_SRs__Actual__days_" xmlDataType="double"/>
    </xmlCellPr>
  </singleXmlCell>
  <singleXmlCell id="498" r="B91" connectionId="0">
    <xmlCellPr id="1" uniqueName="1">
      <xmlPr mapId="43" xpath="/ns1:Root/ns1:M2/ns1:PMU_Planned" xmlDataType="double"/>
    </xmlCellPr>
  </singleXmlCell>
  <singleXmlCell id="499" r="C91" connectionId="0">
    <xmlCellPr id="1" uniqueName="1">
      <xmlPr mapId="43" xpath="/ns1:Root/ns1:M2/ns1:PMU_Filled" xmlDataType="double"/>
    </xmlCellPr>
  </singleXmlCell>
  <singleXmlCell id="500" r="B97" connectionId="0">
    <xmlCellPr id="1" uniqueName="1">
      <xmlPr mapId="43" xpath="/ns1:Root/ns1:M3/ns1:SRs_Identified" xmlDataType="double"/>
    </xmlCellPr>
  </singleXmlCell>
  <singleXmlCell id="501" r="C97" connectionId="0">
    <xmlCellPr id="1" uniqueName="1">
      <xmlPr mapId="43" xpath="/ns1:Root/ns1:M3/ns1:SRs_Assessed" xmlDataType="double"/>
    </xmlCellPr>
  </singleXmlCell>
  <singleXmlCell id="502" r="D97" connectionId="0">
    <xmlCellPr id="1" uniqueName="1">
      <xmlPr mapId="43" xpath="/ns1:Root/ns1:M3/ns1:SRs_Approved" xmlDataType="double"/>
    </xmlCellPr>
  </singleXmlCell>
  <singleXmlCell id="503" r="E97" connectionId="0">
    <xmlCellPr id="1" uniqueName="1">
      <xmlPr mapId="43" xpath="/ns1:Root/ns1:M3/ns1:SRs_Signed" xmlDataType="double"/>
    </xmlCellPr>
  </singleXmlCell>
  <singleXmlCell id="504" r="F97" connectionId="0">
    <xmlCellPr id="1" uniqueName="1">
      <xmlPr mapId="43" xpath="/ns1:Root/ns1:M3/ns1:SRs_Receiving_Funding" xmlDataType="double"/>
    </xmlCellPr>
  </singleXmlCell>
  <singleXmlCell id="506" r="B104" connectionId="0">
    <xmlCellPr id="1" uniqueName="1">
      <xmlPr mapId="43" xpath="/ns1:Root/ns1:M4/ns1:SSR_to_SR__IR_____Expected" xmlDataType="string"/>
    </xmlCellPr>
  </singleXmlCell>
  <singleXmlCell id="507" r="C104" connectionId="0">
    <xmlCellPr id="1" uniqueName="1">
      <xmlPr mapId="43" xpath="/ns1:Root/ns1:M4/ns1:SSR_to_SR__IR____Received" xmlDataType="string"/>
    </xmlCellPr>
  </singleXmlCell>
  <singleXmlCell id="509" r="B105" connectionId="0">
    <xmlCellPr id="1" uniqueName="1">
      <xmlPr mapId="43" xpath="/ns1:Root/ns1:M4/ns1:SRs__IRs__to_PR____Expected" xmlDataType="double"/>
    </xmlCellPr>
  </singleXmlCell>
  <singleXmlCell id="510" r="C105" connectionId="0">
    <xmlCellPr id="1" uniqueName="1">
      <xmlPr mapId="43" xpath="/ns1:Root/ns1:M4/ns1:SRs__IRs__to_PR___Received" xmlDataType="double"/>
    </xmlCellPr>
  </singleXmlCell>
  <singleXmlCell id="511" r="B110" connectionId="0">
    <xmlCellPr id="1" uniqueName="1">
      <xmlPr mapId="43" xpath="/ns1:Root/ns1:M5/ns1:Budget_Approved__P1" xmlDataType="double"/>
    </xmlCellPr>
  </singleXmlCell>
  <singleXmlCell id="512" r="C110" connectionId="0">
    <xmlCellPr id="1" uniqueName="1">
      <xmlPr mapId="43" xpath="/ns1:Root/ns1:M5/ns1:Budget_Approved__P2" xmlDataType="double"/>
    </xmlCellPr>
  </singleXmlCell>
  <singleXmlCell id="513" r="D110" connectionId="0">
    <xmlCellPr id="1" uniqueName="1">
      <xmlPr mapId="43" xpath="/ns1:Root/ns1:M5/ns1:Budget_Approved__P3" xmlDataType="double"/>
    </xmlCellPr>
  </singleXmlCell>
  <singleXmlCell id="514" r="E110" connectionId="0">
    <xmlCellPr id="1" uniqueName="1">
      <xmlPr mapId="43" xpath="/ns1:Root/ns1:M5/ns1:Budget_Approved__P4" xmlDataType="double"/>
    </xmlCellPr>
  </singleXmlCell>
  <singleXmlCell id="515" r="F110" connectionId="0">
    <xmlCellPr id="1" uniqueName="1">
      <xmlPr mapId="43" xpath="/ns1:Root/ns1:M5/ns1:Budget_Approved__P5" xmlDataType="double"/>
    </xmlCellPr>
  </singleXmlCell>
  <singleXmlCell id="516" r="G110" connectionId="0">
    <xmlCellPr id="1" uniqueName="1">
      <xmlPr mapId="43" xpath="/ns1:Root/ns1:M5/ns1:Budget_Approved__P6" xmlDataType="double"/>
    </xmlCellPr>
  </singleXmlCell>
  <singleXmlCell id="517" r="H110" connectionId="0">
    <xmlCellPr id="1" uniqueName="1">
      <xmlPr mapId="43" xpath="/ns1:Root/ns1:M5/ns1:Budget_Approved__P7" xmlDataType="double"/>
    </xmlCellPr>
  </singleXmlCell>
  <singleXmlCell id="518" r="I110" connectionId="0">
    <xmlCellPr id="1" uniqueName="1">
      <xmlPr mapId="43" xpath="/ns1:Root/ns1:M5/ns1:Budget_Approved__P8" xmlDataType="double"/>
    </xmlCellPr>
  </singleXmlCell>
  <singleXmlCell id="519" r="J110" connectionId="0">
    <xmlCellPr id="1" uniqueName="1">
      <xmlPr mapId="43" xpath="/ns1:Root/ns1:M5/ns1:Budget_Approved__P9" xmlDataType="double"/>
    </xmlCellPr>
  </singleXmlCell>
  <singleXmlCell id="520" r="K110" connectionId="0">
    <xmlCellPr id="1" uniqueName="1">
      <xmlPr mapId="43" xpath="/ns1:Root/ns1:M5/ns1:Budget_Approved__P10" xmlDataType="double"/>
    </xmlCellPr>
  </singleXmlCell>
  <singleXmlCell id="521" r="L110" connectionId="0">
    <xmlCellPr id="1" uniqueName="1">
      <xmlPr mapId="43" xpath="/ns1:Root/ns1:M5/ns1:Budget_Approved__P11" xmlDataType="double"/>
    </xmlCellPr>
  </singleXmlCell>
  <singleXmlCell id="522" r="M110" connectionId="0">
    <xmlCellPr id="1" uniqueName="1">
      <xmlPr mapId="43" xpath="/ns1:Root/ns1:M5/ns1:Budget_Approved__P12" xmlDataType="double"/>
    </xmlCellPr>
  </singleXmlCell>
  <singleXmlCell id="523" r="B111" connectionId="0">
    <xmlCellPr id="1" uniqueName="1">
      <xmlPr mapId="43" xpath="/ns1:Root/ns1:M5/ns1:Obligations_P1" xmlDataType="double"/>
    </xmlCellPr>
  </singleXmlCell>
  <singleXmlCell id="524" r="C111" connectionId="0">
    <xmlCellPr id="1" uniqueName="1">
      <xmlPr mapId="43" xpath="/ns1:Root/ns1:M5/ns1:Obligations_P2" xmlDataType="double"/>
    </xmlCellPr>
  </singleXmlCell>
  <singleXmlCell id="525" r="D111" connectionId="0">
    <xmlCellPr id="1" uniqueName="1">
      <xmlPr mapId="43" xpath="/ns1:Root/ns1:M5/ns1:Obligations_P3" xmlDataType="double"/>
    </xmlCellPr>
  </singleXmlCell>
  <singleXmlCell id="526" r="E111" connectionId="0">
    <xmlCellPr id="1" uniqueName="1">
      <xmlPr mapId="43" xpath="/ns1:Root/ns1:M5/ns1:Obligations_P4" xmlDataType="double"/>
    </xmlCellPr>
  </singleXmlCell>
  <singleXmlCell id="527" r="F111" connectionId="0">
    <xmlCellPr id="1" uniqueName="1">
      <xmlPr mapId="43" xpath="/ns1:Root/ns1:M5/ns1:Obligations_P5" xmlDataType="double"/>
    </xmlCellPr>
  </singleXmlCell>
  <singleXmlCell id="528" r="G111" connectionId="0">
    <xmlCellPr id="1" uniqueName="1">
      <xmlPr mapId="43" xpath="/ns1:Root/ns1:M5/ns1:Obligations_P6" xmlDataType="double"/>
    </xmlCellPr>
  </singleXmlCell>
  <singleXmlCell id="529" r="H111" connectionId="0">
    <xmlCellPr id="1" uniqueName="1">
      <xmlPr mapId="43" xpath="/ns1:Root/ns1:M5/ns1:Obligations_P7" xmlDataType="double"/>
    </xmlCellPr>
  </singleXmlCell>
  <singleXmlCell id="530" r="I111" connectionId="0">
    <xmlCellPr id="1" uniqueName="1">
      <xmlPr mapId="43" xpath="/ns1:Root/ns1:M5/ns1:Obligations_P8" xmlDataType="double"/>
    </xmlCellPr>
  </singleXmlCell>
  <singleXmlCell id="531" r="J111" connectionId="0">
    <xmlCellPr id="1" uniqueName="1">
      <xmlPr mapId="43" xpath="/ns1:Root/ns1:M5/ns1:Obligations_P9" xmlDataType="double"/>
    </xmlCellPr>
  </singleXmlCell>
  <singleXmlCell id="532" r="K111" connectionId="0">
    <xmlCellPr id="1" uniqueName="1">
      <xmlPr mapId="43" xpath="/ns1:Root/ns1:M5/ns1:Obligations_P10" xmlDataType="double"/>
    </xmlCellPr>
  </singleXmlCell>
  <singleXmlCell id="533" r="L111" connectionId="0">
    <xmlCellPr id="1" uniqueName="1">
      <xmlPr mapId="43" xpath="/ns1:Root/ns1:M5/ns1:Obligations_P11" xmlDataType="double"/>
    </xmlCellPr>
  </singleXmlCell>
  <singleXmlCell id="534" r="M111" connectionId="0">
    <xmlCellPr id="1" uniqueName="1">
      <xmlPr mapId="43" xpath="/ns1:Root/ns1:M5/ns1:Obligations_P12" xmlDataType="double"/>
    </xmlCellPr>
  </singleXmlCell>
  <singleXmlCell id="535" r="B112" connectionId="0">
    <xmlCellPr id="1" uniqueName="1">
      <xmlPr mapId="43" xpath="/ns1:Root/ns1:M5/ns1:Expenditures_P1" xmlDataType="double"/>
    </xmlCellPr>
  </singleXmlCell>
  <singleXmlCell id="536" r="C112" connectionId="0">
    <xmlCellPr id="1" uniqueName="1">
      <xmlPr mapId="43" xpath="/ns1:Root/ns1:M5/ns1:Expenditures_P2" xmlDataType="double"/>
    </xmlCellPr>
  </singleXmlCell>
  <singleXmlCell id="537" r="D112" connectionId="0">
    <xmlCellPr id="1" uniqueName="1">
      <xmlPr mapId="43" xpath="/ns1:Root/ns1:M5/ns1:Expenditures_P3" xmlDataType="double"/>
    </xmlCellPr>
  </singleXmlCell>
  <singleXmlCell id="538" r="E112" connectionId="0">
    <xmlCellPr id="1" uniqueName="1">
      <xmlPr mapId="43" xpath="/ns1:Root/ns1:M5/ns1:Expenditures_P4" xmlDataType="double"/>
    </xmlCellPr>
  </singleXmlCell>
  <singleXmlCell id="539" r="F112" connectionId="0">
    <xmlCellPr id="1" uniqueName="1">
      <xmlPr mapId="43" xpath="/ns1:Root/ns1:M5/ns1:Expenditures_P5" xmlDataType="double"/>
    </xmlCellPr>
  </singleXmlCell>
  <singleXmlCell id="540" r="G112" connectionId="0">
    <xmlCellPr id="1" uniqueName="1">
      <xmlPr mapId="43" xpath="/ns1:Root/ns1:M5/ns1:Expenditures_P6" xmlDataType="double"/>
    </xmlCellPr>
  </singleXmlCell>
  <singleXmlCell id="541" r="H112" connectionId="0">
    <xmlCellPr id="1" uniqueName="1">
      <xmlPr mapId="43" xpath="/ns1:Root/ns1:M5/ns1:Expenditures_P7" xmlDataType="double"/>
    </xmlCellPr>
  </singleXmlCell>
  <singleXmlCell id="542" r="I112" connectionId="0">
    <xmlCellPr id="1" uniqueName="1">
      <xmlPr mapId="43" xpath="/ns1:Root/ns1:M5/ns1:Expenditures_P8" xmlDataType="double"/>
    </xmlCellPr>
  </singleXmlCell>
  <singleXmlCell id="543" r="J112" connectionId="0">
    <xmlCellPr id="1" uniqueName="1">
      <xmlPr mapId="43" xpath="/ns1:Root/ns1:M5/ns1:Expenditures_P9" xmlDataType="double"/>
    </xmlCellPr>
  </singleXmlCell>
  <singleXmlCell id="544" r="K112" connectionId="0">
    <xmlCellPr id="1" uniqueName="1">
      <xmlPr mapId="43" xpath="/ns1:Root/ns1:M5/ns1:Expenditures_P10" xmlDataType="double"/>
    </xmlCellPr>
  </singleXmlCell>
  <singleXmlCell id="545" r="L112" connectionId="0">
    <xmlCellPr id="1" uniqueName="1">
      <xmlPr mapId="43" xpath="/ns1:Root/ns1:M5/ns1:Expenditures_P11" xmlDataType="double"/>
    </xmlCellPr>
  </singleXmlCell>
  <singleXmlCell id="546" r="M112" connectionId="0">
    <xmlCellPr id="1" uniqueName="1">
      <xmlPr mapId="43" xpath="/ns1:Root/ns1:M5/ns1:Expenditures_P12" xmlDataType="double"/>
    </xmlCellPr>
  </singleXmlCell>
  <singleXmlCell id="567" r="G218" connectionId="0">
    <xmlCellPr id="1" uniqueName="1">
      <xmlPr mapId="43" xpath="/ns1:Root/ns1:Prog/ns1:Target_P1_1" xmlDataType="double"/>
    </xmlCellPr>
  </singleXmlCell>
  <singleXmlCell id="568" r="H218" connectionId="0">
    <xmlCellPr id="1" uniqueName="1">
      <xmlPr mapId="43" xpath="/ns1:Root/ns1:Prog/ns1:Target_P2_1" xmlDataType="double"/>
    </xmlCellPr>
  </singleXmlCell>
  <singleXmlCell id="569" r="I218" connectionId="0">
    <xmlCellPr id="1" uniqueName="1">
      <xmlPr mapId="43" xpath="/ns1:Root/ns1:Prog/ns1:Target_P3_1" xmlDataType="double"/>
    </xmlCellPr>
  </singleXmlCell>
  <singleXmlCell id="570" r="J218" connectionId="0">
    <xmlCellPr id="1" uniqueName="1">
      <xmlPr mapId="43" xpath="/ns1:Root/ns1:Prog/ns1:Target_P4_1" xmlDataType="double"/>
    </xmlCellPr>
  </singleXmlCell>
  <singleXmlCell id="571" r="K218" connectionId="0">
    <xmlCellPr id="1" uniqueName="1">
      <xmlPr mapId="43" xpath="/ns1:Root/ns1:Prog/ns1:Target_P5_1" xmlDataType="double"/>
    </xmlCellPr>
  </singleXmlCell>
  <singleXmlCell id="572" r="L218" connectionId="0">
    <xmlCellPr id="1" uniqueName="1">
      <xmlPr mapId="43" xpath="/ns1:Root/ns1:Prog/ns1:Target_P6_1" xmlDataType="double"/>
    </xmlCellPr>
  </singleXmlCell>
  <singleXmlCell id="573" r="M218" connectionId="0">
    <xmlCellPr id="1" uniqueName="1">
      <xmlPr mapId="43" xpath="/ns1:Root/ns1:Prog/ns1:Target_P7_1" xmlDataType="double"/>
    </xmlCellPr>
  </singleXmlCell>
  <singleXmlCell id="574" r="N218" connectionId="0">
    <xmlCellPr id="1" uniqueName="1">
      <xmlPr mapId="43" xpath="/ns1:Root/ns1:Prog/ns1:Target_P8_1" xmlDataType="double"/>
    </xmlCellPr>
  </singleXmlCell>
  <singleXmlCell id="575" r="O218" connectionId="0">
    <xmlCellPr id="1" uniqueName="1">
      <xmlPr mapId="43" xpath="/ns1:Root/ns1:Prog/ns1:Target_P9_1" xmlDataType="double"/>
    </xmlCellPr>
  </singleXmlCell>
  <singleXmlCell id="576" r="P218" connectionId="0">
    <xmlCellPr id="1" uniqueName="1">
      <xmlPr mapId="43" xpath="/ns1:Root/ns1:Prog/ns1:Target_P10_1" xmlDataType="double"/>
    </xmlCellPr>
  </singleXmlCell>
  <singleXmlCell id="577" r="Q218" connectionId="0">
    <xmlCellPr id="1" uniqueName="1">
      <xmlPr mapId="43" xpath="/ns1:Root/ns1:Prog/ns1:Target_P11_1" xmlDataType="double"/>
    </xmlCellPr>
  </singleXmlCell>
  <singleXmlCell id="579" r="G219" connectionId="0">
    <xmlCellPr id="1" uniqueName="1">
      <xmlPr mapId="43" xpath="/ns1:Root/ns1:Prog/ns1:Achieved__P1_1" xmlDataType="double"/>
    </xmlCellPr>
  </singleXmlCell>
  <singleXmlCell id="580" r="H219" connectionId="0">
    <xmlCellPr id="1" uniqueName="1">
      <xmlPr mapId="43" xpath="/ns1:Root/ns1:Prog/ns1:Achieved__P2_1" xmlDataType="double"/>
    </xmlCellPr>
  </singleXmlCell>
  <singleXmlCell id="581" r="I219" connectionId="0">
    <xmlCellPr id="1" uniqueName="1">
      <xmlPr mapId="43" xpath="/ns1:Root/ns1:Prog/ns1:Achieved__P3_1" xmlDataType="double"/>
    </xmlCellPr>
  </singleXmlCell>
  <singleXmlCell id="582" r="J219" connectionId="0">
    <xmlCellPr id="1" uniqueName="1">
      <xmlPr mapId="43" xpath="/ns1:Root/ns1:Prog/ns1:Achieved__P4_1" xmlDataType="double"/>
    </xmlCellPr>
  </singleXmlCell>
  <singleXmlCell id="583" r="K219" connectionId="0">
    <xmlCellPr id="1" uniqueName="1">
      <xmlPr mapId="43" xpath="/ns1:Root/ns1:Prog/ns1:Achieved__P5_1" xmlDataType="string"/>
    </xmlCellPr>
  </singleXmlCell>
  <singleXmlCell id="584" r="L219" connectionId="0">
    <xmlCellPr id="1" uniqueName="1">
      <xmlPr mapId="43" xpath="/ns1:Root/ns1:Prog/ns1:Achieved__P6_1" xmlDataType="string"/>
    </xmlCellPr>
  </singleXmlCell>
  <singleXmlCell id="585" r="M219" connectionId="0">
    <xmlCellPr id="1" uniqueName="1">
      <xmlPr mapId="43" xpath="/ns1:Root/ns1:Prog/ns1:Achieved__P7_1" xmlDataType="string"/>
    </xmlCellPr>
  </singleXmlCell>
  <singleXmlCell id="586" r="N219" connectionId="0">
    <xmlCellPr id="1" uniqueName="1">
      <xmlPr mapId="43" xpath="/ns1:Root/ns1:Prog/ns1:Achieved__P8_1" xmlDataType="string"/>
    </xmlCellPr>
  </singleXmlCell>
  <singleXmlCell id="587" r="O219" connectionId="0">
    <xmlCellPr id="1" uniqueName="1">
      <xmlPr mapId="43" xpath="/ns1:Root/ns1:Prog/ns1:Achieved__P9_1" xmlDataType="string"/>
    </xmlCellPr>
  </singleXmlCell>
  <singleXmlCell id="588" r="P219" connectionId="0">
    <xmlCellPr id="1" uniqueName="1">
      <xmlPr mapId="43" xpath="/ns1:Root/ns1:Prog/ns1:Achieved__P10_1" xmlDataType="string"/>
    </xmlCellPr>
  </singleXmlCell>
  <singleXmlCell id="589" r="Q219" connectionId="0">
    <xmlCellPr id="1" uniqueName="1">
      <xmlPr mapId="43" xpath="/ns1:Root/ns1:Prog/ns1:Achieved__P11_1" xmlDataType="string"/>
    </xmlCellPr>
  </singleXmlCell>
  <singleXmlCell id="591" r="G220" connectionId="0">
    <xmlCellPr id="1" uniqueName="1">
      <xmlPr mapId="43" xpath="/ns1:Root/ns1:Prog/ns1:Target_P1_2" xmlDataType="double"/>
    </xmlCellPr>
  </singleXmlCell>
  <singleXmlCell id="592" r="H220" connectionId="0">
    <xmlCellPr id="1" uniqueName="1">
      <xmlPr mapId="43" xpath="/ns1:Root/ns1:Prog/ns1:Target_P2_2" xmlDataType="double"/>
    </xmlCellPr>
  </singleXmlCell>
  <singleXmlCell id="593" r="I220" connectionId="0">
    <xmlCellPr id="1" uniqueName="1">
      <xmlPr mapId="43" xpath="/ns1:Root/ns1:Prog/ns1:Target_P3_2" xmlDataType="double"/>
    </xmlCellPr>
  </singleXmlCell>
  <singleXmlCell id="594" r="K220" connectionId="0">
    <xmlCellPr id="1" uniqueName="1">
      <xmlPr mapId="43" xpath="/ns1:Root/ns1:Prog/ns1:Target_P5_2" xmlDataType="double"/>
    </xmlCellPr>
  </singleXmlCell>
  <singleXmlCell id="595" r="L220" connectionId="0">
    <xmlCellPr id="1" uniqueName="1">
      <xmlPr mapId="43" xpath="/ns1:Root/ns1:Prog/ns1:Target_P6_2" xmlDataType="double"/>
    </xmlCellPr>
  </singleXmlCell>
  <singleXmlCell id="596" r="M220" connectionId="0">
    <xmlCellPr id="1" uniqueName="1">
      <xmlPr mapId="43" xpath="/ns1:Root/ns1:Prog/ns1:Target_P7_2" xmlDataType="double"/>
    </xmlCellPr>
  </singleXmlCell>
  <singleXmlCell id="597" r="N220" connectionId="0">
    <xmlCellPr id="1" uniqueName="1">
      <xmlPr mapId="43" xpath="/ns1:Root/ns1:Prog/ns1:Target_P8_2" xmlDataType="double"/>
    </xmlCellPr>
  </singleXmlCell>
  <singleXmlCell id="598" r="O220" connectionId="0">
    <xmlCellPr id="1" uniqueName="1">
      <xmlPr mapId="43" xpath="/ns1:Root/ns1:Prog/ns1:Target_P9_2" xmlDataType="double"/>
    </xmlCellPr>
  </singleXmlCell>
  <singleXmlCell id="599" r="P220" connectionId="0">
    <xmlCellPr id="1" uniqueName="1">
      <xmlPr mapId="43" xpath="/ns1:Root/ns1:Prog/ns1:Target_P10_2" xmlDataType="double"/>
    </xmlCellPr>
  </singleXmlCell>
  <singleXmlCell id="600" r="Q220" connectionId="0">
    <xmlCellPr id="1" uniqueName="1">
      <xmlPr mapId="43" xpath="/ns1:Root/ns1:Prog/ns1:Target_P11_2" xmlDataType="double"/>
    </xmlCellPr>
  </singleXmlCell>
  <singleXmlCell id="602" r="G221" connectionId="0">
    <xmlCellPr id="1" uniqueName="1">
      <xmlPr mapId="43" xpath="/ns1:Root/ns1:Prog/ns1:Achieved__P1_2" xmlDataType="double"/>
    </xmlCellPr>
  </singleXmlCell>
  <singleXmlCell id="603" r="H221" connectionId="0">
    <xmlCellPr id="1" uniqueName="1">
      <xmlPr mapId="43" xpath="/ns1:Root/ns1:Prog/ns1:Achieved__P2_2" xmlDataType="double"/>
    </xmlCellPr>
  </singleXmlCell>
  <singleXmlCell id="604" r="I221" connectionId="0">
    <xmlCellPr id="1" uniqueName="1">
      <xmlPr mapId="43" xpath="/ns1:Root/ns1:Prog/ns1:Achieved__P3_2" xmlDataType="double"/>
    </xmlCellPr>
  </singleXmlCell>
  <singleXmlCell id="605" r="J221" connectionId="0">
    <xmlCellPr id="1" uniqueName="1">
      <xmlPr mapId="43" xpath="/ns1:Root/ns1:Prog/ns1:Achieved__P4_2" xmlDataType="double"/>
    </xmlCellPr>
  </singleXmlCell>
  <singleXmlCell id="606" r="K221" connectionId="0">
    <xmlCellPr id="1" uniqueName="1">
      <xmlPr mapId="43" xpath="/ns1:Root/ns1:Prog/ns1:Achieved__P5_2" xmlDataType="string"/>
    </xmlCellPr>
  </singleXmlCell>
  <singleXmlCell id="607" r="L221" connectionId="0">
    <xmlCellPr id="1" uniqueName="1">
      <xmlPr mapId="43" xpath="/ns1:Root/ns1:Prog/ns1:Achieved__P6_2" xmlDataType="string"/>
    </xmlCellPr>
  </singleXmlCell>
  <singleXmlCell id="608" r="M221" connectionId="0">
    <xmlCellPr id="1" uniqueName="1">
      <xmlPr mapId="43" xpath="/ns1:Root/ns1:Prog/ns1:Achieved__P7_2" xmlDataType="string"/>
    </xmlCellPr>
  </singleXmlCell>
  <singleXmlCell id="609" r="N221" connectionId="0">
    <xmlCellPr id="1" uniqueName="1">
      <xmlPr mapId="43" xpath="/ns1:Root/ns1:Prog/ns1:Achieved__P8_2" xmlDataType="string"/>
    </xmlCellPr>
  </singleXmlCell>
  <singleXmlCell id="610" r="O221" connectionId="0">
    <xmlCellPr id="1" uniqueName="1">
      <xmlPr mapId="43" xpath="/ns1:Root/ns1:Prog/ns1:Achieved__P9_2" xmlDataType="string"/>
    </xmlCellPr>
  </singleXmlCell>
  <singleXmlCell id="611" r="P221" connectionId="0">
    <xmlCellPr id="1" uniqueName="1">
      <xmlPr mapId="43" xpath="/ns1:Root/ns1:Prog/ns1:Achieved__P10_2" xmlDataType="string"/>
    </xmlCellPr>
  </singleXmlCell>
  <singleXmlCell id="612" r="Q221" connectionId="0">
    <xmlCellPr id="1" uniqueName="1">
      <xmlPr mapId="43" xpath="/ns1:Root/ns1:Prog/ns1:Achieved__P11_2" xmlDataType="string"/>
    </xmlCellPr>
  </singleXmlCell>
  <singleXmlCell id="614" r="G222" connectionId="0">
    <xmlCellPr id="1" uniqueName="1">
      <xmlPr mapId="43" xpath="/ns1:Root/ns1:Prog/ns1:Target_P1_3" xmlDataType="double"/>
    </xmlCellPr>
  </singleXmlCell>
  <singleXmlCell id="615" r="H222" connectionId="0">
    <xmlCellPr id="1" uniqueName="1">
      <xmlPr mapId="43" xpath="/ns1:Root/ns1:Prog/ns1:Target_P2_3" xmlDataType="double"/>
    </xmlCellPr>
  </singleXmlCell>
  <singleXmlCell id="616" r="I222" connectionId="0">
    <xmlCellPr id="1" uniqueName="1">
      <xmlPr mapId="43" xpath="/ns1:Root/ns1:Prog/ns1:Target_P3_3" xmlDataType="double"/>
    </xmlCellPr>
  </singleXmlCell>
  <singleXmlCell id="617" r="J222" connectionId="0">
    <xmlCellPr id="1" uniqueName="1">
      <xmlPr mapId="43" xpath="/ns1:Root/ns1:Prog/ns1:Target_P4_3" xmlDataType="double"/>
    </xmlCellPr>
  </singleXmlCell>
  <singleXmlCell id="618" r="K222" connectionId="0">
    <xmlCellPr id="1" uniqueName="1">
      <xmlPr mapId="43" xpath="/ns1:Root/ns1:Prog/ns1:Target_P5_3" xmlDataType="double"/>
    </xmlCellPr>
  </singleXmlCell>
  <singleXmlCell id="619" r="L222" connectionId="0">
    <xmlCellPr id="1" uniqueName="1">
      <xmlPr mapId="43" xpath="/ns1:Root/ns1:Prog/ns1:Target_P6_3" xmlDataType="double"/>
    </xmlCellPr>
  </singleXmlCell>
  <singleXmlCell id="620" r="M222" connectionId="0">
    <xmlCellPr id="1" uniqueName="1">
      <xmlPr mapId="43" xpath="/ns1:Root/ns1:Prog/ns1:Target_P7_3" xmlDataType="double"/>
    </xmlCellPr>
  </singleXmlCell>
  <singleXmlCell id="621" r="N222" connectionId="0">
    <xmlCellPr id="1" uniqueName="1">
      <xmlPr mapId="43" xpath="/ns1:Root/ns1:Prog/ns1:Target_P8_3" xmlDataType="double"/>
    </xmlCellPr>
  </singleXmlCell>
  <singleXmlCell id="622" r="O222" connectionId="0">
    <xmlCellPr id="1" uniqueName="1">
      <xmlPr mapId="43" xpath="/ns1:Root/ns1:Prog/ns1:Target_P9_3" xmlDataType="double"/>
    </xmlCellPr>
  </singleXmlCell>
  <singleXmlCell id="623" r="P222" connectionId="0">
    <xmlCellPr id="1" uniqueName="1">
      <xmlPr mapId="43" xpath="/ns1:Root/ns1:Prog/ns1:Target_P10_3" xmlDataType="string"/>
    </xmlCellPr>
  </singleXmlCell>
  <singleXmlCell id="624" r="Q222" connectionId="0">
    <xmlCellPr id="1" uniqueName="1">
      <xmlPr mapId="43" xpath="/ns1:Root/ns1:Prog/ns1:Target_P11_3" xmlDataType="string"/>
    </xmlCellPr>
  </singleXmlCell>
  <singleXmlCell id="626" r="G223" connectionId="0">
    <xmlCellPr id="1" uniqueName="1">
      <xmlPr mapId="43" xpath="/ns1:Root/ns1:Prog/ns1:Achieved__P1_3" xmlDataType="string"/>
    </xmlCellPr>
  </singleXmlCell>
  <singleXmlCell id="627" r="H223" connectionId="0">
    <xmlCellPr id="1" uniqueName="1">
      <xmlPr mapId="43" xpath="/ns1:Root/ns1:Prog/ns1:Achieved__P2_3" xmlDataType="double"/>
    </xmlCellPr>
  </singleXmlCell>
  <singleXmlCell id="628" r="I223" connectionId="0">
    <xmlCellPr id="1" uniqueName="1">
      <xmlPr mapId="43" xpath="/ns1:Root/ns1:Prog/ns1:Achieved__P3_3" xmlDataType="string"/>
    </xmlCellPr>
  </singleXmlCell>
  <singleXmlCell id="629" r="J223" connectionId="0">
    <xmlCellPr id="1" uniqueName="1">
      <xmlPr mapId="43" xpath="/ns1:Root/ns1:Prog/ns1:Achieved__P4_3" xmlDataType="double"/>
    </xmlCellPr>
  </singleXmlCell>
  <singleXmlCell id="630" r="K223" connectionId="0">
    <xmlCellPr id="1" uniqueName="1">
      <xmlPr mapId="43" xpath="/ns1:Root/ns1:Prog/ns1:Achieved__P5_3" xmlDataType="string"/>
    </xmlCellPr>
  </singleXmlCell>
  <singleXmlCell id="631" r="L223" connectionId="0">
    <xmlCellPr id="1" uniqueName="1">
      <xmlPr mapId="43" xpath="/ns1:Root/ns1:Prog/ns1:Achieved__P6_3" xmlDataType="string"/>
    </xmlCellPr>
  </singleXmlCell>
  <singleXmlCell id="632" r="M223" connectionId="0">
    <xmlCellPr id="1" uniqueName="1">
      <xmlPr mapId="43" xpath="/ns1:Root/ns1:Prog/ns1:Achieved__P7_3" xmlDataType="string"/>
    </xmlCellPr>
  </singleXmlCell>
  <singleXmlCell id="633" r="N223" connectionId="0">
    <xmlCellPr id="1" uniqueName="1">
      <xmlPr mapId="43" xpath="/ns1:Root/ns1:Prog/ns1:Achieved__P8_3" xmlDataType="string"/>
    </xmlCellPr>
  </singleXmlCell>
  <singleXmlCell id="634" r="O223" connectionId="0">
    <xmlCellPr id="1" uniqueName="1">
      <xmlPr mapId="43" xpath="/ns1:Root/ns1:Prog/ns1:Achieved__P9_3" xmlDataType="string"/>
    </xmlCellPr>
  </singleXmlCell>
  <singleXmlCell id="635" r="P223" connectionId="0">
    <xmlCellPr id="1" uniqueName="1">
      <xmlPr mapId="43" xpath="/ns1:Root/ns1:Prog/ns1:Achieved__P10_3" xmlDataType="string"/>
    </xmlCellPr>
  </singleXmlCell>
  <singleXmlCell id="636" r="Q223" connectionId="0">
    <xmlCellPr id="1" uniqueName="1">
      <xmlPr mapId="43" xpath="/ns1:Root/ns1:Prog/ns1:Achieved__P11_3" xmlDataType="string"/>
    </xmlCellPr>
  </singleXmlCell>
  <singleXmlCell id="638" r="G224" connectionId="0">
    <xmlCellPr id="1" uniqueName="1">
      <xmlPr mapId="43" xpath="/ns1:Root/ns1:Prog/ns1:Target_P1_4" xmlDataType="string"/>
    </xmlCellPr>
  </singleXmlCell>
  <singleXmlCell id="639" r="H224" connectionId="0">
    <xmlCellPr id="1" uniqueName="1">
      <xmlPr mapId="43" xpath="/ns1:Root/ns1:Prog/ns1:Target_P2_4" xmlDataType="string"/>
    </xmlCellPr>
  </singleXmlCell>
  <singleXmlCell id="640" r="I224" connectionId="0">
    <xmlCellPr id="1" uniqueName="1">
      <xmlPr mapId="43" xpath="/ns1:Root/ns1:Prog/ns1:Target_P3_4" xmlDataType="string"/>
    </xmlCellPr>
  </singleXmlCell>
  <singleXmlCell id="641" r="J224" connectionId="0">
    <xmlCellPr id="1" uniqueName="1">
      <xmlPr mapId="43" xpath="/ns1:Root/ns1:Prog/ns1:Target_P4_4" xmlDataType="double"/>
    </xmlCellPr>
  </singleXmlCell>
  <singleXmlCell id="642" r="K224" connectionId="0">
    <xmlCellPr id="1" uniqueName="1">
      <xmlPr mapId="43" xpath="/ns1:Root/ns1:Prog/ns1:Target_P5_4" xmlDataType="string"/>
    </xmlCellPr>
  </singleXmlCell>
  <singleXmlCell id="643" r="L224" connectionId="0">
    <xmlCellPr id="1" uniqueName="1">
      <xmlPr mapId="43" xpath="/ns1:Root/ns1:Prog/ns1:Target_P6_4" xmlDataType="string"/>
    </xmlCellPr>
  </singleXmlCell>
  <singleXmlCell id="644" r="M224" connectionId="0">
    <xmlCellPr id="1" uniqueName="1">
      <xmlPr mapId="43" xpath="/ns1:Root/ns1:Prog/ns1:Target_P7_4" xmlDataType="string"/>
    </xmlCellPr>
  </singleXmlCell>
  <singleXmlCell id="645" r="N224" connectionId="0">
    <xmlCellPr id="1" uniqueName="1">
      <xmlPr mapId="43" xpath="/ns1:Root/ns1:Prog/ns1:Target_P8_4" xmlDataType="double"/>
    </xmlCellPr>
  </singleXmlCell>
  <singleXmlCell id="646" r="O224" connectionId="0">
    <xmlCellPr id="1" uniqueName="1">
      <xmlPr mapId="43" xpath="/ns1:Root/ns1:Prog/ns1:Target_P9_4" xmlDataType="string"/>
    </xmlCellPr>
  </singleXmlCell>
  <singleXmlCell id="647" r="P224" connectionId="0">
    <xmlCellPr id="1" uniqueName="1">
      <xmlPr mapId="43" xpath="/ns1:Root/ns1:Prog/ns1:Target_P10_4" xmlDataType="string"/>
    </xmlCellPr>
  </singleXmlCell>
  <singleXmlCell id="648" r="Q224" connectionId="0">
    <xmlCellPr id="1" uniqueName="1">
      <xmlPr mapId="43" xpath="/ns1:Root/ns1:Prog/ns1:Target_P11_4" xmlDataType="string"/>
    </xmlCellPr>
  </singleXmlCell>
  <singleXmlCell id="650" r="G225" connectionId="0">
    <xmlCellPr id="1" uniqueName="1">
      <xmlPr mapId="43" xpath="/ns1:Root/ns1:Prog/ns1:Achieved__P1_4" xmlDataType="string"/>
    </xmlCellPr>
  </singleXmlCell>
  <singleXmlCell id="651" r="H225" connectionId="0">
    <xmlCellPr id="1" uniqueName="1">
      <xmlPr mapId="43" xpath="/ns1:Root/ns1:Prog/ns1:Achieved__P2_4" xmlDataType="string"/>
    </xmlCellPr>
  </singleXmlCell>
  <singleXmlCell id="652" r="I225" connectionId="0">
    <xmlCellPr id="1" uniqueName="1">
      <xmlPr mapId="43" xpath="/ns1:Root/ns1:Prog/ns1:Achieved__P3_4" xmlDataType="string"/>
    </xmlCellPr>
  </singleXmlCell>
  <singleXmlCell id="653" r="J225" connectionId="0">
    <xmlCellPr id="1" uniqueName="1">
      <xmlPr mapId="43" xpath="/ns1:Root/ns1:Prog/ns1:Achieved__P4_4" xmlDataType="double"/>
    </xmlCellPr>
  </singleXmlCell>
  <singleXmlCell id="654" r="K225" connectionId="0">
    <xmlCellPr id="1" uniqueName="1">
      <xmlPr mapId="43" xpath="/ns1:Root/ns1:Prog/ns1:Achieved__P5_4" xmlDataType="string"/>
    </xmlCellPr>
  </singleXmlCell>
  <singleXmlCell id="655" r="L225" connectionId="0">
    <xmlCellPr id="1" uniqueName="1">
      <xmlPr mapId="43" xpath="/ns1:Root/ns1:Prog/ns1:Achieved__P6_4" xmlDataType="string"/>
    </xmlCellPr>
  </singleXmlCell>
  <singleXmlCell id="656" r="M225" connectionId="0">
    <xmlCellPr id="1" uniqueName="1">
      <xmlPr mapId="43" xpath="/ns1:Root/ns1:Prog/ns1:Achieved__P7_4" xmlDataType="string"/>
    </xmlCellPr>
  </singleXmlCell>
  <singleXmlCell id="657" r="N225" connectionId="0">
    <xmlCellPr id="1" uniqueName="1">
      <xmlPr mapId="43" xpath="/ns1:Root/ns1:Prog/ns1:Achieved__P8_4" xmlDataType="string"/>
    </xmlCellPr>
  </singleXmlCell>
  <singleXmlCell id="658" r="O225" connectionId="0">
    <xmlCellPr id="1" uniqueName="1">
      <xmlPr mapId="43" xpath="/ns1:Root/ns1:Prog/ns1:Achieved__P9_4" xmlDataType="string"/>
    </xmlCellPr>
  </singleXmlCell>
  <singleXmlCell id="659" r="P225" connectionId="0">
    <xmlCellPr id="1" uniqueName="1">
      <xmlPr mapId="43" xpath="/ns1:Root/ns1:Prog/ns1:Achieved__P10_4" xmlDataType="string"/>
    </xmlCellPr>
  </singleXmlCell>
  <singleXmlCell id="660" r="Q225" connectionId="0">
    <xmlCellPr id="1" uniqueName="1">
      <xmlPr mapId="43" xpath="/ns1:Root/ns1:Prog/ns1:Achieved__P11_4" xmlDataType="string"/>
    </xmlCellPr>
  </singleXmlCell>
  <singleXmlCell id="662" r="G226" connectionId="0">
    <xmlCellPr id="1" uniqueName="1">
      <xmlPr mapId="43" xpath="/ns1:Root/ns1:Prog/ns1:Target_P1_5" xmlDataType="double"/>
    </xmlCellPr>
  </singleXmlCell>
  <singleXmlCell id="663" r="H226" connectionId="0">
    <xmlCellPr id="1" uniqueName="1">
      <xmlPr mapId="43" xpath="/ns1:Root/ns1:Prog/ns1:Target_P2_5" xmlDataType="double"/>
    </xmlCellPr>
  </singleXmlCell>
  <singleXmlCell id="664" r="I226" connectionId="0">
    <xmlCellPr id="1" uniqueName="1">
      <xmlPr mapId="43" xpath="/ns1:Root/ns1:Prog/ns1:Target_P3_5" xmlDataType="double"/>
    </xmlCellPr>
  </singleXmlCell>
  <singleXmlCell id="665" r="J226" connectionId="0">
    <xmlCellPr id="1" uniqueName="1">
      <xmlPr mapId="43" xpath="/ns1:Root/ns1:Prog/ns1:Target_P4_5" xmlDataType="double"/>
    </xmlCellPr>
  </singleXmlCell>
  <singleXmlCell id="666" r="K226" connectionId="0">
    <xmlCellPr id="1" uniqueName="1">
      <xmlPr mapId="43" xpath="/ns1:Root/ns1:Prog/ns1:Target_P5_5" xmlDataType="double"/>
    </xmlCellPr>
  </singleXmlCell>
  <singleXmlCell id="667" r="L226" connectionId="0">
    <xmlCellPr id="1" uniqueName="1">
      <xmlPr mapId="43" xpath="/ns1:Root/ns1:Prog/ns1:Target_P6_5" xmlDataType="double"/>
    </xmlCellPr>
  </singleXmlCell>
  <singleXmlCell id="668" r="M226" connectionId="0">
    <xmlCellPr id="1" uniqueName="1">
      <xmlPr mapId="43" xpath="/ns1:Root/ns1:Prog/ns1:Target_P7_5" xmlDataType="double"/>
    </xmlCellPr>
  </singleXmlCell>
  <singleXmlCell id="669" r="N226" connectionId="0">
    <xmlCellPr id="1" uniqueName="1">
      <xmlPr mapId="43" xpath="/ns1:Root/ns1:Prog/ns1:Target_P8_5" xmlDataType="double"/>
    </xmlCellPr>
  </singleXmlCell>
  <singleXmlCell id="670" r="O226" connectionId="0">
    <xmlCellPr id="1" uniqueName="1">
      <xmlPr mapId="43" xpath="/ns1:Root/ns1:Prog/ns1:Target_P9_5" xmlDataType="double"/>
    </xmlCellPr>
  </singleXmlCell>
  <singleXmlCell id="671" r="P226" connectionId="0">
    <xmlCellPr id="1" uniqueName="1">
      <xmlPr mapId="43" xpath="/ns1:Root/ns1:Prog/ns1:Target_P10_5" xmlDataType="double"/>
    </xmlCellPr>
  </singleXmlCell>
  <singleXmlCell id="672" r="Q226" connectionId="0">
    <xmlCellPr id="1" uniqueName="1">
      <xmlPr mapId="43" xpath="/ns1:Root/ns1:Prog/ns1:Target_P11_5" xmlDataType="double"/>
    </xmlCellPr>
  </singleXmlCell>
  <singleXmlCell id="674" r="G227" connectionId="0">
    <xmlCellPr id="1" uniqueName="1">
      <xmlPr mapId="43" xpath="/ns1:Root/ns1:Prog/ns1:Achieved__P1_5" xmlDataType="double"/>
    </xmlCellPr>
  </singleXmlCell>
  <singleXmlCell id="675" r="H227" connectionId="0">
    <xmlCellPr id="1" uniqueName="1">
      <xmlPr mapId="43" xpath="/ns1:Root/ns1:Prog/ns1:Achieved__P2_5" xmlDataType="double"/>
    </xmlCellPr>
  </singleXmlCell>
  <singleXmlCell id="676" r="I227" connectionId="0">
    <xmlCellPr id="1" uniqueName="1">
      <xmlPr mapId="43" xpath="/ns1:Root/ns1:Prog/ns1:Achieved__P3_5" xmlDataType="double"/>
    </xmlCellPr>
  </singleXmlCell>
  <singleXmlCell id="677" r="J227" connectionId="0">
    <xmlCellPr id="1" uniqueName="1">
      <xmlPr mapId="43" xpath="/ns1:Root/ns1:Prog/ns1:Achieved__P4_5" xmlDataType="double"/>
    </xmlCellPr>
  </singleXmlCell>
  <singleXmlCell id="678" r="K227" connectionId="0">
    <xmlCellPr id="1" uniqueName="1">
      <xmlPr mapId="43" xpath="/ns1:Root/ns1:Prog/ns1:Achieved__P5_5" xmlDataType="string"/>
    </xmlCellPr>
  </singleXmlCell>
  <singleXmlCell id="679" r="L227" connectionId="0">
    <xmlCellPr id="1" uniqueName="1">
      <xmlPr mapId="43" xpath="/ns1:Root/ns1:Prog/ns1:Achieved__P6_5" xmlDataType="string"/>
    </xmlCellPr>
  </singleXmlCell>
  <singleXmlCell id="680" r="M227" connectionId="0">
    <xmlCellPr id="1" uniqueName="1">
      <xmlPr mapId="43" xpath="/ns1:Root/ns1:Prog/ns1:Achieved__P7_5" xmlDataType="string"/>
    </xmlCellPr>
  </singleXmlCell>
  <singleXmlCell id="681" r="N227" connectionId="0">
    <xmlCellPr id="1" uniqueName="1">
      <xmlPr mapId="43" xpath="/ns1:Root/ns1:Prog/ns1:Achieved__P8_5" xmlDataType="string"/>
    </xmlCellPr>
  </singleXmlCell>
  <singleXmlCell id="682" r="O227" connectionId="0">
    <xmlCellPr id="1" uniqueName="1">
      <xmlPr mapId="43" xpath="/ns1:Root/ns1:Prog/ns1:Achieved__P9_5" xmlDataType="string"/>
    </xmlCellPr>
  </singleXmlCell>
  <singleXmlCell id="683" r="P227" connectionId="0">
    <xmlCellPr id="1" uniqueName="1">
      <xmlPr mapId="43" xpath="/ns1:Root/ns1:Prog/ns1:Achieved__P10_5" xmlDataType="string"/>
    </xmlCellPr>
  </singleXmlCell>
  <singleXmlCell id="684" r="Q227" connectionId="0">
    <xmlCellPr id="1" uniqueName="1">
      <xmlPr mapId="43" xpath="/ns1:Root/ns1:Prog/ns1:Achieved__P11_5" xmlDataType="string"/>
    </xmlCellPr>
  </singleXmlCell>
  <singleXmlCell id="686" r="G228" connectionId="0">
    <xmlCellPr id="1" uniqueName="1">
      <xmlPr mapId="43" xpath="/ns1:Root/ns1:Prog/ns1:Target_P1_6" xmlDataType="double"/>
    </xmlCellPr>
  </singleXmlCell>
  <singleXmlCell id="687" r="H228" connectionId="0">
    <xmlCellPr id="1" uniqueName="1">
      <xmlPr mapId="43" xpath="/ns1:Root/ns1:Prog/ns1:Target_P2_6" xmlDataType="double"/>
    </xmlCellPr>
  </singleXmlCell>
  <singleXmlCell id="688" r="I228" connectionId="0">
    <xmlCellPr id="1" uniqueName="1">
      <xmlPr mapId="43" xpath="/ns1:Root/ns1:Prog/ns1:Target_P3_6" xmlDataType="double"/>
    </xmlCellPr>
  </singleXmlCell>
  <singleXmlCell id="689" r="J228" connectionId="0">
    <xmlCellPr id="1" uniqueName="1">
      <xmlPr mapId="43" xpath="/ns1:Root/ns1:Prog/ns1:Target_P4_6" xmlDataType="double"/>
    </xmlCellPr>
  </singleXmlCell>
  <singleXmlCell id="690" r="K228" connectionId="0">
    <xmlCellPr id="1" uniqueName="1">
      <xmlPr mapId="43" xpath="/ns1:Root/ns1:Prog/ns1:Target_P5_6" xmlDataType="double"/>
    </xmlCellPr>
  </singleXmlCell>
  <singleXmlCell id="691" r="L228" connectionId="0">
    <xmlCellPr id="1" uniqueName="1">
      <xmlPr mapId="43" xpath="/ns1:Root/ns1:Prog/ns1:Target_P6_6" xmlDataType="double"/>
    </xmlCellPr>
  </singleXmlCell>
  <singleXmlCell id="692" r="M228" connectionId="0">
    <xmlCellPr id="1" uniqueName="1">
      <xmlPr mapId="43" xpath="/ns1:Root/ns1:Prog/ns1:Target_P7_6" xmlDataType="double"/>
    </xmlCellPr>
  </singleXmlCell>
  <singleXmlCell id="693" r="N228" connectionId="0">
    <xmlCellPr id="1" uniqueName="1">
      <xmlPr mapId="43" xpath="/ns1:Root/ns1:Prog/ns1:Target_P8_6" xmlDataType="double"/>
    </xmlCellPr>
  </singleXmlCell>
  <singleXmlCell id="694" r="O228" connectionId="0">
    <xmlCellPr id="1" uniqueName="1">
      <xmlPr mapId="43" xpath="/ns1:Root/ns1:Prog/ns1:Target_P9_6" xmlDataType="double"/>
    </xmlCellPr>
  </singleXmlCell>
  <singleXmlCell id="695" r="P228" connectionId="0">
    <xmlCellPr id="1" uniqueName="1">
      <xmlPr mapId="43" xpath="/ns1:Root/ns1:Prog/ns1:Target_P10_6" xmlDataType="double"/>
    </xmlCellPr>
  </singleXmlCell>
  <singleXmlCell id="696" r="Q228" connectionId="0">
    <xmlCellPr id="1" uniqueName="1">
      <xmlPr mapId="43" xpath="/ns1:Root/ns1:Prog/ns1:Target_P11_6" xmlDataType="double"/>
    </xmlCellPr>
  </singleXmlCell>
  <singleXmlCell id="698" r="G229" connectionId="0">
    <xmlCellPr id="1" uniqueName="1">
      <xmlPr mapId="43" xpath="/ns1:Root/ns1:Prog/ns1:Achieved__P1_6" xmlDataType="double"/>
    </xmlCellPr>
  </singleXmlCell>
  <singleXmlCell id="699" r="H229" connectionId="0">
    <xmlCellPr id="1" uniqueName="1">
      <xmlPr mapId="43" xpath="/ns1:Root/ns1:Prog/ns1:Achieved__P2_6" xmlDataType="double"/>
    </xmlCellPr>
  </singleXmlCell>
  <singleXmlCell id="700" r="I229" connectionId="0">
    <xmlCellPr id="1" uniqueName="1">
      <xmlPr mapId="43" xpath="/ns1:Root/ns1:Prog/ns1:Achieved__P3_6" xmlDataType="double"/>
    </xmlCellPr>
  </singleXmlCell>
  <singleXmlCell id="701" r="J229" connectionId="0">
    <xmlCellPr id="1" uniqueName="1">
      <xmlPr mapId="43" xpath="/ns1:Root/ns1:Prog/ns1:Achieved__P4_6" xmlDataType="double"/>
    </xmlCellPr>
  </singleXmlCell>
  <singleXmlCell id="702" r="K229" connectionId="0">
    <xmlCellPr id="1" uniqueName="1">
      <xmlPr mapId="43" xpath="/ns1:Root/ns1:Prog/ns1:Achieved__P5_6" xmlDataType="string"/>
    </xmlCellPr>
  </singleXmlCell>
  <singleXmlCell id="703" r="L229" connectionId="0">
    <xmlCellPr id="1" uniqueName="1">
      <xmlPr mapId="43" xpath="/ns1:Root/ns1:Prog/ns1:Achieved__P6_6" xmlDataType="string"/>
    </xmlCellPr>
  </singleXmlCell>
  <singleXmlCell id="704" r="M229" connectionId="0">
    <xmlCellPr id="1" uniqueName="1">
      <xmlPr mapId="43" xpath="/ns1:Root/ns1:Prog/ns1:Achieved__P7_6" xmlDataType="string"/>
    </xmlCellPr>
  </singleXmlCell>
  <singleXmlCell id="705" r="N229" connectionId="0">
    <xmlCellPr id="1" uniqueName="1">
      <xmlPr mapId="43" xpath="/ns1:Root/ns1:Prog/ns1:Achieved__P8_6" xmlDataType="string"/>
    </xmlCellPr>
  </singleXmlCell>
  <singleXmlCell id="706" r="O229" connectionId="0">
    <xmlCellPr id="1" uniqueName="1">
      <xmlPr mapId="43" xpath="/ns1:Root/ns1:Prog/ns1:Achieved__P9_6" xmlDataType="string"/>
    </xmlCellPr>
  </singleXmlCell>
  <singleXmlCell id="707" r="P229" connectionId="0">
    <xmlCellPr id="1" uniqueName="1">
      <xmlPr mapId="43" xpath="/ns1:Root/ns1:Prog/ns1:Achieved__P10_6" xmlDataType="string"/>
    </xmlCellPr>
  </singleXmlCell>
  <singleXmlCell id="708" r="Q229" connectionId="0">
    <xmlCellPr id="1" uniqueName="1">
      <xmlPr mapId="43" xpath="/ns1:Root/ns1:Prog/ns1:Achieved__P11_6" xmlDataType="string"/>
    </xmlCellPr>
  </singleXmlCell>
  <singleXmlCell id="806" r="J220" connectionId="0">
    <xmlCellPr id="1" uniqueName="1">
      <xmlPr mapId="43" xpath="/ns1:Root/ns1:Prog/ns1:Target_P4_2" xmlDataType="double"/>
    </xmlCellPr>
  </singleXmlCell>
  <singleXmlCell id="837" r="C26" connectionId="0">
    <xmlCellPr id="1" uniqueName="1">
      <xmlPr mapId="43" xpath="/ns1:Root/ns1:Currency" xmlDataType="string"/>
    </xmlCellPr>
  </singleXmlCell>
  <singleXmlCell id="497" r="E84" connectionId="0">
    <xmlCellPr id="1" uniqueName="1">
      <xmlPr mapId="43" xpath="/ns1:Root/ns1:M1/ns1:Time_Bound_Actions__TBAs__Not_fulfilled__and_past_the_deadline" xmlDataType="double"/>
    </xmlCellPr>
  </singleXmlCell>
  <singleXmlCell id="496" r="D84" connectionId="0">
    <xmlCellPr id="1" uniqueName="1">
      <xmlPr mapId="43" xpath="/ns1:Root/ns1:M1/ns1:Time_Bound_Actions__TBAs__Not_fulfilled__but_within_deadline" xmlDataType="string"/>
    </xmlCellPr>
  </singleXmlCell>
  <singleXmlCell id="495" r="C84" connectionId="0">
    <xmlCellPr id="1" uniqueName="1">
      <xmlPr mapId="43" xpath="/ns1:Root/ns1:M1/ns1:Time_Bound_Actions__TBAs__Fulfilled" xmlDataType="double"/>
    </xmlCellPr>
  </singleXmlCell>
  <singleXmlCell id="494" r="A84" connectionId="0">
    <xmlCellPr id="1" uniqueName="1">
      <xmlPr mapId="43" xpath="/ns1:Root/ns1:M1/ns1:Time_Bound_Actions__TBAs__" xmlDataType="string"/>
    </xmlCellPr>
  </singleXmlCell>
  <singleXmlCell id="493" r="E83" connectionId="0">
    <xmlCellPr id="1" uniqueName="1">
      <xmlPr mapId="43" xpath="/ns1:Root/ns1:M1/ns1:Conditions_precedents__CPs__Not_fulfilled__and_past_the_deadline" xmlDataType="double"/>
    </xmlCellPr>
  </singleXmlCell>
  <singleXmlCell id="492" r="D83" connectionId="0">
    <xmlCellPr id="1" uniqueName="1">
      <xmlPr mapId="43" xpath="/ns1:Root/ns1:M1/ns1:Conditions_precedents__CPs__Not_fulfilled__but_within_deadline" xmlDataType="double"/>
    </xmlCellPr>
  </singleXmlCell>
  <singleXmlCell id="491" r="C83" connectionId="0">
    <xmlCellPr id="1" uniqueName="1">
      <xmlPr mapId="43" xpath="/ns1:Root/ns1:M1/ns1:Conditions_precedents__CPs__Fulfilled" xmlDataType="double"/>
    </xmlCellPr>
  </singleXmlCell>
  <singleXmlCell id="490" r="A83" connectionId="0">
    <xmlCellPr id="1" uniqueName="1">
      <xmlPr mapId="43" xpath="/ns1:Root/ns1:M1/ns1:Conditions_precedents__CPs__" xmlDataType="string"/>
    </xmlCellPr>
  </singleXmlCell>
  <singleXmlCell id="807" r="A218" connectionId="0">
    <xmlCellPr id="1" uniqueName="1">
      <xmlPr mapId="43" xpath="/ns1:Root/ns1:P1" xmlDataType="string"/>
    </xmlCellPr>
  </singleXmlCell>
  <singleXmlCell id="808" r="D218" connectionId="0">
    <xmlCellPr id="1" uniqueName="1">
      <xmlPr mapId="43" xpath="/ns1:Root/ns1:P1_Code" xmlDataType="double"/>
    </xmlCellPr>
  </singleXmlCell>
  <singleXmlCell id="809" r="E218" connectionId="0">
    <xmlCellPr id="1" uniqueName="1">
      <xmlPr mapId="43" xpath="/ns1:Root/ns1:P1_Tied" xmlDataType="string"/>
    </xmlCellPr>
  </singleXmlCell>
  <singleXmlCell id="810" r="A220" connectionId="0">
    <xmlCellPr id="1" uniqueName="1">
      <xmlPr mapId="43" xpath="/ns1:Root/ns1:P2" xmlDataType="string"/>
    </xmlCellPr>
  </singleXmlCell>
  <singleXmlCell id="811" r="D220" connectionId="0">
    <xmlCellPr id="1" uniqueName="1">
      <xmlPr mapId="43" xpath="/ns1:Root/ns1:P2_Code" xmlDataType="double"/>
    </xmlCellPr>
  </singleXmlCell>
  <singleXmlCell id="812" r="E220" connectionId="0">
    <xmlCellPr id="1" uniqueName="1">
      <xmlPr mapId="43" xpath="/ns1:Root/ns1:P2_Tied" xmlDataType="string"/>
    </xmlCellPr>
  </singleXmlCell>
  <singleXmlCell id="813" r="A222" connectionId="0">
    <xmlCellPr id="1" uniqueName="1">
      <xmlPr mapId="43" xpath="/ns1:Root/ns1:P3" xmlDataType="string"/>
    </xmlCellPr>
  </singleXmlCell>
  <singleXmlCell id="814" r="D222" connectionId="0">
    <xmlCellPr id="1" uniqueName="1">
      <xmlPr mapId="43" xpath="/ns1:Root/ns1:P3_Code" xmlDataType="double"/>
    </xmlCellPr>
  </singleXmlCell>
  <singleXmlCell id="815" r="E222" connectionId="0">
    <xmlCellPr id="1" uniqueName="1">
      <xmlPr mapId="43" xpath="/ns1:Root/ns1:P3_Tied" xmlDataType="string"/>
    </xmlCellPr>
  </singleXmlCell>
  <singleXmlCell id="816" r="A224" connectionId="0">
    <xmlCellPr id="1" uniqueName="1">
      <xmlPr mapId="43" xpath="/ns1:Root/ns1:P4" xmlDataType="string"/>
    </xmlCellPr>
  </singleXmlCell>
  <singleXmlCell id="817" r="D224" connectionId="0">
    <xmlCellPr id="1" uniqueName="1">
      <xmlPr mapId="43" xpath="/ns1:Root/ns1:P4_Code" xmlDataType="double"/>
    </xmlCellPr>
  </singleXmlCell>
  <singleXmlCell id="818" r="E224" connectionId="0">
    <xmlCellPr id="1" uniqueName="1">
      <xmlPr mapId="43" xpath="/ns1:Root/ns1:P4_Tied" xmlDataType="string"/>
    </xmlCellPr>
  </singleXmlCell>
  <singleXmlCell id="819" r="A226" connectionId="0">
    <xmlCellPr id="1" uniqueName="1">
      <xmlPr mapId="43" xpath="/ns1:Root/ns1:P5" xmlDataType="string"/>
    </xmlCellPr>
  </singleXmlCell>
  <singleXmlCell id="820" r="D226" connectionId="0">
    <xmlCellPr id="1" uniqueName="1">
      <xmlPr mapId="43" xpath="/ns1:Root/ns1:P5_Code" xmlDataType="double"/>
    </xmlCellPr>
  </singleXmlCell>
  <singleXmlCell id="821" r="E226" connectionId="0">
    <xmlCellPr id="1" uniqueName="1">
      <xmlPr mapId="43" xpath="/ns1:Root/ns1:P5_Tied" xmlDataType="string"/>
    </xmlCellPr>
  </singleXmlCell>
  <singleXmlCell id="822" r="A228" connectionId="0">
    <xmlCellPr id="1" uniqueName="1">
      <xmlPr mapId="43" xpath="/ns1:Root/ns1:P6" xmlDataType="string"/>
    </xmlCellPr>
  </singleXmlCell>
  <singleXmlCell id="823" r="D228" connectionId="0">
    <xmlCellPr id="1" uniqueName="1">
      <xmlPr mapId="43" xpath="/ns1:Root/ns1:P6_Code" xmlDataType="double"/>
    </xmlCellPr>
  </singleXmlCell>
  <singleXmlCell id="824" r="E228" connectionId="0">
    <xmlCellPr id="1" uniqueName="1">
      <xmlPr mapId="43" xpath="/ns1:Root/ns1:P6_Tied"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37" zoomScale="120" zoomScaleNormal="10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656" t="str">
        <f>+"Панель показателей:  "&amp;"  "&amp;IF(+'Ввод данных'!B4="Выберите","",'Ввод данных'!B4&amp;" - ")&amp;IF('Ввод данных'!F6="Выберите","",'Ввод данных'!F6)</f>
        <v>Панель показателей:    Кыргызстан - ВИЧ/СПИД/ТБ</v>
      </c>
      <c r="C2" s="656"/>
      <c r="D2" s="656"/>
      <c r="E2" s="656"/>
      <c r="F2" s="656"/>
      <c r="G2" s="656"/>
      <c r="H2" s="656"/>
      <c r="I2" s="656"/>
      <c r="J2" s="656"/>
      <c r="K2" s="656"/>
      <c r="L2" s="656"/>
      <c r="M2" s="656"/>
      <c r="N2" s="1"/>
      <c r="O2" s="1"/>
    </row>
    <row r="4" spans="2:15" ht="21">
      <c r="B4" s="652" t="str">
        <f>+IF('Ввод данных'!F6="Выберите", "",'Ввод данных'!F6) &amp;"  "&amp;+IF('Ввод данных'!F8="Выберите", "", 'Ввод данных'!F8&amp;",  ")&amp;+IF('Ввод данных'!H8="Выберите","",'Ввод данных'!H8)</f>
        <v xml:space="preserve">ВИЧ/СПИД/ТБ  ,  </v>
      </c>
      <c r="C4" s="652"/>
      <c r="D4" s="652"/>
      <c r="E4" s="653"/>
      <c r="F4" s="205"/>
      <c r="G4" s="205"/>
      <c r="H4" s="289" t="str">
        <f>+'Ввод данных'!A6&amp;" "&amp;+'Ввод данных'!B6</f>
        <v>Грант № KGZ-C-UNDP</v>
      </c>
      <c r="I4" s="289"/>
      <c r="J4" s="204"/>
      <c r="K4" s="205"/>
      <c r="L4" s="205"/>
    </row>
    <row r="22" spans="2:12" ht="26.25">
      <c r="B22" s="654" t="s">
        <v>86</v>
      </c>
      <c r="C22" s="655"/>
      <c r="D22" s="655"/>
      <c r="E22" s="655"/>
      <c r="F22" s="655"/>
      <c r="G22" s="655"/>
      <c r="H22" s="655"/>
      <c r="I22" s="655"/>
      <c r="J22" s="655"/>
      <c r="K22" s="655"/>
      <c r="L22" s="655"/>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V83"/>
  <sheetViews>
    <sheetView showGridLines="0" zoomScale="75" zoomScaleNormal="100" workbookViewId="0">
      <pane ySplit="2" topLeftCell="A57" activePane="bottomLeft" state="frozen"/>
      <selection activeCell="E22" sqref="E22"/>
      <selection pane="bottomLeft" activeCell="E11" sqref="E11:I11"/>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33.7109375" customWidth="1"/>
    <col min="13" max="13" width="49.42578125" customWidth="1"/>
    <col min="14" max="14" width="2.570312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743" t="str">
        <f>+"Панель показателей: "&amp;" "&amp;+IF('Ввод данных'!B4="Выберите","",'Ввод данных'!B4&amp;" - ")&amp;+IF('Ввод данных'!F6="Выберите","",'Ввод данных'!F6)</f>
        <v>Панель показателей:  Кыргызстан - ВИЧ/СПИД/ТБ</v>
      </c>
      <c r="C2" s="743"/>
      <c r="D2" s="743"/>
      <c r="E2" s="743"/>
      <c r="F2" s="743"/>
      <c r="G2" s="743"/>
      <c r="H2" s="743"/>
      <c r="I2" s="743"/>
      <c r="J2" s="743"/>
      <c r="K2" s="743"/>
      <c r="L2" s="743"/>
      <c r="M2" s="743"/>
    </row>
    <row r="3" spans="1:15" ht="15.75" customHeight="1">
      <c r="A3" s="3"/>
      <c r="B3" s="196"/>
      <c r="C3" s="196"/>
      <c r="D3" s="196"/>
      <c r="E3" s="196"/>
      <c r="F3" s="196"/>
      <c r="G3" s="196"/>
      <c r="H3" s="196"/>
      <c r="I3" s="196"/>
      <c r="J3" s="196"/>
      <c r="K3" s="197"/>
      <c r="L3" s="197"/>
      <c r="M3" s="3"/>
    </row>
    <row r="5" spans="1:15" ht="23.25">
      <c r="B5" s="744" t="s">
        <v>313</v>
      </c>
      <c r="C5" s="744"/>
      <c r="D5" s="744"/>
      <c r="E5" s="744"/>
      <c r="F5" s="744"/>
      <c r="G5" s="744"/>
      <c r="H5" s="744"/>
      <c r="I5" s="744"/>
      <c r="J5" s="744"/>
      <c r="K5" s="744"/>
      <c r="L5" s="744"/>
      <c r="M5" s="744"/>
      <c r="N5" s="744"/>
      <c r="O5" s="744"/>
    </row>
    <row r="7" spans="1:15" s="383" customFormat="1" ht="21">
      <c r="B7" s="745" t="s">
        <v>87</v>
      </c>
      <c r="C7" s="746"/>
      <c r="D7" s="747"/>
      <c r="E7" s="745" t="s">
        <v>88</v>
      </c>
      <c r="F7" s="746"/>
      <c r="G7" s="746"/>
      <c r="H7" s="746"/>
      <c r="I7" s="747"/>
      <c r="J7" s="745" t="s">
        <v>89</v>
      </c>
      <c r="K7" s="746"/>
      <c r="L7" s="747"/>
      <c r="M7" s="745" t="s">
        <v>9</v>
      </c>
      <c r="N7" s="746"/>
      <c r="O7" s="747"/>
    </row>
    <row r="8" spans="1:15" ht="117.75" customHeight="1">
      <c r="B8" s="704" t="str">
        <f>+'Ввод данных'!A27</f>
        <v>F1: Бюджет и выплаты Глобальным фондом</v>
      </c>
      <c r="C8" s="751"/>
      <c r="D8" s="752"/>
      <c r="E8" s="748" t="s">
        <v>419</v>
      </c>
      <c r="F8" s="749"/>
      <c r="G8" s="749"/>
      <c r="H8" s="749"/>
      <c r="I8" s="750"/>
      <c r="J8" s="731" t="s">
        <v>427</v>
      </c>
      <c r="K8" s="732"/>
      <c r="L8" s="733"/>
      <c r="M8" s="731" t="s">
        <v>12</v>
      </c>
      <c r="N8" s="732"/>
      <c r="O8" s="733"/>
    </row>
    <row r="9" spans="1:15" ht="117.75" customHeight="1">
      <c r="B9" s="710" t="str">
        <f>+'Ввод данных'!A36</f>
        <v>F2: Бюджет и фактические расходы согласно задачам гранта</v>
      </c>
      <c r="C9" s="734"/>
      <c r="D9" s="735"/>
      <c r="E9" s="698" t="s">
        <v>418</v>
      </c>
      <c r="F9" s="713"/>
      <c r="G9" s="713"/>
      <c r="H9" s="713"/>
      <c r="I9" s="714"/>
      <c r="J9" s="731" t="s">
        <v>426</v>
      </c>
      <c r="K9" s="732"/>
      <c r="L9" s="733"/>
      <c r="M9" s="731" t="s">
        <v>12</v>
      </c>
      <c r="N9" s="732"/>
      <c r="O9" s="733"/>
    </row>
    <row r="10" spans="1:15" ht="247.5" customHeight="1">
      <c r="B10" s="710" t="str">
        <f>+'Ввод данных'!A58</f>
        <v>F3: Выплаты и расходы</v>
      </c>
      <c r="C10" s="734"/>
      <c r="D10" s="735"/>
      <c r="E10" s="698" t="s">
        <v>417</v>
      </c>
      <c r="F10" s="713"/>
      <c r="G10" s="713"/>
      <c r="H10" s="713"/>
      <c r="I10" s="714"/>
      <c r="J10" s="731" t="s">
        <v>425</v>
      </c>
      <c r="K10" s="732"/>
      <c r="L10" s="733"/>
      <c r="M10" s="731" t="s">
        <v>5</v>
      </c>
      <c r="N10" s="732"/>
      <c r="O10" s="733"/>
    </row>
    <row r="11" spans="1:15" ht="252.75" customHeight="1">
      <c r="B11" s="710" t="str">
        <f>+'Ввод данных'!A67</f>
        <v>F4: Последний отчетный и платежный цикл ОР</v>
      </c>
      <c r="C11" s="711"/>
      <c r="D11" s="712"/>
      <c r="E11" s="698" t="s">
        <v>416</v>
      </c>
      <c r="F11" s="713"/>
      <c r="G11" s="713"/>
      <c r="H11" s="713"/>
      <c r="I11" s="714"/>
      <c r="J11" s="731" t="s">
        <v>358</v>
      </c>
      <c r="K11" s="732"/>
      <c r="L11" s="733"/>
      <c r="M11" s="731" t="s">
        <v>6</v>
      </c>
      <c r="N11" s="732"/>
      <c r="O11" s="733"/>
    </row>
    <row r="12" spans="1:15" s="19" customFormat="1">
      <c r="B12" s="738"/>
      <c r="C12" s="738"/>
      <c r="D12" s="738"/>
      <c r="E12" s="739"/>
      <c r="F12" s="739"/>
      <c r="G12" s="739"/>
      <c r="H12" s="739"/>
      <c r="I12" s="739"/>
      <c r="J12" s="739"/>
      <c r="K12" s="739"/>
      <c r="L12" s="739"/>
      <c r="M12" s="739"/>
      <c r="N12" s="739"/>
      <c r="O12" s="739"/>
    </row>
    <row r="13" spans="1:15" s="19" customFormat="1">
      <c r="B13" s="737"/>
      <c r="C13" s="737"/>
      <c r="D13" s="737"/>
      <c r="E13" s="736"/>
      <c r="F13" s="736"/>
      <c r="G13" s="736"/>
      <c r="H13" s="736"/>
      <c r="I13" s="736"/>
      <c r="J13" s="736"/>
      <c r="K13" s="736"/>
      <c r="L13" s="736"/>
      <c r="M13" s="736"/>
      <c r="N13" s="736"/>
      <c r="O13" s="736"/>
    </row>
    <row r="14" spans="1:15" s="19" customFormat="1">
      <c r="B14" s="737"/>
      <c r="C14" s="737"/>
      <c r="D14" s="737"/>
      <c r="E14" s="736"/>
      <c r="F14" s="736"/>
      <c r="G14" s="736"/>
      <c r="H14" s="736"/>
      <c r="I14" s="736"/>
      <c r="J14" s="736"/>
      <c r="K14" s="736"/>
      <c r="L14" s="736"/>
      <c r="M14" s="736"/>
      <c r="N14" s="736"/>
      <c r="O14" s="736"/>
    </row>
    <row r="15" spans="1:15" s="19" customFormat="1">
      <c r="B15" s="737"/>
      <c r="C15" s="737"/>
      <c r="D15" s="737"/>
      <c r="E15" s="736"/>
      <c r="F15" s="736"/>
      <c r="G15" s="736"/>
      <c r="H15" s="736"/>
      <c r="I15" s="736"/>
      <c r="J15" s="736"/>
      <c r="K15" s="736"/>
      <c r="L15" s="736"/>
      <c r="M15" s="736"/>
      <c r="N15" s="736"/>
      <c r="O15" s="736"/>
    </row>
    <row r="16" spans="1:15" ht="23.25">
      <c r="B16" s="744" t="s">
        <v>277</v>
      </c>
      <c r="C16" s="744"/>
      <c r="D16" s="744"/>
      <c r="E16" s="744"/>
      <c r="F16" s="744"/>
      <c r="G16" s="744"/>
      <c r="H16" s="744"/>
      <c r="I16" s="744"/>
      <c r="J16" s="744"/>
      <c r="K16" s="744"/>
      <c r="L16" s="744"/>
      <c r="M16" s="744"/>
      <c r="N16" s="744"/>
      <c r="O16" s="744"/>
    </row>
    <row r="18" spans="1:15" ht="21">
      <c r="B18" s="701" t="s">
        <v>87</v>
      </c>
      <c r="C18" s="702"/>
      <c r="D18" s="703"/>
      <c r="E18" s="701" t="s">
        <v>88</v>
      </c>
      <c r="F18" s="702"/>
      <c r="G18" s="702"/>
      <c r="H18" s="702"/>
      <c r="I18" s="703"/>
      <c r="J18" s="701" t="s">
        <v>89</v>
      </c>
      <c r="K18" s="702"/>
      <c r="L18" s="703"/>
      <c r="M18" s="701" t="s">
        <v>90</v>
      </c>
      <c r="N18" s="702"/>
      <c r="O18" s="703"/>
    </row>
    <row r="19" spans="1:15" ht="114" customHeight="1">
      <c r="B19" s="704" t="str">
        <f>+'Ввод данных'!A78</f>
        <v>M1: Статус Предварительных условий (ПУ) и Действий с установленным сроком исполнения (ДУС)</v>
      </c>
      <c r="C19" s="705"/>
      <c r="D19" s="706"/>
      <c r="E19" s="698" t="s">
        <v>2</v>
      </c>
      <c r="F19" s="699"/>
      <c r="G19" s="699"/>
      <c r="H19" s="699"/>
      <c r="I19" s="700"/>
      <c r="J19" s="707" t="s">
        <v>423</v>
      </c>
      <c r="K19" s="708"/>
      <c r="L19" s="709"/>
      <c r="M19" s="707" t="s">
        <v>424</v>
      </c>
      <c r="N19" s="708"/>
      <c r="O19" s="709"/>
    </row>
    <row r="20" spans="1:15" ht="102.75" customHeight="1">
      <c r="B20" s="710" t="str">
        <f>+'Ввод данных'!A87</f>
        <v>M2: Статус ключевых руководящих должностей в структуре ОР</v>
      </c>
      <c r="C20" s="711"/>
      <c r="D20" s="712"/>
      <c r="E20" s="698" t="s">
        <v>415</v>
      </c>
      <c r="F20" s="713"/>
      <c r="G20" s="713"/>
      <c r="H20" s="713"/>
      <c r="I20" s="714"/>
      <c r="J20" s="707" t="s">
        <v>422</v>
      </c>
      <c r="K20" s="708"/>
      <c r="L20" s="709"/>
      <c r="M20" s="707" t="s">
        <v>13</v>
      </c>
      <c r="N20" s="708"/>
      <c r="O20" s="709"/>
    </row>
    <row r="21" spans="1:15" ht="141.75" customHeight="1">
      <c r="B21" s="704" t="str">
        <f>+'Ввод данных'!A93</f>
        <v xml:space="preserve">M3: Контрактные соглашения (СР) </v>
      </c>
      <c r="C21" s="705"/>
      <c r="D21" s="706"/>
      <c r="E21" s="707" t="s">
        <v>411</v>
      </c>
      <c r="F21" s="713"/>
      <c r="G21" s="713"/>
      <c r="H21" s="713"/>
      <c r="I21" s="714"/>
      <c r="J21" s="774" t="s">
        <v>421</v>
      </c>
      <c r="K21" s="775"/>
      <c r="L21" s="776"/>
      <c r="M21" s="707" t="s">
        <v>15</v>
      </c>
      <c r="N21" s="708"/>
      <c r="O21" s="709"/>
    </row>
    <row r="22" spans="1:15" ht="96" customHeight="1">
      <c r="B22" s="704" t="str">
        <f>+'Ввод данных'!A99</f>
        <v>M4: Количество полных отчетов, полученных к установленному сроку</v>
      </c>
      <c r="C22" s="705"/>
      <c r="D22" s="706"/>
      <c r="E22" s="707" t="s">
        <v>409</v>
      </c>
      <c r="F22" s="708"/>
      <c r="G22" s="708"/>
      <c r="H22" s="708"/>
      <c r="I22" s="709"/>
      <c r="J22" s="707" t="s">
        <v>359</v>
      </c>
      <c r="K22" s="708"/>
      <c r="L22" s="709"/>
      <c r="M22" s="707" t="s">
        <v>14</v>
      </c>
      <c r="N22" s="708"/>
      <c r="O22" s="709"/>
    </row>
    <row r="23" spans="1:15" ht="187.5" customHeight="1">
      <c r="B23" s="721"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3" s="722"/>
      <c r="D23" s="723"/>
      <c r="E23" s="753" t="s">
        <v>408</v>
      </c>
      <c r="F23" s="754"/>
      <c r="G23" s="754"/>
      <c r="H23" s="754"/>
      <c r="I23" s="755"/>
      <c r="J23" s="763" t="s">
        <v>10</v>
      </c>
      <c r="K23" s="764"/>
      <c r="L23" s="765"/>
      <c r="M23" s="763" t="s">
        <v>420</v>
      </c>
      <c r="N23" s="764"/>
      <c r="O23" s="765"/>
    </row>
    <row r="24" spans="1:15" ht="72.75" customHeight="1">
      <c r="B24" s="724"/>
      <c r="C24" s="725"/>
      <c r="D24" s="726"/>
      <c r="E24" s="718" t="s">
        <v>404</v>
      </c>
      <c r="F24" s="719"/>
      <c r="G24" s="719"/>
      <c r="H24" s="719"/>
      <c r="I24" s="720"/>
      <c r="J24" s="766"/>
      <c r="K24" s="767"/>
      <c r="L24" s="768"/>
      <c r="M24" s="766"/>
      <c r="N24" s="767"/>
      <c r="O24" s="768"/>
    </row>
    <row r="25" spans="1:15" ht="282.75" customHeight="1">
      <c r="B25" s="704" t="str">
        <f>+'Ввод данных'!A120</f>
        <v>M6: Разница между текущим и резервным запасами</v>
      </c>
      <c r="C25" s="705"/>
      <c r="D25" s="706"/>
      <c r="E25" s="715" t="s">
        <v>402</v>
      </c>
      <c r="F25" s="716"/>
      <c r="G25" s="716"/>
      <c r="H25" s="716"/>
      <c r="I25" s="717"/>
      <c r="J25" s="715" t="s">
        <v>11</v>
      </c>
      <c r="K25" s="772"/>
      <c r="L25" s="773"/>
      <c r="M25" s="769" t="s">
        <v>8</v>
      </c>
      <c r="N25" s="770"/>
      <c r="O25" s="771"/>
    </row>
    <row r="29" spans="1:15" ht="18.75">
      <c r="B29" s="226"/>
    </row>
    <row r="30" spans="1:15" ht="23.25">
      <c r="B30" s="744" t="s">
        <v>378</v>
      </c>
      <c r="C30" s="744"/>
      <c r="D30" s="744"/>
      <c r="E30" s="744"/>
      <c r="F30" s="744"/>
      <c r="G30" s="744"/>
      <c r="H30" s="744"/>
      <c r="I30" s="744"/>
      <c r="J30" s="744"/>
      <c r="K30" s="744"/>
      <c r="L30" s="744"/>
      <c r="M30" s="744"/>
      <c r="N30" s="744"/>
      <c r="O30" s="744"/>
    </row>
    <row r="32" spans="1:15" ht="28.5" customHeight="1">
      <c r="A32" s="223"/>
      <c r="B32" s="756" t="s">
        <v>555</v>
      </c>
      <c r="C32" s="757"/>
      <c r="D32" s="758"/>
      <c r="E32" s="759" t="s">
        <v>672</v>
      </c>
      <c r="F32" s="760"/>
      <c r="G32" s="760"/>
      <c r="H32" s="760"/>
      <c r="I32" s="761"/>
      <c r="J32" s="762" t="s">
        <v>89</v>
      </c>
      <c r="K32" s="760"/>
      <c r="L32" s="761"/>
      <c r="M32" s="762" t="s">
        <v>9</v>
      </c>
      <c r="N32" s="760"/>
      <c r="O32" s="761"/>
    </row>
    <row r="33" spans="1:15" ht="61.5" customHeight="1">
      <c r="A33" s="224"/>
      <c r="B33" s="690" t="s">
        <v>489</v>
      </c>
      <c r="C33" s="691"/>
      <c r="D33" s="692"/>
      <c r="E33" s="677" t="s">
        <v>490</v>
      </c>
      <c r="F33" s="688"/>
      <c r="G33" s="688"/>
      <c r="H33" s="688"/>
      <c r="I33" s="689"/>
      <c r="J33" s="663" t="s">
        <v>491</v>
      </c>
      <c r="K33" s="664"/>
      <c r="L33" s="665"/>
      <c r="M33" s="663" t="s">
        <v>492</v>
      </c>
      <c r="N33" s="664"/>
      <c r="O33" s="665"/>
    </row>
    <row r="34" spans="1:15" ht="61.5" customHeight="1">
      <c r="A34" s="224"/>
      <c r="B34" s="690" t="s">
        <v>493</v>
      </c>
      <c r="C34" s="691"/>
      <c r="D34" s="692"/>
      <c r="E34" s="677" t="s">
        <v>494</v>
      </c>
      <c r="F34" s="688"/>
      <c r="G34" s="688"/>
      <c r="H34" s="688"/>
      <c r="I34" s="689"/>
      <c r="J34" s="663" t="s">
        <v>495</v>
      </c>
      <c r="K34" s="664"/>
      <c r="L34" s="665"/>
      <c r="M34" s="663" t="s">
        <v>496</v>
      </c>
      <c r="N34" s="664"/>
      <c r="O34" s="665"/>
    </row>
    <row r="35" spans="1:15" ht="102.75" customHeight="1">
      <c r="A35" s="224"/>
      <c r="B35" s="690" t="s">
        <v>497</v>
      </c>
      <c r="C35" s="691"/>
      <c r="D35" s="692"/>
      <c r="E35" s="677" t="s">
        <v>655</v>
      </c>
      <c r="F35" s="688"/>
      <c r="G35" s="688"/>
      <c r="H35" s="688"/>
      <c r="I35" s="689"/>
      <c r="J35" s="663" t="s">
        <v>498</v>
      </c>
      <c r="K35" s="664"/>
      <c r="L35" s="665"/>
      <c r="M35" s="663" t="s">
        <v>496</v>
      </c>
      <c r="N35" s="664"/>
      <c r="O35" s="665"/>
    </row>
    <row r="36" spans="1:15" ht="141" customHeight="1">
      <c r="A36" s="224"/>
      <c r="B36" s="690" t="s">
        <v>499</v>
      </c>
      <c r="C36" s="691"/>
      <c r="D36" s="692"/>
      <c r="E36" s="677" t="s">
        <v>500</v>
      </c>
      <c r="F36" s="688"/>
      <c r="G36" s="688"/>
      <c r="H36" s="688"/>
      <c r="I36" s="689"/>
      <c r="J36" s="663" t="s">
        <v>501</v>
      </c>
      <c r="K36" s="664"/>
      <c r="L36" s="665"/>
      <c r="M36" s="663" t="s">
        <v>496</v>
      </c>
      <c r="N36" s="664"/>
      <c r="O36" s="665"/>
    </row>
    <row r="37" spans="1:15" ht="88.5" customHeight="1">
      <c r="A37" s="224"/>
      <c r="B37" s="690" t="s">
        <v>502</v>
      </c>
      <c r="C37" s="691"/>
      <c r="D37" s="692"/>
      <c r="E37" s="677" t="s">
        <v>503</v>
      </c>
      <c r="F37" s="688"/>
      <c r="G37" s="688"/>
      <c r="H37" s="688"/>
      <c r="I37" s="689"/>
      <c r="J37" s="663" t="s">
        <v>504</v>
      </c>
      <c r="K37" s="664"/>
      <c r="L37" s="665"/>
      <c r="M37" s="663" t="s">
        <v>496</v>
      </c>
      <c r="N37" s="664"/>
      <c r="O37" s="665"/>
    </row>
    <row r="38" spans="1:15" ht="74.25" customHeight="1">
      <c r="A38" s="224"/>
      <c r="B38" s="690" t="s">
        <v>505</v>
      </c>
      <c r="C38" s="691"/>
      <c r="D38" s="692"/>
      <c r="E38" s="663" t="s">
        <v>506</v>
      </c>
      <c r="F38" s="664"/>
      <c r="G38" s="664"/>
      <c r="H38" s="664"/>
      <c r="I38" s="665"/>
      <c r="J38" s="663" t="s">
        <v>507</v>
      </c>
      <c r="K38" s="664"/>
      <c r="L38" s="665"/>
      <c r="M38" s="663" t="s">
        <v>496</v>
      </c>
      <c r="N38" s="664"/>
      <c r="O38" s="665"/>
    </row>
    <row r="39" spans="1:15" ht="99.75" customHeight="1">
      <c r="A39" s="224"/>
      <c r="B39" s="690" t="s">
        <v>508</v>
      </c>
      <c r="C39" s="691"/>
      <c r="D39" s="692"/>
      <c r="E39" s="677" t="s">
        <v>509</v>
      </c>
      <c r="F39" s="696"/>
      <c r="G39" s="696"/>
      <c r="H39" s="696"/>
      <c r="I39" s="697"/>
      <c r="J39" s="663" t="s">
        <v>510</v>
      </c>
      <c r="K39" s="664"/>
      <c r="L39" s="665"/>
      <c r="M39" s="663" t="s">
        <v>496</v>
      </c>
      <c r="N39" s="664"/>
      <c r="O39" s="665"/>
    </row>
    <row r="40" spans="1:15" ht="85.5" customHeight="1">
      <c r="A40" s="224"/>
      <c r="B40" s="690" t="s">
        <v>511</v>
      </c>
      <c r="C40" s="691"/>
      <c r="D40" s="692"/>
      <c r="E40" s="677" t="s">
        <v>512</v>
      </c>
      <c r="F40" s="696"/>
      <c r="G40" s="696"/>
      <c r="H40" s="696"/>
      <c r="I40" s="697"/>
      <c r="J40" s="663" t="s">
        <v>513</v>
      </c>
      <c r="K40" s="664"/>
      <c r="L40" s="665"/>
      <c r="M40" s="663" t="s">
        <v>514</v>
      </c>
      <c r="N40" s="664"/>
      <c r="O40" s="665"/>
    </row>
    <row r="41" spans="1:15" ht="94.5" customHeight="1">
      <c r="A41" s="224"/>
      <c r="B41" s="690" t="s">
        <v>515</v>
      </c>
      <c r="C41" s="691"/>
      <c r="D41" s="692"/>
      <c r="E41" s="777" t="s">
        <v>516</v>
      </c>
      <c r="F41" s="778"/>
      <c r="G41" s="778"/>
      <c r="H41" s="778"/>
      <c r="I41" s="779"/>
      <c r="J41" s="663" t="s">
        <v>517</v>
      </c>
      <c r="K41" s="664"/>
      <c r="L41" s="665"/>
      <c r="M41" s="663" t="s">
        <v>518</v>
      </c>
      <c r="N41" s="664"/>
      <c r="O41" s="665"/>
    </row>
    <row r="42" spans="1:15" ht="103.5" customHeight="1">
      <c r="A42" s="224"/>
      <c r="B42" s="690" t="s">
        <v>519</v>
      </c>
      <c r="C42" s="691"/>
      <c r="D42" s="692"/>
      <c r="E42" s="677" t="s">
        <v>520</v>
      </c>
      <c r="F42" s="696"/>
      <c r="G42" s="696"/>
      <c r="H42" s="696"/>
      <c r="I42" s="697"/>
      <c r="J42" s="663" t="s">
        <v>521</v>
      </c>
      <c r="K42" s="664"/>
      <c r="L42" s="665"/>
      <c r="M42" s="663" t="s">
        <v>496</v>
      </c>
      <c r="N42" s="664"/>
      <c r="O42" s="665"/>
    </row>
    <row r="43" spans="1:15" ht="101.25" customHeight="1">
      <c r="A43" s="224"/>
      <c r="B43" s="690" t="s">
        <v>522</v>
      </c>
      <c r="C43" s="691"/>
      <c r="D43" s="692"/>
      <c r="E43" s="663" t="s">
        <v>523</v>
      </c>
      <c r="F43" s="664"/>
      <c r="G43" s="664"/>
      <c r="H43" s="664"/>
      <c r="I43" s="665"/>
      <c r="J43" s="663" t="s">
        <v>524</v>
      </c>
      <c r="K43" s="664"/>
      <c r="L43" s="665"/>
      <c r="M43" s="663" t="s">
        <v>496</v>
      </c>
      <c r="N43" s="664"/>
      <c r="O43" s="665"/>
    </row>
    <row r="44" spans="1:15" ht="94.5" customHeight="1">
      <c r="A44" s="224"/>
      <c r="B44" s="690" t="s">
        <v>525</v>
      </c>
      <c r="C44" s="691"/>
      <c r="D44" s="692"/>
      <c r="E44" s="677" t="s">
        <v>526</v>
      </c>
      <c r="F44" s="696"/>
      <c r="G44" s="696"/>
      <c r="H44" s="696"/>
      <c r="I44" s="697"/>
      <c r="J44" s="663" t="s">
        <v>527</v>
      </c>
      <c r="K44" s="664"/>
      <c r="L44" s="665"/>
      <c r="M44" s="663" t="s">
        <v>496</v>
      </c>
      <c r="N44" s="664"/>
      <c r="O44" s="665"/>
    </row>
    <row r="45" spans="1:15" ht="61.5" customHeight="1">
      <c r="A45" s="224"/>
      <c r="B45" s="690" t="s">
        <v>528</v>
      </c>
      <c r="C45" s="691"/>
      <c r="D45" s="692"/>
      <c r="E45" s="677" t="s">
        <v>529</v>
      </c>
      <c r="F45" s="688"/>
      <c r="G45" s="688"/>
      <c r="H45" s="688"/>
      <c r="I45" s="689"/>
      <c r="J45" s="663" t="s">
        <v>530</v>
      </c>
      <c r="K45" s="664"/>
      <c r="L45" s="665"/>
      <c r="M45" s="663" t="s">
        <v>531</v>
      </c>
      <c r="N45" s="664"/>
      <c r="O45" s="665"/>
    </row>
    <row r="46" spans="1:15" ht="84.75" customHeight="1">
      <c r="A46" s="224"/>
      <c r="B46" s="690" t="s">
        <v>532</v>
      </c>
      <c r="C46" s="691"/>
      <c r="D46" s="692"/>
      <c r="E46" s="677" t="s">
        <v>533</v>
      </c>
      <c r="F46" s="688"/>
      <c r="G46" s="688"/>
      <c r="H46" s="688"/>
      <c r="I46" s="689"/>
      <c r="J46" s="663" t="s">
        <v>534</v>
      </c>
      <c r="K46" s="664"/>
      <c r="L46" s="665"/>
      <c r="M46" s="663" t="s">
        <v>535</v>
      </c>
      <c r="N46" s="664"/>
      <c r="O46" s="665"/>
    </row>
    <row r="47" spans="1:15" ht="139.5" customHeight="1">
      <c r="A47" s="224"/>
      <c r="B47" s="690" t="s">
        <v>536</v>
      </c>
      <c r="C47" s="691"/>
      <c r="D47" s="692"/>
      <c r="E47" s="663" t="s">
        <v>537</v>
      </c>
      <c r="F47" s="664"/>
      <c r="G47" s="664"/>
      <c r="H47" s="664"/>
      <c r="I47" s="665"/>
      <c r="J47" s="663" t="s">
        <v>538</v>
      </c>
      <c r="K47" s="664"/>
      <c r="L47" s="665"/>
      <c r="M47" s="663" t="s">
        <v>535</v>
      </c>
      <c r="N47" s="664"/>
      <c r="O47" s="665"/>
    </row>
    <row r="48" spans="1:15" ht="94.5" customHeight="1">
      <c r="A48" s="224"/>
      <c r="B48" s="690" t="s">
        <v>539</v>
      </c>
      <c r="C48" s="691"/>
      <c r="D48" s="692"/>
      <c r="E48" s="663" t="s">
        <v>540</v>
      </c>
      <c r="F48" s="664"/>
      <c r="G48" s="664"/>
      <c r="H48" s="664"/>
      <c r="I48" s="665"/>
      <c r="J48" s="663" t="s">
        <v>541</v>
      </c>
      <c r="K48" s="664"/>
      <c r="L48" s="665"/>
      <c r="M48" s="599" t="s">
        <v>542</v>
      </c>
      <c r="N48" s="600"/>
      <c r="O48" s="601"/>
    </row>
    <row r="49" spans="1:15" ht="138.75" customHeight="1">
      <c r="A49" s="224"/>
      <c r="B49" s="690" t="s">
        <v>543</v>
      </c>
      <c r="C49" s="691"/>
      <c r="D49" s="692"/>
      <c r="E49" s="663" t="s">
        <v>544</v>
      </c>
      <c r="F49" s="664"/>
      <c r="G49" s="664"/>
      <c r="H49" s="664"/>
      <c r="I49" s="665"/>
      <c r="J49" s="663" t="s">
        <v>545</v>
      </c>
      <c r="K49" s="664"/>
      <c r="L49" s="665"/>
      <c r="M49" s="663" t="s">
        <v>542</v>
      </c>
      <c r="N49" s="664"/>
      <c r="O49" s="665"/>
    </row>
    <row r="50" spans="1:15" ht="61.5" customHeight="1">
      <c r="A50" s="224"/>
      <c r="B50" s="690" t="s">
        <v>546</v>
      </c>
      <c r="C50" s="691"/>
      <c r="D50" s="692"/>
      <c r="E50" s="677" t="s">
        <v>547</v>
      </c>
      <c r="F50" s="688"/>
      <c r="G50" s="688"/>
      <c r="H50" s="688"/>
      <c r="I50" s="689"/>
      <c r="J50" s="663" t="s">
        <v>548</v>
      </c>
      <c r="K50" s="664"/>
      <c r="L50" s="665"/>
      <c r="M50" s="663" t="s">
        <v>549</v>
      </c>
      <c r="N50" s="664"/>
      <c r="O50" s="665"/>
    </row>
    <row r="51" spans="1:15" ht="61.5" customHeight="1">
      <c r="A51" s="224"/>
      <c r="B51" s="690" t="s">
        <v>550</v>
      </c>
      <c r="C51" s="691"/>
      <c r="D51" s="692"/>
      <c r="E51" s="663" t="s">
        <v>551</v>
      </c>
      <c r="F51" s="664"/>
      <c r="G51" s="664"/>
      <c r="H51" s="664"/>
      <c r="I51" s="665"/>
      <c r="J51" s="663" t="s">
        <v>552</v>
      </c>
      <c r="K51" s="664"/>
      <c r="L51" s="665"/>
      <c r="M51" s="663" t="s">
        <v>553</v>
      </c>
      <c r="N51" s="664"/>
      <c r="O51" s="665"/>
    </row>
    <row r="52" spans="1:15" ht="61.5" customHeight="1">
      <c r="A52" s="224"/>
      <c r="B52" s="756" t="s">
        <v>554</v>
      </c>
      <c r="C52" s="757"/>
      <c r="D52" s="758"/>
      <c r="E52" s="759" t="s">
        <v>672</v>
      </c>
      <c r="F52" s="760"/>
      <c r="G52" s="760"/>
      <c r="H52" s="760"/>
      <c r="I52" s="761"/>
      <c r="J52" s="762" t="s">
        <v>89</v>
      </c>
      <c r="K52" s="760"/>
      <c r="L52" s="761"/>
      <c r="M52" s="762" t="s">
        <v>9</v>
      </c>
      <c r="N52" s="760"/>
      <c r="O52" s="761"/>
    </row>
    <row r="53" spans="1:15" ht="65.25" customHeight="1">
      <c r="A53" s="224"/>
      <c r="B53" s="693" t="s">
        <v>440</v>
      </c>
      <c r="C53" s="694"/>
      <c r="D53" s="695"/>
      <c r="E53" s="677" t="s">
        <v>458</v>
      </c>
      <c r="F53" s="688"/>
      <c r="G53" s="688"/>
      <c r="H53" s="688"/>
      <c r="I53" s="689"/>
      <c r="J53" s="663" t="s">
        <v>437</v>
      </c>
      <c r="K53" s="664"/>
      <c r="L53" s="665"/>
      <c r="M53" s="663" t="s">
        <v>436</v>
      </c>
      <c r="N53" s="664"/>
      <c r="O53" s="665"/>
    </row>
    <row r="54" spans="1:15" ht="99.75" customHeight="1">
      <c r="A54" s="224"/>
      <c r="B54" s="693" t="s">
        <v>459</v>
      </c>
      <c r="C54" s="694"/>
      <c r="D54" s="695"/>
      <c r="E54" s="677" t="s">
        <v>439</v>
      </c>
      <c r="F54" s="688"/>
      <c r="G54" s="688"/>
      <c r="H54" s="688"/>
      <c r="I54" s="689"/>
      <c r="J54" s="663" t="s">
        <v>437</v>
      </c>
      <c r="K54" s="664"/>
      <c r="L54" s="665"/>
      <c r="M54" s="663" t="s">
        <v>438</v>
      </c>
      <c r="N54" s="664"/>
      <c r="O54" s="665"/>
    </row>
    <row r="55" spans="1:15" ht="81.75" customHeight="1">
      <c r="A55" s="224"/>
      <c r="B55" s="693" t="s">
        <v>460</v>
      </c>
      <c r="C55" s="694"/>
      <c r="D55" s="695"/>
      <c r="E55" s="663" t="s">
        <v>628</v>
      </c>
      <c r="F55" s="664"/>
      <c r="G55" s="664"/>
      <c r="H55" s="664"/>
      <c r="I55" s="665"/>
      <c r="J55" s="663" t="s">
        <v>437</v>
      </c>
      <c r="K55" s="664"/>
      <c r="L55" s="665"/>
      <c r="M55" s="663" t="s">
        <v>629</v>
      </c>
      <c r="N55" s="664"/>
      <c r="O55" s="665"/>
    </row>
    <row r="56" spans="1:15" ht="66.75" customHeight="1">
      <c r="A56" s="224"/>
      <c r="B56" s="693" t="s">
        <v>462</v>
      </c>
      <c r="C56" s="694"/>
      <c r="D56" s="695"/>
      <c r="E56" s="663" t="s">
        <v>631</v>
      </c>
      <c r="F56" s="727"/>
      <c r="G56" s="727"/>
      <c r="H56" s="727"/>
      <c r="I56" s="728"/>
      <c r="J56" s="663" t="s">
        <v>632</v>
      </c>
      <c r="K56" s="664"/>
      <c r="L56" s="665"/>
      <c r="M56" s="663" t="s">
        <v>630</v>
      </c>
      <c r="N56" s="664"/>
      <c r="O56" s="665"/>
    </row>
    <row r="57" spans="1:15" ht="78" customHeight="1">
      <c r="A57" s="224"/>
      <c r="B57" s="693" t="s">
        <v>463</v>
      </c>
      <c r="C57" s="694"/>
      <c r="D57" s="695"/>
      <c r="E57" s="677" t="s">
        <v>634</v>
      </c>
      <c r="F57" s="688"/>
      <c r="G57" s="688"/>
      <c r="H57" s="688"/>
      <c r="I57" s="689"/>
      <c r="J57" s="663" t="s">
        <v>632</v>
      </c>
      <c r="K57" s="664"/>
      <c r="L57" s="665"/>
      <c r="M57" s="663" t="s">
        <v>633</v>
      </c>
      <c r="N57" s="664"/>
      <c r="O57" s="665"/>
    </row>
    <row r="58" spans="1:15" ht="133.5" customHeight="1">
      <c r="A58" s="224"/>
      <c r="B58" s="669" t="s">
        <v>465</v>
      </c>
      <c r="C58" s="670"/>
      <c r="D58" s="671"/>
      <c r="E58" s="663" t="s">
        <v>636</v>
      </c>
      <c r="F58" s="664"/>
      <c r="G58" s="664"/>
      <c r="H58" s="664"/>
      <c r="I58" s="665"/>
      <c r="J58" s="663" t="s">
        <v>635</v>
      </c>
      <c r="K58" s="664"/>
      <c r="L58" s="665"/>
      <c r="M58" s="663" t="s">
        <v>637</v>
      </c>
      <c r="N58" s="664"/>
      <c r="O58" s="665"/>
    </row>
    <row r="59" spans="1:15" ht="2.25" hidden="1" customHeight="1">
      <c r="A59" s="224"/>
      <c r="B59" s="672"/>
      <c r="C59" s="683"/>
      <c r="D59" s="684"/>
      <c r="E59" s="685"/>
      <c r="F59" s="686"/>
      <c r="G59" s="686"/>
      <c r="H59" s="686"/>
      <c r="I59" s="687"/>
      <c r="J59" s="663"/>
      <c r="K59" s="664"/>
      <c r="L59" s="665"/>
      <c r="M59" s="663"/>
      <c r="N59" s="664"/>
      <c r="O59" s="665"/>
    </row>
    <row r="60" spans="1:15" ht="3.75" customHeight="1">
      <c r="A60" s="224"/>
      <c r="B60" s="672"/>
      <c r="C60" s="683"/>
      <c r="D60" s="684"/>
      <c r="E60" s="677"/>
      <c r="F60" s="688"/>
      <c r="G60" s="688"/>
      <c r="H60" s="688"/>
      <c r="I60" s="689"/>
      <c r="J60" s="663"/>
      <c r="K60" s="664"/>
      <c r="L60" s="665"/>
      <c r="M60" s="663"/>
      <c r="N60" s="664"/>
      <c r="O60" s="665"/>
    </row>
    <row r="61" spans="1:15" ht="14.25" customHeight="1">
      <c r="A61" s="224"/>
      <c r="B61" s="672"/>
      <c r="C61" s="673"/>
      <c r="D61" s="674"/>
      <c r="E61" s="677"/>
      <c r="F61" s="678"/>
      <c r="G61" s="678"/>
      <c r="H61" s="678"/>
      <c r="I61" s="679"/>
      <c r="J61" s="663"/>
      <c r="K61" s="675"/>
      <c r="L61" s="676"/>
      <c r="M61" s="450"/>
      <c r="N61" s="451"/>
      <c r="O61" s="452"/>
    </row>
    <row r="62" spans="1:15" ht="119.25" hidden="1" customHeight="1">
      <c r="A62" s="224"/>
      <c r="B62" s="672"/>
      <c r="C62" s="673"/>
      <c r="D62" s="674"/>
      <c r="E62" s="740"/>
      <c r="F62" s="741"/>
      <c r="G62" s="741"/>
      <c r="H62" s="741"/>
      <c r="I62" s="742"/>
      <c r="J62" s="663"/>
      <c r="K62" s="675"/>
      <c r="L62" s="676"/>
      <c r="M62" s="663"/>
      <c r="N62" s="675"/>
      <c r="O62" s="676"/>
    </row>
    <row r="63" spans="1:15" ht="88.5" hidden="1" customHeight="1">
      <c r="A63" s="224"/>
      <c r="B63" s="672"/>
      <c r="C63" s="673"/>
      <c r="D63" s="674"/>
      <c r="E63" s="677"/>
      <c r="F63" s="729"/>
      <c r="G63" s="729"/>
      <c r="H63" s="729"/>
      <c r="I63" s="730"/>
      <c r="J63" s="663"/>
      <c r="K63" s="675"/>
      <c r="L63" s="676"/>
      <c r="M63" s="450"/>
      <c r="N63" s="451"/>
      <c r="O63" s="452"/>
    </row>
    <row r="64" spans="1:15" ht="30" customHeight="1">
      <c r="B64" s="666" t="s">
        <v>400</v>
      </c>
      <c r="C64" s="667"/>
      <c r="D64" s="668"/>
      <c r="E64" s="660" t="s">
        <v>88</v>
      </c>
      <c r="F64" s="661"/>
      <c r="G64" s="661"/>
      <c r="H64" s="661"/>
      <c r="I64" s="662"/>
      <c r="J64" s="660" t="s">
        <v>89</v>
      </c>
      <c r="K64" s="661"/>
      <c r="L64" s="662"/>
      <c r="M64" s="660" t="s">
        <v>9</v>
      </c>
      <c r="N64" s="661"/>
      <c r="O64" s="662"/>
    </row>
    <row r="65" spans="2:15" ht="33.75" customHeight="1">
      <c r="B65" s="218"/>
      <c r="C65" s="219"/>
      <c r="D65" s="219"/>
      <c r="E65" s="212"/>
      <c r="F65" s="214"/>
      <c r="G65" s="214"/>
      <c r="H65" s="214"/>
      <c r="I65" s="214"/>
      <c r="J65" s="212"/>
      <c r="K65" s="212"/>
      <c r="L65" s="213"/>
      <c r="M65" s="211"/>
      <c r="N65" s="212"/>
      <c r="O65" s="213"/>
    </row>
    <row r="66" spans="2:15" ht="15.75" customHeight="1">
      <c r="B66" s="680" t="s">
        <v>399</v>
      </c>
      <c r="C66" s="681"/>
      <c r="D66" s="681"/>
      <c r="E66" s="681"/>
      <c r="F66" s="681"/>
      <c r="G66" s="681"/>
      <c r="H66" s="681"/>
      <c r="I66" s="681"/>
      <c r="J66" s="681"/>
      <c r="K66" s="681"/>
      <c r="L66" s="682"/>
      <c r="M66" s="657" t="s">
        <v>401</v>
      </c>
      <c r="N66" s="658"/>
      <c r="O66" s="659"/>
    </row>
    <row r="67" spans="2:15">
      <c r="D67" s="198"/>
    </row>
    <row r="69" spans="2:15">
      <c r="D69" s="198"/>
    </row>
    <row r="70" spans="2:15">
      <c r="D70" s="198"/>
    </row>
    <row r="83" spans="1:1">
      <c r="A83" s="201"/>
    </row>
  </sheetData>
  <mergeCells count="200">
    <mergeCell ref="M51:O51"/>
    <mergeCell ref="B52:D52"/>
    <mergeCell ref="E52:I52"/>
    <mergeCell ref="J52:L52"/>
    <mergeCell ref="M52:O52"/>
    <mergeCell ref="B48:D48"/>
    <mergeCell ref="E48:I48"/>
    <mergeCell ref="J48:L48"/>
    <mergeCell ref="B49:D49"/>
    <mergeCell ref="E49:I49"/>
    <mergeCell ref="J49:L49"/>
    <mergeCell ref="M49:O49"/>
    <mergeCell ref="B50:D50"/>
    <mergeCell ref="E50:I50"/>
    <mergeCell ref="J50:L50"/>
    <mergeCell ref="M50:O50"/>
    <mergeCell ref="M45:O45"/>
    <mergeCell ref="B46:D46"/>
    <mergeCell ref="E46:I46"/>
    <mergeCell ref="J46:L46"/>
    <mergeCell ref="M46:O46"/>
    <mergeCell ref="B47:D47"/>
    <mergeCell ref="E47:I47"/>
    <mergeCell ref="J47:L47"/>
    <mergeCell ref="M47:O47"/>
    <mergeCell ref="M42:O42"/>
    <mergeCell ref="B43:D43"/>
    <mergeCell ref="E43:I43"/>
    <mergeCell ref="J43:L43"/>
    <mergeCell ref="M43:O43"/>
    <mergeCell ref="B44:D44"/>
    <mergeCell ref="E44:I44"/>
    <mergeCell ref="J44:L44"/>
    <mergeCell ref="M44:O44"/>
    <mergeCell ref="M39:O39"/>
    <mergeCell ref="B40:D40"/>
    <mergeCell ref="E40:I40"/>
    <mergeCell ref="J40:L40"/>
    <mergeCell ref="M40:O40"/>
    <mergeCell ref="B41:D41"/>
    <mergeCell ref="E41:I41"/>
    <mergeCell ref="J41:L41"/>
    <mergeCell ref="M41:O41"/>
    <mergeCell ref="M53:O53"/>
    <mergeCell ref="B34:D34"/>
    <mergeCell ref="E34:I34"/>
    <mergeCell ref="J34:L34"/>
    <mergeCell ref="M34:O34"/>
    <mergeCell ref="B35:D35"/>
    <mergeCell ref="E35:I35"/>
    <mergeCell ref="J35:L35"/>
    <mergeCell ref="M35:O35"/>
    <mergeCell ref="B36:D36"/>
    <mergeCell ref="E36:I36"/>
    <mergeCell ref="J36:L36"/>
    <mergeCell ref="M36:O36"/>
    <mergeCell ref="B37:D37"/>
    <mergeCell ref="E37:I37"/>
    <mergeCell ref="J37:L37"/>
    <mergeCell ref="M37:O37"/>
    <mergeCell ref="B38:D38"/>
    <mergeCell ref="E38:I38"/>
    <mergeCell ref="J38:L38"/>
    <mergeCell ref="M38:O38"/>
    <mergeCell ref="B39:D39"/>
    <mergeCell ref="E39:I39"/>
    <mergeCell ref="J39:L39"/>
    <mergeCell ref="M18:O18"/>
    <mergeCell ref="M14:O14"/>
    <mergeCell ref="J18:L18"/>
    <mergeCell ref="B16:O16"/>
    <mergeCell ref="J13:L13"/>
    <mergeCell ref="J33:L33"/>
    <mergeCell ref="M19:O19"/>
    <mergeCell ref="J23:L24"/>
    <mergeCell ref="J20:L20"/>
    <mergeCell ref="M20:O20"/>
    <mergeCell ref="M25:O25"/>
    <mergeCell ref="J25:L25"/>
    <mergeCell ref="J21:L21"/>
    <mergeCell ref="E18:I18"/>
    <mergeCell ref="J15:L15"/>
    <mergeCell ref="E13:I13"/>
    <mergeCell ref="B14:D14"/>
    <mergeCell ref="E14:I14"/>
    <mergeCell ref="M23:O24"/>
    <mergeCell ref="B25:D25"/>
    <mergeCell ref="M21:O21"/>
    <mergeCell ref="M22:O22"/>
    <mergeCell ref="B21:D21"/>
    <mergeCell ref="E21:I21"/>
    <mergeCell ref="M15:O15"/>
    <mergeCell ref="M13:O13"/>
    <mergeCell ref="J14:L14"/>
    <mergeCell ref="M54:O54"/>
    <mergeCell ref="B2:M2"/>
    <mergeCell ref="B5:O5"/>
    <mergeCell ref="M8:O8"/>
    <mergeCell ref="J8:L8"/>
    <mergeCell ref="E7:I7"/>
    <mergeCell ref="B7:D7"/>
    <mergeCell ref="E8:I8"/>
    <mergeCell ref="J7:L7"/>
    <mergeCell ref="M7:O7"/>
    <mergeCell ref="B8:D8"/>
    <mergeCell ref="E23:I23"/>
    <mergeCell ref="E22:I22"/>
    <mergeCell ref="M33:O33"/>
    <mergeCell ref="B30:O30"/>
    <mergeCell ref="B32:D32"/>
    <mergeCell ref="E32:I32"/>
    <mergeCell ref="J32:L32"/>
    <mergeCell ref="M32:O32"/>
    <mergeCell ref="E33:I33"/>
    <mergeCell ref="E54:I54"/>
    <mergeCell ref="B11:D11"/>
    <mergeCell ref="E11:I11"/>
    <mergeCell ref="J58:L58"/>
    <mergeCell ref="B54:D54"/>
    <mergeCell ref="E63:I63"/>
    <mergeCell ref="M9:O9"/>
    <mergeCell ref="B9:D9"/>
    <mergeCell ref="E9:I9"/>
    <mergeCell ref="J9:L9"/>
    <mergeCell ref="J10:L10"/>
    <mergeCell ref="E10:I10"/>
    <mergeCell ref="M10:O10"/>
    <mergeCell ref="B10:D10"/>
    <mergeCell ref="E15:I15"/>
    <mergeCell ref="B15:D15"/>
    <mergeCell ref="B13:D13"/>
    <mergeCell ref="B12:D12"/>
    <mergeCell ref="J11:L11"/>
    <mergeCell ref="M11:O11"/>
    <mergeCell ref="J12:L12"/>
    <mergeCell ref="M12:O12"/>
    <mergeCell ref="E12:I12"/>
    <mergeCell ref="M62:O62"/>
    <mergeCell ref="E62:I62"/>
    <mergeCell ref="J55:L55"/>
    <mergeCell ref="B57:D57"/>
    <mergeCell ref="J56:L56"/>
    <mergeCell ref="M56:O56"/>
    <mergeCell ref="M58:O58"/>
    <mergeCell ref="B55:D55"/>
    <mergeCell ref="E55:I55"/>
    <mergeCell ref="M57:O57"/>
    <mergeCell ref="B56:D56"/>
    <mergeCell ref="M55:O55"/>
    <mergeCell ref="E57:I57"/>
    <mergeCell ref="J57:L57"/>
    <mergeCell ref="E56:I56"/>
    <mergeCell ref="E58:I58"/>
    <mergeCell ref="E19:I19"/>
    <mergeCell ref="B18:D18"/>
    <mergeCell ref="B19:D19"/>
    <mergeCell ref="J22:L22"/>
    <mergeCell ref="B20:D20"/>
    <mergeCell ref="E20:I20"/>
    <mergeCell ref="E25:I25"/>
    <mergeCell ref="E24:I24"/>
    <mergeCell ref="J19:L19"/>
    <mergeCell ref="B22:D22"/>
    <mergeCell ref="B23:D24"/>
    <mergeCell ref="B33:D33"/>
    <mergeCell ref="J54:L54"/>
    <mergeCell ref="B53:D53"/>
    <mergeCell ref="E53:I53"/>
    <mergeCell ref="J53:L53"/>
    <mergeCell ref="B42:D42"/>
    <mergeCell ref="E42:I42"/>
    <mergeCell ref="J42:L42"/>
    <mergeCell ref="B45:D45"/>
    <mergeCell ref="E45:I45"/>
    <mergeCell ref="J45:L45"/>
    <mergeCell ref="B51:D51"/>
    <mergeCell ref="E51:I51"/>
    <mergeCell ref="J51:L51"/>
    <mergeCell ref="M66:O66"/>
    <mergeCell ref="M64:O64"/>
    <mergeCell ref="J60:L60"/>
    <mergeCell ref="M59:O59"/>
    <mergeCell ref="J59:L59"/>
    <mergeCell ref="B64:D64"/>
    <mergeCell ref="B58:D58"/>
    <mergeCell ref="M60:O60"/>
    <mergeCell ref="E64:I64"/>
    <mergeCell ref="J64:L64"/>
    <mergeCell ref="B61:D61"/>
    <mergeCell ref="B62:D62"/>
    <mergeCell ref="B63:D63"/>
    <mergeCell ref="J63:L63"/>
    <mergeCell ref="E61:I61"/>
    <mergeCell ref="J61:L61"/>
    <mergeCell ref="J62:L62"/>
    <mergeCell ref="B66:L66"/>
    <mergeCell ref="B60:D60"/>
    <mergeCell ref="B59:D59"/>
    <mergeCell ref="E59:I59"/>
    <mergeCell ref="E60:I60"/>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44"/>
  <sheetViews>
    <sheetView showGridLines="0" topLeftCell="A220" zoomScale="90" zoomScaleNormal="90" workbookViewId="0">
      <selection activeCell="C82" sqref="C82"/>
    </sheetView>
  </sheetViews>
  <sheetFormatPr defaultColWidth="11" defaultRowHeight="15"/>
  <cols>
    <col min="1" max="1" width="58.7109375" customWidth="1"/>
    <col min="2" max="2" width="22"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5" customWidth="1"/>
    <col min="14" max="14" width="15.7109375" style="35"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5" customWidth="1"/>
    <col min="33" max="33" width="3.28515625" style="35" customWidth="1"/>
    <col min="34" max="34" width="2.28515625" style="35" customWidth="1"/>
    <col min="35" max="35" width="40.7109375" customWidth="1"/>
    <col min="36" max="36" width="15.42578125" customWidth="1"/>
  </cols>
  <sheetData>
    <row r="1" spans="1:12" ht="29.25" customHeight="1">
      <c r="A1" s="3"/>
      <c r="B1" s="780"/>
      <c r="C1" s="780"/>
      <c r="D1" s="3"/>
      <c r="E1" s="3"/>
      <c r="F1" s="3"/>
      <c r="G1" s="3"/>
      <c r="H1" s="3"/>
      <c r="I1" s="3"/>
      <c r="J1" s="3"/>
      <c r="K1" s="3"/>
      <c r="L1" s="3"/>
    </row>
    <row r="2" spans="1:12" ht="15.75" customHeight="1">
      <c r="A2" s="783" t="s">
        <v>314</v>
      </c>
      <c r="B2" s="783"/>
      <c r="C2" s="783"/>
      <c r="D2" s="783"/>
      <c r="E2" s="783"/>
      <c r="F2" s="783"/>
      <c r="G2" s="783"/>
      <c r="H2" s="783"/>
      <c r="I2" s="783"/>
      <c r="J2" s="249"/>
      <c r="K2" s="249"/>
      <c r="L2" s="249"/>
    </row>
    <row r="3" spans="1:12" ht="4.5" customHeight="1">
      <c r="A3" s="3"/>
      <c r="B3" s="3"/>
      <c r="C3" s="3"/>
      <c r="D3" s="3"/>
      <c r="E3" s="3"/>
      <c r="F3" s="3"/>
      <c r="G3" s="3"/>
      <c r="H3" s="3"/>
      <c r="I3" s="3"/>
      <c r="J3" s="3"/>
      <c r="K3" s="3"/>
      <c r="L3" s="3"/>
    </row>
    <row r="4" spans="1:12">
      <c r="A4" s="247" t="s">
        <v>92</v>
      </c>
      <c r="B4" s="781" t="s">
        <v>158</v>
      </c>
      <c r="C4" s="782"/>
      <c r="D4" s="784" t="s">
        <v>317</v>
      </c>
      <c r="E4" s="784"/>
      <c r="F4" s="602" t="s">
        <v>673</v>
      </c>
      <c r="G4" s="604"/>
      <c r="H4" s="604"/>
      <c r="I4" s="603"/>
      <c r="J4" s="3"/>
      <c r="K4" s="3"/>
      <c r="L4" s="3"/>
    </row>
    <row r="5" spans="1:12" ht="3" customHeight="1">
      <c r="A5" s="247"/>
      <c r="B5" s="3"/>
      <c r="C5" s="3"/>
      <c r="D5" s="250"/>
      <c r="E5" s="250"/>
      <c r="F5" s="3"/>
      <c r="G5" s="3"/>
      <c r="H5" s="3"/>
      <c r="I5" s="3"/>
      <c r="J5" s="3"/>
      <c r="K5" s="3"/>
      <c r="L5" s="3"/>
    </row>
    <row r="6" spans="1:12">
      <c r="A6" s="247" t="s">
        <v>91</v>
      </c>
      <c r="B6" s="781" t="s">
        <v>473</v>
      </c>
      <c r="C6" s="782"/>
      <c r="D6" s="784" t="s">
        <v>249</v>
      </c>
      <c r="E6" s="784"/>
      <c r="F6" s="271" t="s">
        <v>247</v>
      </c>
      <c r="G6" s="247" t="s">
        <v>349</v>
      </c>
      <c r="H6" s="785">
        <v>24341578.491344798</v>
      </c>
      <c r="I6" s="786"/>
      <c r="J6" s="3"/>
      <c r="K6" s="3"/>
      <c r="L6" s="3"/>
    </row>
    <row r="7" spans="1:12" ht="3" customHeight="1">
      <c r="A7" s="247"/>
      <c r="B7" s="3"/>
      <c r="C7" s="3"/>
      <c r="D7" s="250"/>
      <c r="E7" s="250"/>
      <c r="F7" s="3"/>
      <c r="G7" s="247"/>
      <c r="H7" s="3"/>
      <c r="I7" s="3"/>
      <c r="J7" s="3"/>
      <c r="K7" s="3"/>
      <c r="L7" s="3"/>
    </row>
    <row r="8" spans="1:12">
      <c r="A8" s="247" t="s">
        <v>315</v>
      </c>
      <c r="B8" s="781" t="s">
        <v>430</v>
      </c>
      <c r="C8" s="782"/>
      <c r="D8" s="251"/>
      <c r="E8" s="246" t="s">
        <v>250</v>
      </c>
      <c r="F8" s="324"/>
      <c r="G8" s="246" t="s">
        <v>256</v>
      </c>
      <c r="H8" s="781"/>
      <c r="I8" s="782"/>
      <c r="J8" s="3"/>
      <c r="K8" s="3"/>
      <c r="L8" s="3"/>
    </row>
    <row r="9" spans="1:12" ht="3" customHeight="1">
      <c r="A9" s="250"/>
      <c r="B9" s="3"/>
      <c r="C9" s="3"/>
      <c r="D9" s="250"/>
      <c r="E9" s="250"/>
      <c r="F9" s="3"/>
      <c r="G9" s="3"/>
      <c r="H9" s="3"/>
      <c r="I9" s="3"/>
      <c r="J9" s="3"/>
      <c r="K9" s="3"/>
      <c r="L9" s="3"/>
    </row>
    <row r="10" spans="1:12">
      <c r="A10" s="247" t="s">
        <v>316</v>
      </c>
      <c r="B10" s="787">
        <v>42552</v>
      </c>
      <c r="C10" s="788"/>
      <c r="D10" s="789" t="s">
        <v>318</v>
      </c>
      <c r="E10" s="793"/>
      <c r="F10" s="781" t="s">
        <v>73</v>
      </c>
      <c r="G10" s="791"/>
      <c r="H10" s="791"/>
      <c r="I10" s="782"/>
      <c r="J10" s="3"/>
      <c r="K10" s="3"/>
      <c r="L10" s="3"/>
    </row>
    <row r="11" spans="1:12" ht="5.25" customHeight="1">
      <c r="A11" s="3"/>
      <c r="B11" s="3"/>
      <c r="C11" s="3"/>
      <c r="D11" s="3"/>
      <c r="E11" s="3"/>
      <c r="F11" s="3"/>
      <c r="G11" s="3"/>
      <c r="H11" s="3"/>
      <c r="I11" s="3"/>
      <c r="J11" s="3"/>
      <c r="K11" s="3"/>
      <c r="L11" s="3"/>
    </row>
    <row r="12" spans="1:12" ht="15" customHeight="1">
      <c r="A12" s="247" t="s">
        <v>396</v>
      </c>
      <c r="B12" s="794" t="s">
        <v>24</v>
      </c>
      <c r="C12" s="794"/>
      <c r="D12" s="789" t="s">
        <v>319</v>
      </c>
      <c r="E12" s="784"/>
      <c r="F12" s="790" t="s">
        <v>467</v>
      </c>
      <c r="G12" s="790"/>
      <c r="H12" s="790"/>
      <c r="I12" s="790"/>
      <c r="J12" s="3"/>
      <c r="K12" s="3"/>
      <c r="L12" s="3"/>
    </row>
    <row r="13" spans="1:12" ht="5.25" customHeight="1">
      <c r="A13" s="3"/>
      <c r="B13" s="3"/>
      <c r="C13" s="3"/>
      <c r="D13" s="3"/>
      <c r="E13" s="3"/>
      <c r="F13" s="3"/>
      <c r="G13" s="3"/>
      <c r="H13" s="3"/>
      <c r="I13" s="3"/>
      <c r="J13" s="3"/>
      <c r="K13" s="3"/>
      <c r="L13" s="3"/>
    </row>
    <row r="14" spans="1:12" ht="15.75" customHeight="1">
      <c r="A14" s="783" t="s">
        <v>251</v>
      </c>
      <c r="B14" s="783"/>
      <c r="C14" s="783"/>
      <c r="D14" s="783"/>
      <c r="E14" s="783"/>
      <c r="F14" s="783"/>
      <c r="G14" s="783"/>
      <c r="H14" s="783"/>
      <c r="I14" s="783"/>
      <c r="J14" s="3"/>
      <c r="K14" s="3"/>
      <c r="L14" s="3"/>
    </row>
    <row r="15" spans="1:12" ht="3" customHeight="1">
      <c r="A15" s="3"/>
      <c r="B15" s="3"/>
      <c r="C15" s="3"/>
      <c r="D15" s="3"/>
      <c r="E15" s="3"/>
      <c r="F15" s="3"/>
      <c r="G15" s="3"/>
      <c r="H15" s="3"/>
      <c r="I15" s="3"/>
      <c r="J15" s="3"/>
      <c r="K15" s="3"/>
      <c r="L15" s="3"/>
    </row>
    <row r="16" spans="1:12">
      <c r="A16" s="247" t="s">
        <v>252</v>
      </c>
      <c r="B16" s="324" t="s">
        <v>58</v>
      </c>
      <c r="C16" s="246" t="s">
        <v>272</v>
      </c>
      <c r="D16" s="408">
        <v>43101</v>
      </c>
      <c r="E16" s="248" t="s">
        <v>348</v>
      </c>
      <c r="F16" s="408">
        <v>43281</v>
      </c>
      <c r="G16" s="789" t="s">
        <v>253</v>
      </c>
      <c r="H16" s="793"/>
      <c r="I16" s="399">
        <v>43329</v>
      </c>
      <c r="J16" s="3"/>
      <c r="K16" s="3"/>
      <c r="L16" s="3"/>
    </row>
    <row r="17" spans="1:33" ht="3" customHeight="1">
      <c r="A17" s="3"/>
      <c r="B17" s="3"/>
      <c r="C17" s="3"/>
      <c r="D17" s="3"/>
      <c r="E17" s="3"/>
      <c r="F17" s="3"/>
      <c r="G17" s="3"/>
      <c r="H17" s="3"/>
      <c r="I17" s="3"/>
      <c r="J17" s="3"/>
      <c r="K17" s="3"/>
      <c r="L17" s="3"/>
    </row>
    <row r="18" spans="1:33">
      <c r="A18" s="792" t="s">
        <v>254</v>
      </c>
      <c r="B18" s="793"/>
      <c r="C18" s="825" t="s">
        <v>430</v>
      </c>
      <c r="D18" s="825"/>
      <c r="E18" s="825"/>
      <c r="F18" s="252"/>
      <c r="G18" s="252"/>
      <c r="H18" s="252"/>
      <c r="I18" s="252"/>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783" t="s">
        <v>255</v>
      </c>
      <c r="B21" s="783"/>
      <c r="C21" s="783"/>
      <c r="D21" s="783"/>
      <c r="E21" s="783"/>
      <c r="F21" s="783"/>
      <c r="G21" s="783"/>
      <c r="H21" s="783"/>
      <c r="I21" s="783"/>
      <c r="J21" s="3"/>
      <c r="K21" s="3"/>
      <c r="L21" s="3"/>
    </row>
    <row r="22" spans="1:33">
      <c r="A22" s="250" t="s">
        <v>321</v>
      </c>
      <c r="B22" s="3"/>
      <c r="C22" s="3"/>
      <c r="D22" s="253"/>
      <c r="E22" s="253"/>
      <c r="F22" s="3"/>
      <c r="G22" s="3"/>
      <c r="H22" s="253"/>
      <c r="I22" s="253"/>
      <c r="J22" s="3"/>
      <c r="K22" s="3"/>
      <c r="L22" s="3"/>
    </row>
    <row r="23" spans="1:33" ht="3" customHeight="1">
      <c r="A23" s="3"/>
      <c r="B23" s="3"/>
      <c r="C23" s="3"/>
      <c r="D23" s="3"/>
      <c r="E23" s="3"/>
      <c r="F23" s="3"/>
      <c r="G23" s="3"/>
      <c r="H23" s="3"/>
      <c r="I23" s="3"/>
      <c r="J23" s="3"/>
      <c r="K23" s="3"/>
      <c r="L23" s="3"/>
    </row>
    <row r="24" spans="1:33" ht="15.75" thickBot="1">
      <c r="A24" s="247" t="s">
        <v>351</v>
      </c>
      <c r="B24" s="314"/>
      <c r="C24" s="784" t="s">
        <v>324</v>
      </c>
      <c r="D24" s="784"/>
      <c r="E24" s="315"/>
      <c r="F24" s="784" t="s">
        <v>320</v>
      </c>
      <c r="G24" s="784"/>
      <c r="H24" s="823"/>
      <c r="I24" s="824"/>
      <c r="J24" s="3"/>
      <c r="K24" s="3"/>
      <c r="L24" s="3"/>
      <c r="M24" s="20"/>
    </row>
    <row r="25" spans="1:33" ht="19.5" thickBot="1">
      <c r="A25" s="84" t="s">
        <v>351</v>
      </c>
      <c r="B25" s="85"/>
      <c r="C25" s="85"/>
      <c r="D25" s="85"/>
      <c r="E25" s="85"/>
      <c r="F25" s="85"/>
      <c r="G25" s="235"/>
      <c r="H25" s="86"/>
      <c r="I25" s="86"/>
      <c r="J25" s="378" t="s">
        <v>0</v>
      </c>
      <c r="K25" s="379"/>
      <c r="L25" s="379"/>
      <c r="M25" s="379"/>
      <c r="N25" s="380"/>
      <c r="AG25" s="43"/>
    </row>
    <row r="26" spans="1:33">
      <c r="A26" s="803" t="s">
        <v>344</v>
      </c>
      <c r="B26" s="804"/>
      <c r="C26" s="328" t="s">
        <v>17</v>
      </c>
      <c r="D26" s="88"/>
      <c r="E26" s="88"/>
      <c r="F26" s="88"/>
      <c r="G26" s="88"/>
      <c r="H26" s="88"/>
      <c r="I26" s="89"/>
      <c r="J26" s="88"/>
      <c r="K26" s="88"/>
      <c r="L26" s="88"/>
      <c r="M26" s="39"/>
      <c r="N26" s="39"/>
      <c r="AG26" s="43"/>
    </row>
    <row r="27" spans="1:33" ht="18.75">
      <c r="A27" s="87" t="s">
        <v>397</v>
      </c>
      <c r="B27" s="88"/>
      <c r="C27" s="88"/>
      <c r="D27" s="88"/>
      <c r="E27" s="88"/>
      <c r="F27" s="88"/>
      <c r="G27" s="88"/>
      <c r="H27" s="88"/>
      <c r="I27" s="89"/>
      <c r="J27" s="88"/>
      <c r="K27" s="88"/>
      <c r="L27" s="88"/>
      <c r="M27" s="39"/>
      <c r="N27" s="39"/>
      <c r="AG27" s="43"/>
    </row>
    <row r="28" spans="1:33" ht="15.75" thickBot="1">
      <c r="A28" s="3"/>
      <c r="B28" s="3"/>
      <c r="C28" s="3"/>
      <c r="D28" s="3"/>
      <c r="E28" s="3"/>
      <c r="F28" s="3"/>
      <c r="G28" s="3"/>
      <c r="H28" s="3"/>
      <c r="I28" s="3"/>
      <c r="J28" s="3"/>
      <c r="K28" s="3"/>
      <c r="L28" s="3"/>
    </row>
    <row r="29" spans="1:33" ht="15.75" thickBot="1">
      <c r="A29" s="812" t="s">
        <v>342</v>
      </c>
      <c r="B29" s="813"/>
      <c r="C29" s="813"/>
      <c r="D29" s="813"/>
      <c r="E29" s="813"/>
      <c r="F29" s="813"/>
      <c r="G29" s="813"/>
      <c r="H29" s="813"/>
      <c r="I29" s="813"/>
      <c r="J29" s="813"/>
      <c r="K29" s="813"/>
      <c r="L29" s="813"/>
      <c r="M29" s="814"/>
      <c r="O29" s="189"/>
      <c r="P29" s="190"/>
      <c r="Q29" s="191">
        <f>+B33</f>
        <v>2675489.2999999998</v>
      </c>
    </row>
    <row r="30" spans="1:33">
      <c r="A30" s="90" t="s">
        <v>252</v>
      </c>
      <c r="B30" s="300" t="s">
        <v>55</v>
      </c>
      <c r="C30" s="300" t="s">
        <v>56</v>
      </c>
      <c r="D30" s="300" t="s">
        <v>57</v>
      </c>
      <c r="E30" s="300" t="s">
        <v>58</v>
      </c>
      <c r="F30" s="300" t="s">
        <v>65</v>
      </c>
      <c r="G30" s="300" t="s">
        <v>66</v>
      </c>
      <c r="H30" s="300" t="s">
        <v>67</v>
      </c>
      <c r="I30" s="300" t="s">
        <v>68</v>
      </c>
      <c r="J30" s="300" t="s">
        <v>69</v>
      </c>
      <c r="K30" s="300" t="s">
        <v>70</v>
      </c>
      <c r="L30" s="300" t="s">
        <v>71</v>
      </c>
      <c r="M30" s="301" t="s">
        <v>78</v>
      </c>
      <c r="N30" s="302" t="s">
        <v>346</v>
      </c>
      <c r="O30" s="189"/>
      <c r="P30" s="190"/>
      <c r="Q30" s="191">
        <f>+C33</f>
        <v>14534177.495320581</v>
      </c>
    </row>
    <row r="31" spans="1:33">
      <c r="A31" s="244" t="s">
        <v>441</v>
      </c>
      <c r="B31" s="310">
        <v>2675489.2999999998</v>
      </c>
      <c r="C31" s="309">
        <v>11858688.195320582</v>
      </c>
      <c r="D31" s="309">
        <v>6298137.3016707487</v>
      </c>
      <c r="E31" s="472">
        <v>3509263.6943534473</v>
      </c>
      <c r="F31" s="472"/>
      <c r="G31" s="472"/>
      <c r="H31" s="473"/>
      <c r="I31" s="472"/>
      <c r="J31" s="472"/>
      <c r="K31" s="309"/>
      <c r="L31" s="474"/>
      <c r="M31" s="309"/>
      <c r="N31" s="871"/>
      <c r="O31" s="189"/>
      <c r="P31" s="190"/>
      <c r="Q31" s="191">
        <f>+D33</f>
        <v>20832314.79699133</v>
      </c>
    </row>
    <row r="32" spans="1:33">
      <c r="A32" s="90" t="str">
        <f>CONCATENATE("Выплаты ГФ (в ", $C$26,")")</f>
        <v>Выплаты ГФ (в $)</v>
      </c>
      <c r="B32" s="310">
        <f>7773936+2214860</f>
        <v>9988796</v>
      </c>
      <c r="C32" s="310">
        <v>6937211</v>
      </c>
      <c r="D32" s="310">
        <v>3664360</v>
      </c>
      <c r="E32" s="310">
        <v>3509263</v>
      </c>
      <c r="F32" s="310"/>
      <c r="G32" s="310"/>
      <c r="H32" s="459"/>
      <c r="I32" s="309"/>
      <c r="J32" s="309"/>
      <c r="K32" s="309"/>
      <c r="L32" s="309"/>
      <c r="M32" s="309"/>
      <c r="N32" s="872"/>
      <c r="O32" s="189"/>
      <c r="P32" s="190"/>
      <c r="Q32" s="191">
        <f>+E33</f>
        <v>24341578.491344776</v>
      </c>
    </row>
    <row r="33" spans="1:33">
      <c r="A33" s="91" t="s">
        <v>322</v>
      </c>
      <c r="B33" s="311">
        <f>+B31</f>
        <v>2675489.2999999998</v>
      </c>
      <c r="C33" s="311">
        <f>IF(AND(C31=0,C32=0),0,+B33+C31)</f>
        <v>14534177.495320581</v>
      </c>
      <c r="D33" s="311">
        <f>IF(AND(D31=0,D32=0),0,+C33+D31)</f>
        <v>20832314.79699133</v>
      </c>
      <c r="E33" s="311">
        <f>IF(AND(E31=0,E32=0),0,+D33+E31)</f>
        <v>24341578.491344776</v>
      </c>
      <c r="F33" s="470"/>
      <c r="G33" s="470"/>
      <c r="H33" s="470"/>
      <c r="I33" s="470"/>
      <c r="J33" s="470"/>
      <c r="K33" s="470"/>
      <c r="L33" s="475"/>
      <c r="M33" s="311"/>
      <c r="N33" s="872"/>
      <c r="O33" s="297"/>
      <c r="P33" s="190"/>
      <c r="Q33" s="191">
        <f>+F33</f>
        <v>0</v>
      </c>
    </row>
    <row r="34" spans="1:33" ht="15.75" thickBot="1">
      <c r="A34" s="92" t="s">
        <v>323</v>
      </c>
      <c r="B34" s="312">
        <f>+B32</f>
        <v>9988796</v>
      </c>
      <c r="C34" s="312">
        <f>IF(AND(C31=0,C32=0),0,+B34+C32)</f>
        <v>16926007</v>
      </c>
      <c r="D34" s="312">
        <f>IF(AND(D31=0,D32=0),0,+C34+D32)</f>
        <v>20590367</v>
      </c>
      <c r="E34" s="312">
        <f>IF(AND(E31=0,E32=0),0,+D34+E32)</f>
        <v>24099630</v>
      </c>
      <c r="F34" s="471"/>
      <c r="G34" s="471"/>
      <c r="H34" s="471"/>
      <c r="I34" s="471"/>
      <c r="J34" s="471"/>
      <c r="K34" s="471"/>
      <c r="L34" s="476"/>
      <c r="M34" s="312"/>
      <c r="N34" s="873"/>
      <c r="O34" s="297"/>
      <c r="P34" s="190"/>
      <c r="Q34" s="191">
        <f>+G33</f>
        <v>0</v>
      </c>
    </row>
    <row r="35" spans="1:33">
      <c r="A35" s="3"/>
      <c r="B35" s="284">
        <f>+IF(AND(B30=$B$16,B33&lt;&gt;0),B34/B33,0)</f>
        <v>0</v>
      </c>
      <c r="C35" s="284">
        <f t="shared" ref="C35:M35" si="0">+IF(AND(C30=$B$16,C33&lt;&gt;0),C34/C33,0)</f>
        <v>0</v>
      </c>
      <c r="D35" s="284">
        <f t="shared" si="0"/>
        <v>0</v>
      </c>
      <c r="E35" s="284">
        <f>+IF(AND(E30=$B$16,E33&lt;&gt;0),E34/E33,0)</f>
        <v>0.99006027931053009</v>
      </c>
      <c r="F35" s="284">
        <f t="shared" si="0"/>
        <v>0</v>
      </c>
      <c r="G35" s="284">
        <f t="shared" si="0"/>
        <v>0</v>
      </c>
      <c r="H35" s="284">
        <f t="shared" si="0"/>
        <v>0</v>
      </c>
      <c r="I35" s="284">
        <f t="shared" si="0"/>
        <v>0</v>
      </c>
      <c r="J35" s="284">
        <f t="shared" si="0"/>
        <v>0</v>
      </c>
      <c r="K35" s="284">
        <f t="shared" si="0"/>
        <v>0</v>
      </c>
      <c r="L35" s="284">
        <f t="shared" si="0"/>
        <v>0</v>
      </c>
      <c r="M35" s="284">
        <f t="shared" si="0"/>
        <v>0</v>
      </c>
      <c r="N35" s="254"/>
      <c r="O35" s="192"/>
      <c r="P35" s="193"/>
      <c r="Q35" s="191">
        <f>+H33</f>
        <v>0</v>
      </c>
    </row>
    <row r="36" spans="1:33" ht="18.75">
      <c r="A36" s="87" t="s">
        <v>363</v>
      </c>
      <c r="B36" s="3"/>
      <c r="C36" s="3"/>
      <c r="D36" s="292"/>
      <c r="E36" s="3"/>
      <c r="F36" s="232"/>
      <c r="G36" s="3"/>
      <c r="H36" s="3"/>
      <c r="I36" s="3"/>
      <c r="J36" s="3"/>
      <c r="K36" s="3"/>
      <c r="L36" s="3"/>
      <c r="M36" s="40"/>
      <c r="N36" s="40"/>
      <c r="AG36" s="20"/>
    </row>
    <row r="37" spans="1:33" ht="15.75" thickBot="1">
      <c r="A37" s="3"/>
      <c r="B37" s="3"/>
      <c r="C37" s="3"/>
      <c r="D37" s="3"/>
      <c r="E37" s="3"/>
      <c r="F37" s="3"/>
      <c r="G37" s="3"/>
      <c r="H37" s="3"/>
      <c r="I37" s="3"/>
      <c r="J37" s="3"/>
      <c r="K37" s="3"/>
      <c r="L37" s="3"/>
      <c r="M37" s="38"/>
      <c r="N37" s="38"/>
    </row>
    <row r="38" spans="1:33" ht="30" customHeight="1">
      <c r="A38" s="353"/>
      <c r="B38" s="354" t="str">
        <f>CONCATENATE("Общий бюджет (в ",'Ввод данных'!$C$26,")")</f>
        <v>Общий бюджет (в $)</v>
      </c>
      <c r="C38" s="355" t="str">
        <f>CONCATENATE("Общие расходы (в ",'Ввод данных'!$C$26,")")</f>
        <v>Общие расходы (в $)</v>
      </c>
      <c r="D38" s="241"/>
      <c r="E38" s="241" t="s">
        <v>770</v>
      </c>
      <c r="F38" s="3"/>
      <c r="G38" s="3"/>
      <c r="H38" s="3"/>
      <c r="I38" s="98"/>
      <c r="J38" s="41"/>
      <c r="M38"/>
      <c r="N38"/>
      <c r="AC38" s="20"/>
      <c r="AD38" s="35"/>
    </row>
    <row r="39" spans="1:33">
      <c r="A39" s="485" t="s">
        <v>474</v>
      </c>
      <c r="B39" s="316">
        <v>6278809.2197592426</v>
      </c>
      <c r="C39" s="319">
        <v>5738863.8473999994</v>
      </c>
      <c r="D39" s="15"/>
      <c r="E39" s="15" t="s">
        <v>773</v>
      </c>
      <c r="F39" s="299"/>
      <c r="G39" s="3"/>
      <c r="H39" s="3"/>
      <c r="I39" s="99"/>
      <c r="J39" s="42"/>
      <c r="M39"/>
      <c r="N39"/>
      <c r="AC39" s="20"/>
      <c r="AD39" s="35"/>
    </row>
    <row r="40" spans="1:33">
      <c r="A40" s="485" t="s">
        <v>475</v>
      </c>
      <c r="B40" s="316">
        <v>2926084.3703791345</v>
      </c>
      <c r="C40" s="319">
        <v>2615179.6788368011</v>
      </c>
      <c r="D40" s="15"/>
      <c r="E40" s="15" t="s">
        <v>774</v>
      </c>
      <c r="F40" s="299"/>
      <c r="G40" s="3"/>
      <c r="H40" s="3"/>
      <c r="I40" s="99"/>
      <c r="J40" s="42"/>
      <c r="M40"/>
      <c r="N40"/>
      <c r="AC40" s="20"/>
      <c r="AD40" s="35"/>
    </row>
    <row r="41" spans="1:33">
      <c r="A41" s="485" t="s">
        <v>476</v>
      </c>
      <c r="B41" s="316">
        <v>731687.90596694732</v>
      </c>
      <c r="C41" s="319">
        <v>714426.45000000007</v>
      </c>
      <c r="D41" s="15"/>
      <c r="E41" s="15" t="s">
        <v>776</v>
      </c>
      <c r="F41" s="299"/>
      <c r="G41" s="3"/>
      <c r="H41" s="3"/>
      <c r="I41" s="99"/>
      <c r="J41" s="42"/>
      <c r="M41"/>
      <c r="N41"/>
      <c r="AC41" s="20"/>
      <c r="AD41" s="35"/>
    </row>
    <row r="42" spans="1:33">
      <c r="A42" s="318" t="s">
        <v>477</v>
      </c>
      <c r="B42" s="316">
        <v>465984.09313467797</v>
      </c>
      <c r="C42" s="319">
        <v>458873.82000000007</v>
      </c>
      <c r="D42" s="15"/>
      <c r="E42" s="15" t="s">
        <v>775</v>
      </c>
      <c r="F42" s="299"/>
      <c r="G42" s="3"/>
      <c r="H42" s="3"/>
      <c r="I42" s="99"/>
      <c r="J42" s="42"/>
      <c r="M42"/>
      <c r="N42"/>
      <c r="AC42" s="20"/>
      <c r="AD42" s="35"/>
    </row>
    <row r="43" spans="1:33">
      <c r="A43" s="485" t="s">
        <v>478</v>
      </c>
      <c r="B43" s="316">
        <v>118579.00739639475</v>
      </c>
      <c r="C43" s="319">
        <v>104064.91999999998</v>
      </c>
      <c r="D43" s="15"/>
      <c r="E43" s="15" t="s">
        <v>777</v>
      </c>
      <c r="F43" s="299"/>
      <c r="G43" s="3"/>
      <c r="H43" s="3"/>
      <c r="I43" s="99"/>
      <c r="J43" s="42"/>
      <c r="M43"/>
      <c r="N43"/>
      <c r="AC43" s="20"/>
      <c r="AD43" s="35"/>
    </row>
    <row r="44" spans="1:33" ht="30">
      <c r="A44" s="486" t="s">
        <v>479</v>
      </c>
      <c r="B44" s="316">
        <v>2672558.5136298249</v>
      </c>
      <c r="C44" s="319">
        <v>2246388.59</v>
      </c>
      <c r="D44" s="15"/>
      <c r="E44" s="15" t="s">
        <v>778</v>
      </c>
      <c r="F44" s="299"/>
      <c r="G44" s="3"/>
      <c r="H44" s="3"/>
      <c r="I44" s="99"/>
      <c r="J44" s="42"/>
      <c r="M44"/>
      <c r="N44"/>
      <c r="AC44" s="20"/>
      <c r="AD44" s="35"/>
    </row>
    <row r="45" spans="1:33">
      <c r="A45" s="318" t="s">
        <v>480</v>
      </c>
      <c r="B45" s="316">
        <v>137964.81331944445</v>
      </c>
      <c r="C45" s="319">
        <v>119765.82999999999</v>
      </c>
      <c r="D45" s="15"/>
      <c r="E45" s="15" t="s">
        <v>779</v>
      </c>
      <c r="F45" s="299"/>
      <c r="G45" s="3"/>
      <c r="H45" s="3"/>
      <c r="I45" s="99"/>
      <c r="J45" s="42"/>
      <c r="M45"/>
      <c r="N45"/>
      <c r="AC45" s="20"/>
      <c r="AD45" s="35"/>
    </row>
    <row r="46" spans="1:33">
      <c r="A46" s="318" t="s">
        <v>481</v>
      </c>
      <c r="B46" s="316">
        <v>270247.71354999125</v>
      </c>
      <c r="C46" s="319">
        <v>257024.38000000003</v>
      </c>
      <c r="D46" s="15"/>
      <c r="E46" s="15" t="s">
        <v>780</v>
      </c>
      <c r="F46" s="299"/>
      <c r="G46" s="3"/>
      <c r="H46" s="3"/>
      <c r="I46" s="99"/>
      <c r="J46" s="42"/>
      <c r="M46"/>
      <c r="N46"/>
      <c r="AC46" s="20"/>
      <c r="AD46" s="35"/>
    </row>
    <row r="47" spans="1:33">
      <c r="A47" s="318" t="s">
        <v>482</v>
      </c>
      <c r="B47" s="317">
        <v>650650.34947741497</v>
      </c>
      <c r="C47" s="319">
        <v>556917.70000000007</v>
      </c>
      <c r="D47" s="15"/>
      <c r="E47" s="15" t="s">
        <v>781</v>
      </c>
      <c r="F47" s="299"/>
      <c r="G47" s="3"/>
      <c r="H47" s="3"/>
      <c r="I47" s="99"/>
      <c r="J47" s="42"/>
      <c r="M47"/>
      <c r="N47"/>
      <c r="AC47" s="20"/>
      <c r="AD47" s="35"/>
    </row>
    <row r="48" spans="1:33">
      <c r="A48" s="318" t="s">
        <v>483</v>
      </c>
      <c r="B48" s="316">
        <v>36228.885999999999</v>
      </c>
      <c r="C48" s="319">
        <v>12499.159802554585</v>
      </c>
      <c r="D48" s="15"/>
      <c r="E48" s="15" t="s">
        <v>782</v>
      </c>
      <c r="F48" s="299"/>
      <c r="G48" s="3"/>
      <c r="H48" s="3"/>
      <c r="I48" s="99"/>
      <c r="J48" s="42"/>
      <c r="M48"/>
      <c r="N48"/>
      <c r="AC48" s="20"/>
      <c r="AD48" s="35"/>
    </row>
    <row r="49" spans="1:32">
      <c r="A49" s="318" t="s">
        <v>484</v>
      </c>
      <c r="B49" s="316">
        <v>9748558.2101391014</v>
      </c>
      <c r="C49" s="319">
        <v>8569477.5399999991</v>
      </c>
      <c r="D49" s="15"/>
      <c r="E49" s="15" t="s">
        <v>783</v>
      </c>
      <c r="F49" s="299"/>
      <c r="G49" s="3"/>
      <c r="H49" s="3"/>
      <c r="I49" s="99"/>
      <c r="J49" s="42"/>
      <c r="M49"/>
      <c r="N49"/>
      <c r="AC49" s="20"/>
      <c r="AD49" s="35"/>
    </row>
    <row r="50" spans="1:32">
      <c r="A50" s="318" t="s">
        <v>485</v>
      </c>
      <c r="B50" s="316">
        <v>162495.40859260003</v>
      </c>
      <c r="C50" s="319">
        <v>162360.82000000004</v>
      </c>
      <c r="D50" s="15"/>
      <c r="E50" s="15" t="s">
        <v>784</v>
      </c>
      <c r="F50" s="299"/>
      <c r="G50" s="3"/>
      <c r="H50" s="3"/>
      <c r="I50" s="99"/>
      <c r="J50" s="42"/>
      <c r="M50"/>
      <c r="N50"/>
      <c r="AC50" s="20"/>
      <c r="AD50" s="35"/>
    </row>
    <row r="51" spans="1:32">
      <c r="A51" s="320" t="s">
        <v>486</v>
      </c>
      <c r="B51" s="317">
        <v>141730</v>
      </c>
      <c r="C51" s="319">
        <v>115886.93999999999</v>
      </c>
      <c r="D51" s="15"/>
      <c r="E51" s="299" t="s">
        <v>785</v>
      </c>
      <c r="F51" s="299"/>
      <c r="G51" s="3"/>
      <c r="H51" s="3"/>
      <c r="I51" s="99"/>
      <c r="J51" s="42"/>
      <c r="M51"/>
      <c r="N51"/>
      <c r="AC51" s="20"/>
      <c r="AD51" s="35"/>
    </row>
    <row r="52" spans="1:32" ht="30">
      <c r="A52" s="486" t="s">
        <v>487</v>
      </c>
      <c r="B52" s="317"/>
      <c r="C52" s="319"/>
      <c r="D52" s="15"/>
      <c r="E52" s="298"/>
      <c r="F52" s="299"/>
      <c r="G52" s="3"/>
      <c r="H52" s="3"/>
      <c r="I52" s="99"/>
      <c r="J52" s="42"/>
      <c r="M52"/>
      <c r="N52"/>
      <c r="AC52" s="20"/>
      <c r="AD52" s="35"/>
    </row>
    <row r="53" spans="1:32">
      <c r="A53" s="318"/>
      <c r="B53" s="460"/>
      <c r="C53" s="319"/>
      <c r="D53" s="15"/>
      <c r="E53" s="298"/>
      <c r="F53" s="299"/>
      <c r="G53" s="3"/>
      <c r="H53" s="3"/>
      <c r="I53" s="99"/>
      <c r="J53" s="42"/>
      <c r="M53"/>
      <c r="N53"/>
      <c r="AC53" s="20"/>
      <c r="AD53" s="35"/>
    </row>
    <row r="54" spans="1:32">
      <c r="A54" s="318"/>
      <c r="B54" s="460"/>
      <c r="C54" s="319"/>
      <c r="D54" s="254"/>
      <c r="E54" s="298"/>
      <c r="F54" s="299"/>
      <c r="G54" s="3"/>
      <c r="H54" s="3"/>
      <c r="I54" s="3"/>
      <c r="J54" s="42"/>
      <c r="M54"/>
      <c r="N54"/>
      <c r="AC54" s="20"/>
      <c r="AD54" s="35"/>
    </row>
    <row r="55" spans="1:32" ht="15.75" thickBot="1">
      <c r="A55" s="320"/>
      <c r="B55" s="461"/>
      <c r="C55" s="468"/>
      <c r="D55" s="238"/>
      <c r="E55" s="298"/>
      <c r="F55" s="3"/>
      <c r="G55" s="3"/>
      <c r="H55" s="3"/>
      <c r="I55" s="3"/>
      <c r="J55" s="42"/>
      <c r="M55"/>
      <c r="N55"/>
      <c r="AC55" s="20"/>
      <c r="AD55" s="35"/>
    </row>
    <row r="56" spans="1:32" ht="15.75" thickBot="1">
      <c r="A56" s="321" t="s">
        <v>343</v>
      </c>
      <c r="B56" s="536">
        <f>SUM(B39:B55)</f>
        <v>24341578.491344776</v>
      </c>
      <c r="C56" s="537">
        <f>SUM(C39:C55)</f>
        <v>21671729.676039357</v>
      </c>
      <c r="D56" s="3"/>
      <c r="E56" s="874" t="str">
        <f ca="1">+IF((ROUND(B56,0)=ROUND(OFFSET(A33,0,RIGHT('Ввод данных'!$B$16,LEN('Ввод данных'!$B$16)-1),1,1),0)),"Все правильно: данные верны","Предупреждение: данные не совпадают")</f>
        <v>Все правильно: данные верны</v>
      </c>
      <c r="F56" s="875"/>
      <c r="G56" s="875"/>
      <c r="H56" s="876"/>
      <c r="I56" s="184"/>
      <c r="J56" s="184"/>
      <c r="K56" s="184"/>
      <c r="L56" s="192"/>
      <c r="M56" s="193"/>
      <c r="N56" s="191"/>
      <c r="O56" s="189"/>
      <c r="AC56" s="35"/>
      <c r="AD56" s="35"/>
    </row>
    <row r="57" spans="1:32">
      <c r="A57" s="3"/>
      <c r="B57" s="184"/>
      <c r="C57" s="184"/>
      <c r="E57" s="184"/>
      <c r="F57" s="184"/>
      <c r="G57" s="184"/>
      <c r="H57" s="184"/>
      <c r="I57" s="184"/>
      <c r="J57" s="184"/>
      <c r="K57" s="184"/>
      <c r="L57" s="184"/>
      <c r="M57" s="184"/>
      <c r="N57" s="184"/>
      <c r="O57" s="192"/>
      <c r="P57" s="193"/>
      <c r="Q57" s="191"/>
    </row>
    <row r="58" spans="1:32" ht="18.75">
      <c r="A58" s="87" t="s">
        <v>341</v>
      </c>
      <c r="B58" s="3"/>
      <c r="C58" s="184"/>
      <c r="D58" s="428"/>
      <c r="E58" s="3"/>
      <c r="F58" s="3"/>
      <c r="G58" s="3"/>
      <c r="H58" s="3"/>
      <c r="I58" s="3"/>
      <c r="J58" s="3"/>
      <c r="K58" s="3"/>
      <c r="L58" s="3"/>
      <c r="O58" s="189"/>
      <c r="P58" s="190"/>
      <c r="Q58" s="191">
        <f>+I33</f>
        <v>0</v>
      </c>
    </row>
    <row r="59" spans="1:32" ht="15.75" thickBot="1">
      <c r="A59" s="3"/>
      <c r="B59" s="3"/>
      <c r="C59" s="3"/>
      <c r="D59" s="3"/>
      <c r="E59" s="3"/>
      <c r="F59" s="3"/>
      <c r="G59" s="3"/>
      <c r="H59" s="3"/>
      <c r="I59" s="3"/>
      <c r="J59" s="3"/>
      <c r="K59" s="3"/>
      <c r="L59" s="3"/>
      <c r="O59" s="189"/>
      <c r="P59" s="190"/>
      <c r="Q59" s="191">
        <f>+J33</f>
        <v>0</v>
      </c>
    </row>
    <row r="60" spans="1:32" ht="51" customHeight="1">
      <c r="A60" s="440"/>
      <c r="B60" s="441" t="s">
        <v>258</v>
      </c>
      <c r="C60" s="441" t="s">
        <v>259</v>
      </c>
      <c r="D60" s="442" t="str">
        <f>CONCATENATE("Всего израсходовано и выплачено (в ",C26,")")</f>
        <v>Всего израсходовано и выплачено (в $)</v>
      </c>
      <c r="E60" s="3"/>
      <c r="F60" s="259"/>
      <c r="G60" s="256"/>
      <c r="H60" s="245"/>
      <c r="I60" s="245"/>
      <c r="J60" s="245"/>
      <c r="K60" s="245"/>
      <c r="L60" s="21"/>
      <c r="M60" s="21"/>
      <c r="N60" s="189"/>
      <c r="O60" s="190"/>
      <c r="P60" s="191">
        <f>+L33</f>
        <v>0</v>
      </c>
      <c r="Q60" s="189"/>
      <c r="AF60" s="20"/>
    </row>
    <row r="61" spans="1:32">
      <c r="A61" s="443" t="s">
        <v>325</v>
      </c>
      <c r="B61" s="487">
        <v>20590367</v>
      </c>
      <c r="C61" s="487">
        <v>3509263</v>
      </c>
      <c r="D61" s="445">
        <f>+C61+B61</f>
        <v>24099630</v>
      </c>
      <c r="E61" s="3"/>
      <c r="F61" s="94"/>
      <c r="G61" s="257"/>
      <c r="H61" s="93"/>
      <c r="I61" s="187"/>
      <c r="J61" s="188"/>
      <c r="K61" s="95"/>
      <c r="L61" s="36"/>
      <c r="M61" s="36"/>
      <c r="N61" s="189"/>
      <c r="O61" s="189"/>
      <c r="P61" s="189"/>
      <c r="Q61" s="189"/>
      <c r="AF61" s="20"/>
    </row>
    <row r="62" spans="1:32">
      <c r="A62" s="443" t="s">
        <v>326</v>
      </c>
      <c r="B62" s="487">
        <v>12280314.708639355</v>
      </c>
      <c r="C62" s="487">
        <v>2142701.7773999991</v>
      </c>
      <c r="D62" s="445">
        <f>+C62+B62</f>
        <v>14423016.486039355</v>
      </c>
      <c r="E62" s="3"/>
      <c r="F62" s="227"/>
      <c r="G62" s="257"/>
      <c r="H62" s="93"/>
      <c r="I62" s="187"/>
      <c r="J62" s="187"/>
      <c r="K62" s="95"/>
      <c r="L62" s="37"/>
      <c r="M62" s="37"/>
      <c r="N62" s="189"/>
      <c r="O62" s="189"/>
      <c r="P62" s="189"/>
      <c r="Q62" s="189"/>
      <c r="AF62" s="20"/>
    </row>
    <row r="63" spans="1:32">
      <c r="A63" s="443" t="s">
        <v>327</v>
      </c>
      <c r="B63" s="487">
        <v>6555713.9400000013</v>
      </c>
      <c r="C63" s="487">
        <v>932683.72</v>
      </c>
      <c r="D63" s="445">
        <f>+C63+B63</f>
        <v>7488397.6600000011</v>
      </c>
      <c r="E63" s="3"/>
      <c r="F63" s="94"/>
      <c r="G63" s="257"/>
      <c r="H63" s="93"/>
      <c r="I63" s="187"/>
      <c r="J63" s="188"/>
      <c r="K63" s="95"/>
      <c r="L63" s="36"/>
      <c r="M63" s="36"/>
      <c r="N63"/>
      <c r="AF63" s="20"/>
    </row>
    <row r="64" spans="1:32" ht="15.75" thickBot="1">
      <c r="A64" s="444" t="s">
        <v>355</v>
      </c>
      <c r="B64" s="488">
        <v>6192283.2599999988</v>
      </c>
      <c r="C64" s="487">
        <v>1056429.9300000002</v>
      </c>
      <c r="D64" s="446">
        <f>+C64+B64</f>
        <v>7248713.1899999995</v>
      </c>
      <c r="E64" s="184"/>
      <c r="F64" s="228"/>
      <c r="G64" s="258"/>
      <c r="H64" s="96"/>
      <c r="I64" s="96"/>
      <c r="J64" s="96"/>
      <c r="K64" s="95"/>
      <c r="L64" s="37"/>
      <c r="M64" s="37"/>
      <c r="N64"/>
      <c r="AF64" s="20"/>
    </row>
    <row r="65" spans="1:33" ht="15.75" customHeight="1">
      <c r="A65" s="3"/>
      <c r="B65" s="3"/>
      <c r="C65" s="184"/>
      <c r="D65" s="3"/>
      <c r="E65" s="184"/>
      <c r="F65" s="3"/>
      <c r="G65" s="3"/>
      <c r="H65" s="3"/>
      <c r="I65" s="3"/>
      <c r="J65" s="3"/>
      <c r="K65" s="3"/>
      <c r="L65" s="3"/>
      <c r="AG65" s="20"/>
    </row>
    <row r="66" spans="1:33">
      <c r="A66" s="3"/>
      <c r="B66" s="3"/>
      <c r="C66" s="439"/>
      <c r="D66" s="3"/>
      <c r="E66" s="3"/>
      <c r="F66" s="3"/>
      <c r="G66" s="3"/>
      <c r="H66" s="3"/>
      <c r="I66" s="3"/>
      <c r="J66" s="3"/>
      <c r="K66" s="3"/>
      <c r="L66" s="3"/>
    </row>
    <row r="67" spans="1:33" ht="18.75">
      <c r="A67" s="87" t="s">
        <v>328</v>
      </c>
      <c r="B67" s="3"/>
      <c r="C67" s="184"/>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07" t="s">
        <v>364</v>
      </c>
      <c r="B69" s="808"/>
      <c r="C69" s="809"/>
      <c r="D69" s="467"/>
      <c r="E69" s="3"/>
      <c r="F69" s="3"/>
      <c r="G69" s="3"/>
      <c r="H69" s="3"/>
      <c r="I69" s="3"/>
      <c r="J69" s="3"/>
      <c r="K69" s="3"/>
      <c r="L69" s="35"/>
      <c r="N69"/>
    </row>
    <row r="70" spans="1:33">
      <c r="A70" s="462"/>
      <c r="B70" s="372"/>
      <c r="C70" s="409" t="s">
        <v>356</v>
      </c>
      <c r="D70" s="463" t="s">
        <v>357</v>
      </c>
      <c r="E70" s="3"/>
      <c r="F70" s="3"/>
      <c r="G70" s="3"/>
      <c r="H70" s="3"/>
      <c r="I70" s="3"/>
      <c r="J70" s="3"/>
      <c r="K70" s="3"/>
      <c r="L70" s="35"/>
      <c r="N70"/>
    </row>
    <row r="71" spans="1:33">
      <c r="A71" s="464" t="s">
        <v>374</v>
      </c>
      <c r="B71" s="44"/>
      <c r="C71" s="489">
        <v>60</v>
      </c>
      <c r="D71" s="490">
        <v>60</v>
      </c>
      <c r="E71" s="3"/>
      <c r="F71" s="3"/>
      <c r="G71" s="3"/>
      <c r="H71" s="3"/>
      <c r="I71" s="3"/>
      <c r="J71" s="3"/>
      <c r="K71" s="3"/>
      <c r="L71" s="35"/>
      <c r="N71"/>
    </row>
    <row r="72" spans="1:33">
      <c r="A72" s="260" t="s">
        <v>365</v>
      </c>
      <c r="B72" s="44"/>
      <c r="C72" s="489">
        <v>60</v>
      </c>
      <c r="D72" s="490" t="s">
        <v>615</v>
      </c>
      <c r="E72" s="3"/>
      <c r="F72" s="3"/>
      <c r="G72" s="257"/>
      <c r="H72" s="257"/>
      <c r="I72" s="3"/>
      <c r="J72" s="3"/>
      <c r="K72" s="3"/>
      <c r="L72" s="35"/>
      <c r="N72"/>
    </row>
    <row r="73" spans="1:33" ht="15.75" thickBot="1">
      <c r="A73" s="465" t="s">
        <v>366</v>
      </c>
      <c r="B73" s="466"/>
      <c r="C73" s="491">
        <v>10</v>
      </c>
      <c r="D73" s="490" t="s">
        <v>615</v>
      </c>
      <c r="E73" s="3"/>
      <c r="F73" s="3"/>
      <c r="G73" s="257"/>
      <c r="H73" s="257"/>
      <c r="I73" s="3"/>
      <c r="J73" s="3"/>
      <c r="K73" s="3"/>
      <c r="L73" s="35"/>
      <c r="N73"/>
    </row>
    <row r="74" spans="1:33">
      <c r="A74" s="3"/>
      <c r="B74" s="3"/>
      <c r="C74" s="410"/>
      <c r="D74" s="410"/>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100" t="s">
        <v>329</v>
      </c>
      <c r="B76" s="101"/>
      <c r="C76" s="101"/>
      <c r="D76" s="101"/>
      <c r="E76" s="101"/>
      <c r="F76" s="101"/>
      <c r="G76" s="381" t="s">
        <v>360</v>
      </c>
      <c r="H76" s="373"/>
      <c r="I76" s="374"/>
      <c r="J76" s="374"/>
      <c r="K76" s="396"/>
      <c r="L76" s="102"/>
      <c r="M76" s="82"/>
      <c r="N76" s="82"/>
      <c r="O76" s="82"/>
      <c r="AA76" s="19"/>
      <c r="AB76" s="19"/>
    </row>
    <row r="77" spans="1:33" ht="18.75">
      <c r="A77" s="103"/>
      <c r="B77" s="102"/>
      <c r="C77" s="102"/>
      <c r="D77" s="102"/>
      <c r="E77" s="102"/>
      <c r="F77" s="102"/>
      <c r="G77" s="102"/>
      <c r="H77" s="102"/>
      <c r="I77" s="102"/>
      <c r="J77" s="104"/>
      <c r="K77" s="104"/>
      <c r="L77" s="102"/>
      <c r="M77" s="82"/>
      <c r="N77" s="82"/>
      <c r="O77" s="82"/>
      <c r="AA77" s="19"/>
      <c r="AB77" s="19"/>
    </row>
    <row r="78" spans="1:33" ht="18.75">
      <c r="A78" s="103" t="s">
        <v>1</v>
      </c>
      <c r="B78" s="102"/>
      <c r="C78" s="102"/>
      <c r="D78" s="102"/>
      <c r="E78" s="102"/>
      <c r="F78" s="102"/>
      <c r="G78" s="102"/>
      <c r="H78" s="102"/>
      <c r="I78" s="102"/>
      <c r="J78" s="104"/>
      <c r="K78" s="104"/>
      <c r="L78" s="102"/>
      <c r="M78" s="82"/>
      <c r="N78" s="82"/>
      <c r="O78" s="82"/>
      <c r="AA78" s="19"/>
      <c r="AB78" s="19"/>
    </row>
    <row r="79" spans="1:33" ht="15.75" thickBot="1">
      <c r="A79" s="2"/>
      <c r="B79" s="105"/>
      <c r="C79" s="105"/>
      <c r="D79" s="105"/>
      <c r="E79" s="105"/>
      <c r="F79" s="105"/>
      <c r="G79" s="2"/>
      <c r="H79" s="105"/>
      <c r="I79" s="2"/>
      <c r="J79" s="2"/>
      <c r="K79" s="2"/>
      <c r="L79" s="2"/>
      <c r="M79" s="20"/>
      <c r="N79" s="19"/>
      <c r="O79" s="19"/>
      <c r="P79" s="19"/>
      <c r="Q79" s="19"/>
      <c r="AB79" s="19"/>
    </row>
    <row r="80" spans="1:33" ht="45">
      <c r="A80" s="805"/>
      <c r="B80" s="806"/>
      <c r="C80" s="106" t="s">
        <v>260</v>
      </c>
      <c r="D80" s="107" t="s">
        <v>261</v>
      </c>
      <c r="E80" s="344" t="s">
        <v>330</v>
      </c>
      <c r="F80" s="345" t="s">
        <v>257</v>
      </c>
      <c r="G80" s="268"/>
      <c r="H80" s="269"/>
      <c r="I80" s="15"/>
      <c r="J80" s="2"/>
      <c r="K80" s="2"/>
      <c r="L80" s="2"/>
      <c r="M80" s="20"/>
      <c r="N80" s="19"/>
      <c r="O80" s="19"/>
      <c r="P80" s="19"/>
      <c r="Q80" s="19"/>
    </row>
    <row r="81" spans="1:17">
      <c r="A81" s="810" t="s">
        <v>601</v>
      </c>
      <c r="B81" s="811"/>
      <c r="C81" s="229"/>
      <c r="D81" s="229"/>
      <c r="E81" s="229"/>
      <c r="F81" s="108"/>
      <c r="G81" s="268"/>
      <c r="H81" s="269"/>
      <c r="I81" s="15"/>
      <c r="J81" s="2"/>
      <c r="K81" s="2"/>
      <c r="L81" s="2"/>
      <c r="M81" s="20"/>
      <c r="N81" s="19"/>
      <c r="O81" s="19"/>
      <c r="P81" s="19"/>
      <c r="Q81" s="19"/>
    </row>
    <row r="82" spans="1:17" ht="15.75" thickBot="1">
      <c r="A82" s="821" t="s">
        <v>602</v>
      </c>
      <c r="B82" s="822"/>
      <c r="C82" s="229">
        <v>1</v>
      </c>
      <c r="D82" s="229">
        <v>0</v>
      </c>
      <c r="E82" s="229">
        <v>0</v>
      </c>
      <c r="F82" s="229">
        <v>1</v>
      </c>
      <c r="G82" s="268"/>
      <c r="H82" s="269"/>
      <c r="I82" s="15"/>
      <c r="J82" s="2"/>
      <c r="K82" s="2"/>
      <c r="L82" s="2"/>
      <c r="M82" s="20"/>
      <c r="N82" s="19"/>
      <c r="O82" s="19"/>
      <c r="P82" s="19"/>
      <c r="Q82" s="19"/>
    </row>
    <row r="83" spans="1:17">
      <c r="A83" s="810" t="s">
        <v>603</v>
      </c>
      <c r="B83" s="811"/>
      <c r="C83" s="229">
        <v>0</v>
      </c>
      <c r="D83" s="229">
        <v>0</v>
      </c>
      <c r="E83" s="229"/>
      <c r="F83" s="108">
        <f>SUM(C83:E83)</f>
        <v>0</v>
      </c>
      <c r="G83" s="255"/>
      <c r="H83" s="267"/>
      <c r="I83" s="267"/>
      <c r="J83" s="2"/>
      <c r="K83" s="2"/>
      <c r="L83" s="2"/>
      <c r="M83" s="20"/>
      <c r="N83" s="19"/>
      <c r="O83" s="19"/>
      <c r="P83" s="19"/>
      <c r="Q83" s="19"/>
    </row>
    <row r="84" spans="1:17" ht="15.75" thickBot="1">
      <c r="A84" s="821" t="s">
        <v>604</v>
      </c>
      <c r="B84" s="822"/>
      <c r="C84" s="230">
        <v>0</v>
      </c>
      <c r="D84" s="230">
        <v>0</v>
      </c>
      <c r="E84" s="230">
        <v>0</v>
      </c>
      <c r="F84" s="109">
        <f>SUM(C84:E84)</f>
        <v>0</v>
      </c>
      <c r="G84" s="255"/>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103" t="s">
        <v>398</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524" t="s">
        <v>385</v>
      </c>
      <c r="B89" s="340" t="s">
        <v>262</v>
      </c>
      <c r="C89" s="340" t="s">
        <v>263</v>
      </c>
      <c r="D89" s="110" t="s">
        <v>264</v>
      </c>
      <c r="E89" s="15"/>
      <c r="F89" s="15"/>
      <c r="G89" s="15"/>
      <c r="H89" s="269"/>
      <c r="I89" s="2"/>
      <c r="J89" s="2"/>
      <c r="K89" s="2"/>
      <c r="L89" s="2"/>
      <c r="M89" s="19"/>
      <c r="N89" s="19"/>
      <c r="O89" s="19"/>
    </row>
    <row r="90" spans="1:17" ht="15.75" thickBot="1">
      <c r="A90" s="384" t="s">
        <v>556</v>
      </c>
      <c r="B90" s="229">
        <v>6</v>
      </c>
      <c r="C90" s="229">
        <v>6</v>
      </c>
      <c r="D90" s="229">
        <f>B90-C90</f>
        <v>0</v>
      </c>
      <c r="E90" s="15"/>
      <c r="F90" s="15"/>
      <c r="G90" s="15"/>
      <c r="H90" s="269"/>
      <c r="I90" s="2"/>
      <c r="J90" s="2"/>
      <c r="K90" s="2"/>
      <c r="L90" s="2"/>
      <c r="M90" s="19"/>
      <c r="N90" s="19"/>
      <c r="O90" s="19"/>
    </row>
    <row r="91" spans="1:17" ht="15.75" thickBot="1">
      <c r="A91" s="384" t="s">
        <v>246</v>
      </c>
      <c r="B91" s="293">
        <v>4</v>
      </c>
      <c r="C91" s="293">
        <v>4</v>
      </c>
      <c r="D91" s="294">
        <f>+B91-C91</f>
        <v>0</v>
      </c>
      <c r="E91" s="234"/>
      <c r="F91" s="239"/>
      <c r="G91" s="15"/>
      <c r="H91" s="267"/>
      <c r="I91" s="2"/>
      <c r="J91" s="2"/>
      <c r="K91" s="2"/>
      <c r="L91" s="2"/>
      <c r="M91" s="19"/>
      <c r="N91" s="19"/>
      <c r="O91" s="19"/>
    </row>
    <row r="92" spans="1:17">
      <c r="A92" s="2"/>
      <c r="B92" s="359"/>
      <c r="C92" s="359"/>
      <c r="D92" s="359"/>
      <c r="E92" s="2"/>
      <c r="F92" s="2"/>
      <c r="G92" s="2"/>
      <c r="H92" s="2"/>
      <c r="I92" s="2"/>
      <c r="J92" s="2"/>
      <c r="K92" s="2"/>
      <c r="L92" s="2"/>
      <c r="M92" s="19"/>
      <c r="N92" s="19"/>
      <c r="O92" s="19"/>
    </row>
    <row r="93" spans="1:17" ht="18.75">
      <c r="A93" s="103" t="s">
        <v>369</v>
      </c>
      <c r="B93" s="2"/>
      <c r="C93" s="2"/>
      <c r="D93" s="2"/>
      <c r="E93" s="2"/>
      <c r="F93" s="2"/>
      <c r="G93" s="2"/>
      <c r="H93" s="2"/>
      <c r="I93" s="2"/>
      <c r="J93" s="2"/>
      <c r="K93" s="2"/>
      <c r="L93" s="2"/>
      <c r="M93" s="19"/>
      <c r="N93" s="19"/>
      <c r="O93" s="19"/>
    </row>
    <row r="94" spans="1:17" ht="15.75" thickBot="1">
      <c r="A94" s="2"/>
      <c r="B94" s="2"/>
      <c r="C94" s="2"/>
      <c r="D94" s="2"/>
      <c r="E94" s="2"/>
      <c r="F94" s="2"/>
      <c r="G94" s="2"/>
      <c r="H94" s="2"/>
      <c r="I94" s="2"/>
      <c r="J94" s="2"/>
      <c r="K94" s="2"/>
      <c r="L94" s="2"/>
      <c r="M94" s="19"/>
      <c r="N94" s="19"/>
      <c r="O94" s="19"/>
    </row>
    <row r="95" spans="1:17" ht="30">
      <c r="A95" s="543"/>
      <c r="B95" s="560" t="s">
        <v>412</v>
      </c>
      <c r="C95" s="561" t="s">
        <v>413</v>
      </c>
      <c r="D95" s="561" t="s">
        <v>414</v>
      </c>
      <c r="E95" s="562" t="s">
        <v>410</v>
      </c>
      <c r="F95" s="563" t="s">
        <v>367</v>
      </c>
      <c r="G95" s="240"/>
      <c r="H95" s="269"/>
      <c r="I95" s="2"/>
      <c r="J95" s="2"/>
      <c r="K95" s="2"/>
      <c r="L95" s="2"/>
      <c r="M95" s="19"/>
      <c r="N95" s="19"/>
      <c r="O95" s="19"/>
    </row>
    <row r="96" spans="1:17" ht="15.75" thickBot="1">
      <c r="A96" s="564" t="s">
        <v>605</v>
      </c>
      <c r="B96" s="525">
        <v>28</v>
      </c>
      <c r="C96" s="526">
        <v>26</v>
      </c>
      <c r="D96" s="526">
        <v>26</v>
      </c>
      <c r="E96" s="526">
        <v>28</v>
      </c>
      <c r="F96" s="526">
        <v>26</v>
      </c>
      <c r="G96" s="270"/>
      <c r="H96" s="255"/>
      <c r="I96" s="2"/>
      <c r="J96" s="2"/>
      <c r="K96" s="2"/>
      <c r="L96" s="2"/>
      <c r="M96" s="19"/>
      <c r="N96" s="19"/>
      <c r="O96" s="19"/>
    </row>
    <row r="97" spans="1:34" ht="15.75" thickBot="1">
      <c r="A97" s="565" t="s">
        <v>606</v>
      </c>
      <c r="B97" s="526">
        <v>10</v>
      </c>
      <c r="C97" s="526">
        <v>10</v>
      </c>
      <c r="D97" s="526">
        <v>10</v>
      </c>
      <c r="E97" s="526">
        <v>10</v>
      </c>
      <c r="F97" s="566">
        <v>10</v>
      </c>
      <c r="G97" s="270"/>
      <c r="H97" s="255"/>
      <c r="I97" s="2"/>
      <c r="J97" s="2"/>
      <c r="K97" s="2"/>
      <c r="L97" s="2"/>
      <c r="M97" s="19"/>
      <c r="N97" s="19"/>
      <c r="O97" s="19"/>
    </row>
    <row r="98" spans="1:34">
      <c r="A98" s="2"/>
      <c r="B98" s="2"/>
      <c r="C98" s="2"/>
      <c r="D98" s="2"/>
      <c r="E98" s="2"/>
      <c r="F98" s="2"/>
      <c r="G98" s="2"/>
      <c r="I98" s="2"/>
      <c r="J98" s="2"/>
      <c r="K98" s="2"/>
      <c r="L98" s="2"/>
      <c r="M98" s="19"/>
      <c r="N98" s="19"/>
      <c r="O98" s="19"/>
    </row>
    <row r="99" spans="1:34" ht="18.75">
      <c r="A99" s="103" t="s">
        <v>7</v>
      </c>
      <c r="B99" s="2"/>
      <c r="C99" s="2"/>
      <c r="D99" s="2"/>
      <c r="E99" s="2"/>
      <c r="F99" s="2"/>
      <c r="G99" s="2"/>
      <c r="H99" s="2"/>
      <c r="I99" s="2"/>
      <c r="J99" s="2"/>
      <c r="K99" s="2"/>
      <c r="L99" s="2"/>
      <c r="M99" s="19"/>
      <c r="N99" s="19"/>
      <c r="O99" s="19"/>
    </row>
    <row r="100" spans="1:34" ht="15.75" thickBot="1">
      <c r="A100" s="2"/>
      <c r="B100" s="2"/>
      <c r="C100" s="2"/>
      <c r="D100" s="2"/>
      <c r="E100" s="2"/>
      <c r="F100" s="2"/>
      <c r="G100" s="2"/>
      <c r="H100" s="2"/>
      <c r="I100" s="2"/>
      <c r="J100" s="2"/>
      <c r="K100" s="2"/>
      <c r="L100" s="2"/>
      <c r="M100" s="19"/>
      <c r="N100" s="19"/>
      <c r="O100" s="19"/>
    </row>
    <row r="101" spans="1:34" ht="27.75" customHeight="1">
      <c r="A101" s="543"/>
      <c r="B101" s="544" t="s">
        <v>266</v>
      </c>
      <c r="C101" s="544" t="s">
        <v>267</v>
      </c>
      <c r="D101" s="545" t="s">
        <v>368</v>
      </c>
      <c r="E101" s="2"/>
      <c r="F101" s="2"/>
      <c r="G101" s="2"/>
      <c r="H101" s="2"/>
      <c r="I101" s="19"/>
      <c r="J101" s="19"/>
      <c r="K101" s="19"/>
      <c r="M101"/>
      <c r="N101" s="19"/>
      <c r="AE101" s="35"/>
      <c r="AH101"/>
    </row>
    <row r="102" spans="1:34" ht="27.75" customHeight="1">
      <c r="A102" s="546" t="s">
        <v>608</v>
      </c>
      <c r="B102" s="229">
        <v>0</v>
      </c>
      <c r="C102" s="231">
        <v>0</v>
      </c>
      <c r="D102" s="547">
        <v>0</v>
      </c>
      <c r="E102" s="2"/>
      <c r="F102" s="2"/>
      <c r="G102" s="2"/>
      <c r="H102" s="2"/>
      <c r="I102" s="19"/>
      <c r="J102" s="19"/>
      <c r="K102" s="19"/>
      <c r="M102"/>
      <c r="N102" s="19"/>
      <c r="AE102" s="35"/>
      <c r="AH102"/>
    </row>
    <row r="103" spans="1:34" ht="27.75" customHeight="1">
      <c r="A103" s="546" t="s">
        <v>609</v>
      </c>
      <c r="B103" s="229">
        <v>28</v>
      </c>
      <c r="C103" s="231">
        <v>26</v>
      </c>
      <c r="D103" s="548">
        <f>B103-C103</f>
        <v>2</v>
      </c>
      <c r="E103" s="2"/>
      <c r="F103" s="2"/>
      <c r="G103" s="2"/>
      <c r="H103" s="2"/>
      <c r="I103" s="19"/>
      <c r="J103" s="19"/>
      <c r="K103" s="19"/>
      <c r="M103"/>
      <c r="N103" s="19"/>
      <c r="AE103" s="35"/>
      <c r="AH103"/>
    </row>
    <row r="104" spans="1:34">
      <c r="A104" s="546" t="s">
        <v>607</v>
      </c>
      <c r="B104" s="229"/>
      <c r="C104" s="231"/>
      <c r="D104" s="547">
        <f t="shared" ref="D104:D105" si="1">B104-C104</f>
        <v>0</v>
      </c>
      <c r="E104" s="2"/>
      <c r="F104" s="2"/>
      <c r="G104" s="2"/>
      <c r="H104" s="2"/>
      <c r="I104" s="19"/>
      <c r="J104" s="19"/>
      <c r="K104" s="19"/>
      <c r="M104"/>
      <c r="N104" s="19"/>
      <c r="AE104" s="35"/>
      <c r="AH104"/>
    </row>
    <row r="105" spans="1:34" ht="15.75" thickBot="1">
      <c r="A105" s="549" t="s">
        <v>610</v>
      </c>
      <c r="B105" s="550">
        <v>10</v>
      </c>
      <c r="C105" s="551">
        <v>10</v>
      </c>
      <c r="D105" s="552">
        <f t="shared" si="1"/>
        <v>0</v>
      </c>
      <c r="E105" s="2"/>
      <c r="F105" s="2"/>
      <c r="G105" s="2"/>
      <c r="H105" s="2"/>
      <c r="I105" s="19"/>
      <c r="J105" s="19"/>
      <c r="K105" s="19"/>
      <c r="M105"/>
      <c r="N105" s="19"/>
      <c r="AE105" s="35"/>
      <c r="AH105"/>
    </row>
    <row r="106" spans="1:34">
      <c r="A106" s="2"/>
      <c r="B106" s="2"/>
      <c r="C106" s="2"/>
      <c r="D106" s="2"/>
      <c r="E106" s="2"/>
      <c r="F106" s="2"/>
      <c r="G106" s="2"/>
      <c r="H106" s="2"/>
      <c r="I106" s="2"/>
      <c r="J106" s="2"/>
      <c r="K106" s="2"/>
      <c r="L106" s="2"/>
      <c r="M106" s="19"/>
      <c r="N106" s="19"/>
      <c r="O106" s="19"/>
    </row>
    <row r="107" spans="1:34" ht="18.75">
      <c r="A107" s="103" t="s">
        <v>403</v>
      </c>
      <c r="B107" s="2"/>
      <c r="C107" s="2"/>
      <c r="D107" s="2"/>
      <c r="E107" s="2"/>
      <c r="F107" s="2"/>
      <c r="G107" s="2"/>
      <c r="H107" s="2"/>
      <c r="I107" s="2"/>
      <c r="J107" s="2"/>
      <c r="K107" s="2"/>
      <c r="L107" s="2"/>
      <c r="M107" s="19"/>
      <c r="N107" s="19"/>
      <c r="O107" s="19"/>
    </row>
    <row r="108" spans="1:34" ht="15.75" thickBot="1">
      <c r="A108" s="2"/>
      <c r="B108" s="2"/>
      <c r="C108" s="2"/>
      <c r="D108" s="2"/>
      <c r="E108" s="2"/>
      <c r="F108" s="2"/>
      <c r="G108" s="2"/>
      <c r="H108" s="15"/>
      <c r="I108" s="15"/>
      <c r="J108" s="15"/>
      <c r="K108" s="15"/>
      <c r="L108" s="15"/>
      <c r="M108" s="20"/>
      <c r="N108" s="20"/>
      <c r="O108" s="20"/>
    </row>
    <row r="109" spans="1:34">
      <c r="A109" s="447"/>
      <c r="B109" s="303" t="s">
        <v>55</v>
      </c>
      <c r="C109" s="303" t="s">
        <v>56</v>
      </c>
      <c r="D109" s="303" t="s">
        <v>57</v>
      </c>
      <c r="E109" s="303" t="s">
        <v>58</v>
      </c>
      <c r="F109" s="303" t="s">
        <v>65</v>
      </c>
      <c r="G109" s="303" t="s">
        <v>66</v>
      </c>
      <c r="H109" s="303" t="s">
        <v>67</v>
      </c>
      <c r="I109" s="303" t="s">
        <v>68</v>
      </c>
      <c r="J109" s="303" t="s">
        <v>69</v>
      </c>
      <c r="K109" s="303" t="s">
        <v>70</v>
      </c>
      <c r="L109" s="303" t="s">
        <v>71</v>
      </c>
      <c r="M109" s="553" t="s">
        <v>78</v>
      </c>
      <c r="N109" s="20"/>
      <c r="O109" s="20"/>
    </row>
    <row r="110" spans="1:34" ht="15" customHeight="1">
      <c r="A110" s="448" t="s">
        <v>442</v>
      </c>
      <c r="B110" s="538">
        <v>68288.95</v>
      </c>
      <c r="C110" s="538">
        <v>6219002.4738936163</v>
      </c>
      <c r="D110" s="538">
        <v>1028404.8850766008</v>
      </c>
      <c r="E110" s="295">
        <v>1486931.22</v>
      </c>
      <c r="F110" s="295"/>
      <c r="G110" s="295"/>
      <c r="H110" s="295"/>
      <c r="I110" s="295"/>
      <c r="J110" s="295"/>
      <c r="K110" s="295"/>
      <c r="L110" s="295"/>
      <c r="M110" s="554"/>
      <c r="N110" s="20"/>
      <c r="O110" s="20"/>
    </row>
    <row r="111" spans="1:34" ht="15" customHeight="1">
      <c r="A111" s="448" t="s">
        <v>331</v>
      </c>
      <c r="B111" s="538">
        <v>3286506.8408695655</v>
      </c>
      <c r="C111" s="538">
        <v>2290937.1599999997</v>
      </c>
      <c r="D111" s="538">
        <v>378547.96</v>
      </c>
      <c r="E111" s="295">
        <v>61875.05</v>
      </c>
      <c r="F111" s="295"/>
      <c r="G111" s="295"/>
      <c r="H111" s="295"/>
      <c r="I111" s="295"/>
      <c r="J111" s="295"/>
      <c r="K111" s="295"/>
      <c r="L111" s="295"/>
      <c r="M111" s="554"/>
      <c r="N111" s="20"/>
      <c r="O111" s="20"/>
    </row>
    <row r="112" spans="1:34" ht="15" customHeight="1">
      <c r="A112" s="448" t="s">
        <v>268</v>
      </c>
      <c r="B112" s="538">
        <v>68288.95</v>
      </c>
      <c r="C112" s="538">
        <v>1722880</v>
      </c>
      <c r="D112" s="538">
        <v>4837442.7573867589</v>
      </c>
      <c r="E112" s="295">
        <v>1325543.6299999997</v>
      </c>
      <c r="F112" s="295"/>
      <c r="G112" s="295"/>
      <c r="H112" s="295"/>
      <c r="I112" s="295"/>
      <c r="J112" s="295"/>
      <c r="K112" s="295"/>
      <c r="L112" s="295"/>
      <c r="M112" s="554"/>
      <c r="N112" s="20"/>
      <c r="O112" s="20"/>
    </row>
    <row r="113" spans="1:35" ht="15" customHeight="1">
      <c r="A113" s="449" t="s">
        <v>370</v>
      </c>
      <c r="B113" s="539">
        <f>+B110</f>
        <v>68288.95</v>
      </c>
      <c r="C113" s="539">
        <f>+C110+B110</f>
        <v>6287291.4238936165</v>
      </c>
      <c r="D113" s="539">
        <f>+D110+C110+B110</f>
        <v>7315696.3089702176</v>
      </c>
      <c r="E113" s="296">
        <f>D113+E110</f>
        <v>8802627.5289702173</v>
      </c>
      <c r="F113" s="296"/>
      <c r="G113" s="296"/>
      <c r="H113" s="296"/>
      <c r="I113" s="296"/>
      <c r="J113" s="296"/>
      <c r="K113" s="296"/>
      <c r="L113" s="296"/>
      <c r="M113" s="555"/>
      <c r="N113" s="20"/>
      <c r="O113" s="20"/>
    </row>
    <row r="114" spans="1:35" ht="15" customHeight="1">
      <c r="A114" s="449" t="s">
        <v>332</v>
      </c>
      <c r="B114" s="539">
        <f>+B111</f>
        <v>3286506.8408695655</v>
      </c>
      <c r="C114" s="539">
        <f>+C111+B111</f>
        <v>5577444.0008695647</v>
      </c>
      <c r="D114" s="539">
        <f>D111</f>
        <v>378547.96</v>
      </c>
      <c r="E114" s="296">
        <f>E111</f>
        <v>61875.05</v>
      </c>
      <c r="F114" s="296"/>
      <c r="G114" s="296"/>
      <c r="H114" s="296"/>
      <c r="I114" s="296"/>
      <c r="J114" s="296"/>
      <c r="K114" s="296"/>
      <c r="L114" s="296"/>
      <c r="M114" s="555"/>
      <c r="N114" s="20"/>
      <c r="O114" s="20"/>
    </row>
    <row r="115" spans="1:35" ht="15.75" thickBot="1">
      <c r="A115" s="556" t="s">
        <v>333</v>
      </c>
      <c r="B115" s="557">
        <f>+B112</f>
        <v>68288.95</v>
      </c>
      <c r="C115" s="557">
        <f>+C112+B115</f>
        <v>1791168.95</v>
      </c>
      <c r="D115" s="557">
        <f>+D112+C115</f>
        <v>6628611.7073867591</v>
      </c>
      <c r="E115" s="558">
        <f>D115+E112</f>
        <v>7954155.337386759</v>
      </c>
      <c r="F115" s="558"/>
      <c r="G115" s="558"/>
      <c r="H115" s="558"/>
      <c r="I115" s="558"/>
      <c r="J115" s="558"/>
      <c r="K115" s="558"/>
      <c r="L115" s="558"/>
      <c r="M115" s="559"/>
      <c r="N115" s="20"/>
      <c r="O115" s="20"/>
    </row>
    <row r="116" spans="1:35">
      <c r="A116" s="3"/>
      <c r="B116" s="2"/>
      <c r="C116" s="2"/>
      <c r="D116" s="2"/>
      <c r="E116" s="2"/>
      <c r="F116" s="2"/>
      <c r="G116" s="2"/>
      <c r="H116" s="15"/>
      <c r="I116" s="111"/>
      <c r="J116" s="112"/>
      <c r="K116" s="15"/>
      <c r="L116" s="113"/>
      <c r="M116" s="20"/>
      <c r="N116" s="20"/>
      <c r="O116" s="20"/>
    </row>
    <row r="117" spans="1:35">
      <c r="A117" s="2" t="s">
        <v>405</v>
      </c>
      <c r="B117" s="2"/>
      <c r="C117" s="2"/>
      <c r="D117" s="2"/>
      <c r="E117" s="2"/>
      <c r="F117" s="2"/>
      <c r="G117" s="2"/>
      <c r="H117" s="15"/>
      <c r="I117" s="111"/>
      <c r="J117" s="112"/>
      <c r="K117" s="15"/>
      <c r="L117" s="113"/>
      <c r="M117" s="20"/>
      <c r="N117" s="20"/>
      <c r="O117" s="20"/>
    </row>
    <row r="118" spans="1:35">
      <c r="B118" s="2"/>
      <c r="C118" s="2"/>
      <c r="D118" s="2"/>
      <c r="E118" s="2"/>
      <c r="F118" s="2"/>
      <c r="G118" s="2"/>
      <c r="H118" s="15"/>
      <c r="I118" s="111"/>
      <c r="J118" s="113"/>
      <c r="K118" s="15"/>
      <c r="L118" s="113"/>
      <c r="M118" s="20"/>
      <c r="N118" s="20"/>
      <c r="O118" s="20"/>
    </row>
    <row r="119" spans="1:35">
      <c r="A119" s="3"/>
      <c r="B119" s="3"/>
      <c r="C119" s="3"/>
      <c r="D119" s="3"/>
      <c r="E119" s="3"/>
      <c r="F119" s="3"/>
      <c r="G119" s="3"/>
      <c r="H119" s="15"/>
      <c r="I119" s="15"/>
      <c r="J119" s="15"/>
      <c r="K119" s="15"/>
      <c r="L119" s="15"/>
      <c r="M119" s="20"/>
      <c r="N119" s="20"/>
      <c r="O119" s="20"/>
    </row>
    <row r="120" spans="1:35" ht="19.5" thickBot="1">
      <c r="A120" s="103" t="s">
        <v>371</v>
      </c>
      <c r="B120" s="3"/>
      <c r="C120" s="3"/>
      <c r="D120" s="3"/>
      <c r="E120" s="3"/>
      <c r="F120" s="3"/>
      <c r="G120" s="3"/>
      <c r="H120" s="15"/>
      <c r="I120" s="15"/>
      <c r="J120" s="15"/>
      <c r="K120" s="15"/>
      <c r="L120" s="15"/>
      <c r="M120" s="20"/>
      <c r="N120" s="20"/>
      <c r="O120" s="20"/>
    </row>
    <row r="121" spans="1:35" ht="127.5">
      <c r="A121" s="567" t="s">
        <v>269</v>
      </c>
      <c r="B121" s="568" t="s">
        <v>457</v>
      </c>
      <c r="C121" s="569" t="s">
        <v>372</v>
      </c>
      <c r="D121" s="569" t="s">
        <v>345</v>
      </c>
      <c r="E121" s="570" t="s">
        <v>3</v>
      </c>
      <c r="F121" s="571" t="s">
        <v>352</v>
      </c>
      <c r="G121" s="572" t="s">
        <v>373</v>
      </c>
      <c r="H121" s="569" t="s">
        <v>375</v>
      </c>
      <c r="I121" s="569" t="s">
        <v>376</v>
      </c>
      <c r="J121" s="573" t="s">
        <v>377</v>
      </c>
      <c r="K121" s="2"/>
      <c r="L121" s="20"/>
      <c r="M121" s="20"/>
      <c r="N121" s="20"/>
      <c r="O121" s="19"/>
      <c r="Q121" s="20"/>
      <c r="AF121"/>
      <c r="AI121" s="35"/>
    </row>
    <row r="122" spans="1:35">
      <c r="A122" s="901" t="s">
        <v>244</v>
      </c>
      <c r="B122" s="640" t="s">
        <v>749</v>
      </c>
      <c r="C122" s="641">
        <v>2</v>
      </c>
      <c r="D122" s="643">
        <f t="shared" ref="D122:D135" si="2">IF(ISBLANK(C122),"",C122*30)</f>
        <v>60</v>
      </c>
      <c r="E122" s="649">
        <v>32</v>
      </c>
      <c r="F122" s="644">
        <f t="shared" ref="F122:F136" si="3">E122*D122</f>
        <v>1920</v>
      </c>
      <c r="G122" s="651">
        <v>16247</v>
      </c>
      <c r="H122" s="645">
        <f t="shared" ref="H122:H136" si="4">G122/F122</f>
        <v>8.4619791666666675</v>
      </c>
      <c r="I122" s="646">
        <v>3</v>
      </c>
      <c r="J122" s="647">
        <f t="shared" ref="J122:J136" si="5">IF(AND(H122&gt;0,I122&gt;0),H122-I122,"")</f>
        <v>5.4619791666666675</v>
      </c>
      <c r="K122" s="2"/>
      <c r="L122" s="20"/>
      <c r="M122" s="20"/>
      <c r="N122" s="20"/>
      <c r="O122" s="19"/>
      <c r="Q122" s="20"/>
      <c r="AF122"/>
      <c r="AI122" s="35"/>
    </row>
    <row r="123" spans="1:35">
      <c r="A123" s="902"/>
      <c r="B123" s="640" t="s">
        <v>750</v>
      </c>
      <c r="C123" s="641">
        <v>2</v>
      </c>
      <c r="D123" s="643">
        <f t="shared" si="2"/>
        <v>60</v>
      </c>
      <c r="E123" s="649">
        <v>83</v>
      </c>
      <c r="F123" s="644">
        <f t="shared" si="3"/>
        <v>4980</v>
      </c>
      <c r="G123" s="651">
        <v>39993</v>
      </c>
      <c r="H123" s="645">
        <f t="shared" si="4"/>
        <v>8.0307228915662652</v>
      </c>
      <c r="I123" s="646">
        <v>3</v>
      </c>
      <c r="J123" s="647">
        <f t="shared" si="5"/>
        <v>5.0307228915662652</v>
      </c>
      <c r="K123" s="2"/>
      <c r="L123" s="20"/>
      <c r="M123" s="20"/>
      <c r="N123" s="20"/>
      <c r="O123" s="19"/>
      <c r="Q123" s="20"/>
      <c r="AF123"/>
      <c r="AI123" s="35"/>
    </row>
    <row r="124" spans="1:35">
      <c r="A124" s="902"/>
      <c r="B124" s="640" t="s">
        <v>751</v>
      </c>
      <c r="C124" s="641">
        <v>2</v>
      </c>
      <c r="D124" s="643">
        <f t="shared" si="2"/>
        <v>60</v>
      </c>
      <c r="E124" s="649">
        <v>2</v>
      </c>
      <c r="F124" s="644">
        <f t="shared" si="3"/>
        <v>120</v>
      </c>
      <c r="G124" s="651">
        <v>2460</v>
      </c>
      <c r="H124" s="645">
        <f t="shared" si="4"/>
        <v>20.5</v>
      </c>
      <c r="I124" s="646">
        <v>3</v>
      </c>
      <c r="J124" s="647">
        <f t="shared" si="5"/>
        <v>17.5</v>
      </c>
      <c r="K124" s="2"/>
      <c r="L124" s="20"/>
      <c r="M124" s="20"/>
      <c r="N124" s="20"/>
      <c r="O124" s="19"/>
      <c r="Q124" s="20"/>
      <c r="AF124"/>
      <c r="AI124" s="35"/>
    </row>
    <row r="125" spans="1:35">
      <c r="A125" s="902"/>
      <c r="B125" s="640" t="s">
        <v>752</v>
      </c>
      <c r="C125" s="641">
        <v>2</v>
      </c>
      <c r="D125" s="643">
        <f t="shared" si="2"/>
        <v>60</v>
      </c>
      <c r="E125" s="649">
        <v>522</v>
      </c>
      <c r="F125" s="644">
        <f t="shared" si="3"/>
        <v>31320</v>
      </c>
      <c r="G125" s="651">
        <v>218761</v>
      </c>
      <c r="H125" s="645">
        <f t="shared" si="4"/>
        <v>6.9847062579821202</v>
      </c>
      <c r="I125" s="646">
        <v>3</v>
      </c>
      <c r="J125" s="647">
        <f t="shared" si="5"/>
        <v>3.9847062579821202</v>
      </c>
      <c r="K125" s="2"/>
      <c r="L125" s="20"/>
      <c r="M125" s="20"/>
      <c r="N125" s="20"/>
      <c r="O125" s="19"/>
      <c r="Q125" s="20"/>
      <c r="AF125"/>
      <c r="AI125" s="35"/>
    </row>
    <row r="126" spans="1:35">
      <c r="A126" s="902"/>
      <c r="B126" s="640" t="s">
        <v>753</v>
      </c>
      <c r="C126" s="641">
        <v>3</v>
      </c>
      <c r="D126" s="643">
        <f t="shared" si="2"/>
        <v>90</v>
      </c>
      <c r="E126" s="649">
        <v>200</v>
      </c>
      <c r="F126" s="644">
        <f t="shared" si="3"/>
        <v>18000</v>
      </c>
      <c r="G126" s="651">
        <v>213652</v>
      </c>
      <c r="H126" s="645">
        <f t="shared" si="4"/>
        <v>11.869555555555555</v>
      </c>
      <c r="I126" s="646">
        <v>3</v>
      </c>
      <c r="J126" s="647">
        <f t="shared" si="5"/>
        <v>8.8695555555555554</v>
      </c>
      <c r="K126" s="2"/>
      <c r="L126" s="20"/>
      <c r="M126" s="20"/>
      <c r="N126" s="20"/>
      <c r="O126" s="19"/>
      <c r="Q126" s="20"/>
      <c r="AF126"/>
      <c r="AI126" s="35"/>
    </row>
    <row r="127" spans="1:35">
      <c r="A127" s="902"/>
      <c r="B127" s="640" t="s">
        <v>754</v>
      </c>
      <c r="C127" s="641">
        <v>1</v>
      </c>
      <c r="D127" s="643">
        <f t="shared" si="2"/>
        <v>30</v>
      </c>
      <c r="E127" s="649">
        <v>107</v>
      </c>
      <c r="F127" s="644">
        <f t="shared" si="3"/>
        <v>3210</v>
      </c>
      <c r="G127" s="651">
        <v>31073</v>
      </c>
      <c r="H127" s="645">
        <f t="shared" si="4"/>
        <v>9.6800623052959498</v>
      </c>
      <c r="I127" s="646">
        <v>3</v>
      </c>
      <c r="J127" s="647">
        <f t="shared" si="5"/>
        <v>6.6800623052959498</v>
      </c>
      <c r="K127" s="2"/>
      <c r="L127" s="20"/>
      <c r="M127" s="20"/>
      <c r="N127" s="20"/>
      <c r="O127" s="19"/>
      <c r="Q127" s="20"/>
      <c r="AF127"/>
      <c r="AI127" s="35"/>
    </row>
    <row r="128" spans="1:35">
      <c r="A128" s="902"/>
      <c r="B128" s="640" t="s">
        <v>755</v>
      </c>
      <c r="C128" s="641">
        <v>4</v>
      </c>
      <c r="D128" s="643">
        <f t="shared" si="2"/>
        <v>120</v>
      </c>
      <c r="E128" s="649">
        <v>292</v>
      </c>
      <c r="F128" s="644">
        <f t="shared" si="3"/>
        <v>35040</v>
      </c>
      <c r="G128" s="651">
        <f>344488+175551</f>
        <v>520039</v>
      </c>
      <c r="H128" s="645">
        <f t="shared" si="4"/>
        <v>14.841295662100457</v>
      </c>
      <c r="I128" s="646">
        <v>3</v>
      </c>
      <c r="J128" s="647">
        <f t="shared" si="5"/>
        <v>11.841295662100457</v>
      </c>
      <c r="K128" s="2"/>
      <c r="L128" s="20"/>
      <c r="M128" s="20"/>
      <c r="N128" s="20"/>
      <c r="O128" s="19"/>
      <c r="Q128" s="20"/>
      <c r="AF128"/>
      <c r="AI128" s="35"/>
    </row>
    <row r="129" spans="1:35">
      <c r="A129" s="902"/>
      <c r="B129" s="640" t="s">
        <v>756</v>
      </c>
      <c r="C129" s="641">
        <v>2</v>
      </c>
      <c r="D129" s="643">
        <f t="shared" si="2"/>
        <v>60</v>
      </c>
      <c r="E129" s="649">
        <v>176</v>
      </c>
      <c r="F129" s="644">
        <f t="shared" si="3"/>
        <v>10560</v>
      </c>
      <c r="G129" s="651">
        <v>46046</v>
      </c>
      <c r="H129" s="645">
        <f t="shared" si="4"/>
        <v>4.3604166666666666</v>
      </c>
      <c r="I129" s="646">
        <v>3</v>
      </c>
      <c r="J129" s="647">
        <f t="shared" si="5"/>
        <v>1.3604166666666666</v>
      </c>
      <c r="K129" s="2"/>
      <c r="L129" s="20"/>
      <c r="M129" s="20"/>
      <c r="N129" s="20"/>
      <c r="O129" s="19"/>
      <c r="Q129" s="20"/>
      <c r="AF129"/>
      <c r="AI129" s="35"/>
    </row>
    <row r="130" spans="1:35">
      <c r="A130" s="902"/>
      <c r="B130" s="640" t="s">
        <v>757</v>
      </c>
      <c r="C130" s="641">
        <v>1</v>
      </c>
      <c r="D130" s="643">
        <f t="shared" si="2"/>
        <v>30</v>
      </c>
      <c r="E130" s="649">
        <v>8</v>
      </c>
      <c r="F130" s="644">
        <f t="shared" si="3"/>
        <v>240</v>
      </c>
      <c r="G130" s="651">
        <v>2668</v>
      </c>
      <c r="H130" s="645">
        <f t="shared" si="4"/>
        <v>11.116666666666667</v>
      </c>
      <c r="I130" s="646">
        <v>3</v>
      </c>
      <c r="J130" s="647">
        <f t="shared" si="5"/>
        <v>8.1166666666666671</v>
      </c>
      <c r="K130" s="2"/>
      <c r="L130" s="20"/>
      <c r="M130" s="20"/>
      <c r="N130" s="20"/>
      <c r="O130" s="19"/>
      <c r="Q130" s="20"/>
      <c r="AF130"/>
      <c r="AI130" s="35"/>
    </row>
    <row r="131" spans="1:35">
      <c r="A131" s="902"/>
      <c r="B131" s="640" t="s">
        <v>758</v>
      </c>
      <c r="C131" s="641">
        <v>1</v>
      </c>
      <c r="D131" s="643">
        <f t="shared" si="2"/>
        <v>30</v>
      </c>
      <c r="E131" s="649">
        <v>149</v>
      </c>
      <c r="F131" s="644">
        <f t="shared" si="3"/>
        <v>4470</v>
      </c>
      <c r="G131" s="651">
        <v>52373</v>
      </c>
      <c r="H131" s="645">
        <f t="shared" si="4"/>
        <v>11.7165548098434</v>
      </c>
      <c r="I131" s="646">
        <v>3</v>
      </c>
      <c r="J131" s="647">
        <f t="shared" si="5"/>
        <v>8.7165548098433998</v>
      </c>
      <c r="K131" s="2"/>
      <c r="L131" s="20"/>
      <c r="M131" s="20"/>
      <c r="N131" s="20"/>
      <c r="O131" s="19"/>
      <c r="Q131" s="20"/>
      <c r="AF131"/>
      <c r="AI131" s="35"/>
    </row>
    <row r="132" spans="1:35">
      <c r="A132" s="902"/>
      <c r="B132" s="640" t="s">
        <v>759</v>
      </c>
      <c r="C132" s="641">
        <v>1</v>
      </c>
      <c r="D132" s="643">
        <f t="shared" si="2"/>
        <v>30</v>
      </c>
      <c r="E132" s="649">
        <v>2636</v>
      </c>
      <c r="F132" s="644">
        <f t="shared" si="3"/>
        <v>79080</v>
      </c>
      <c r="G132" s="651">
        <v>488703</v>
      </c>
      <c r="H132" s="645">
        <f t="shared" si="4"/>
        <v>6.1798558421851286</v>
      </c>
      <c r="I132" s="646">
        <v>3</v>
      </c>
      <c r="J132" s="647">
        <f t="shared" si="5"/>
        <v>3.1798558421851286</v>
      </c>
      <c r="K132" s="2"/>
      <c r="L132" s="20"/>
      <c r="M132" s="20"/>
      <c r="N132" s="20"/>
      <c r="O132" s="19"/>
      <c r="Q132" s="20"/>
      <c r="AF132"/>
      <c r="AI132" s="35"/>
    </row>
    <row r="133" spans="1:35">
      <c r="A133" s="902"/>
      <c r="B133" s="640" t="s">
        <v>760</v>
      </c>
      <c r="C133" s="642">
        <v>1</v>
      </c>
      <c r="D133" s="643">
        <f t="shared" si="2"/>
        <v>30</v>
      </c>
      <c r="E133" s="650">
        <v>130</v>
      </c>
      <c r="F133" s="644">
        <f t="shared" si="3"/>
        <v>3900</v>
      </c>
      <c r="G133" s="651">
        <v>39739</v>
      </c>
      <c r="H133" s="645">
        <f t="shared" si="4"/>
        <v>10.189487179487179</v>
      </c>
      <c r="I133" s="646">
        <v>3</v>
      </c>
      <c r="J133" s="647">
        <f t="shared" si="5"/>
        <v>7.1894871794871786</v>
      </c>
      <c r="K133" s="2"/>
      <c r="L133" s="20"/>
      <c r="M133" s="20"/>
      <c r="N133" s="20"/>
      <c r="O133" s="19"/>
      <c r="Q133" s="20"/>
      <c r="AF133"/>
      <c r="AI133" s="35"/>
    </row>
    <row r="134" spans="1:35">
      <c r="A134" s="902"/>
      <c r="B134" s="640" t="s">
        <v>761</v>
      </c>
      <c r="C134" s="642">
        <v>6</v>
      </c>
      <c r="D134" s="643">
        <f t="shared" si="2"/>
        <v>180</v>
      </c>
      <c r="E134" s="650">
        <v>23</v>
      </c>
      <c r="F134" s="644">
        <f t="shared" si="3"/>
        <v>4140</v>
      </c>
      <c r="G134" s="651">
        <f>10221+23040</f>
        <v>33261</v>
      </c>
      <c r="H134" s="645">
        <f t="shared" si="4"/>
        <v>8.0340579710144926</v>
      </c>
      <c r="I134" s="646">
        <v>3</v>
      </c>
      <c r="J134" s="647">
        <f t="shared" si="5"/>
        <v>5.0340579710144926</v>
      </c>
      <c r="K134" s="2"/>
      <c r="L134" s="20"/>
      <c r="M134" s="20"/>
      <c r="N134" s="20"/>
      <c r="O134" s="19"/>
      <c r="Q134" s="20"/>
      <c r="AF134"/>
      <c r="AI134" s="35"/>
    </row>
    <row r="135" spans="1:35">
      <c r="A135" s="902"/>
      <c r="B135" s="640" t="s">
        <v>762</v>
      </c>
      <c r="C135" s="642">
        <v>4</v>
      </c>
      <c r="D135" s="643">
        <f t="shared" si="2"/>
        <v>120</v>
      </c>
      <c r="E135" s="650">
        <v>18</v>
      </c>
      <c r="F135" s="644">
        <f t="shared" si="3"/>
        <v>2160</v>
      </c>
      <c r="G135" s="651">
        <f>2247+6000</f>
        <v>8247</v>
      </c>
      <c r="H135" s="645">
        <f t="shared" si="4"/>
        <v>3.8180555555555555</v>
      </c>
      <c r="I135" s="646">
        <v>3</v>
      </c>
      <c r="J135" s="647">
        <f t="shared" si="5"/>
        <v>0.81805555555555554</v>
      </c>
      <c r="K135" s="2"/>
      <c r="L135" s="20"/>
      <c r="M135" s="20"/>
      <c r="N135" s="20"/>
      <c r="O135" s="19"/>
      <c r="Q135" s="20"/>
      <c r="AF135"/>
      <c r="AI135" s="35"/>
    </row>
    <row r="136" spans="1:35">
      <c r="A136" s="902"/>
      <c r="B136" s="640" t="s">
        <v>763</v>
      </c>
      <c r="C136" s="642"/>
      <c r="D136" s="643">
        <v>2</v>
      </c>
      <c r="E136" s="650">
        <v>2</v>
      </c>
      <c r="F136" s="644">
        <f t="shared" si="3"/>
        <v>4</v>
      </c>
      <c r="G136" s="651">
        <v>25</v>
      </c>
      <c r="H136" s="645">
        <f t="shared" si="4"/>
        <v>6.25</v>
      </c>
      <c r="I136" s="646">
        <v>3</v>
      </c>
      <c r="J136" s="647">
        <f t="shared" si="5"/>
        <v>3.25</v>
      </c>
      <c r="K136" s="2"/>
      <c r="L136" s="20"/>
      <c r="M136" s="20"/>
      <c r="N136" s="20"/>
      <c r="O136" s="19"/>
      <c r="Q136" s="20"/>
      <c r="AF136"/>
      <c r="AI136" s="35"/>
    </row>
    <row r="137" spans="1:35">
      <c r="A137" s="903"/>
      <c r="B137" s="648" t="s">
        <v>764</v>
      </c>
      <c r="C137" s="642">
        <v>6</v>
      </c>
      <c r="D137" s="643">
        <f>IF(ISBLANK(C137),"",C137*30)</f>
        <v>180</v>
      </c>
      <c r="E137" s="650">
        <v>8</v>
      </c>
      <c r="F137" s="644">
        <f>E137*D137</f>
        <v>1440</v>
      </c>
      <c r="G137" s="651">
        <v>5760</v>
      </c>
      <c r="H137" s="645">
        <f>G137/F137</f>
        <v>4</v>
      </c>
      <c r="I137" s="646">
        <v>3</v>
      </c>
      <c r="J137" s="647">
        <f>IF(AND(H137&gt;0,I137&gt;0),H137-I137,"")</f>
        <v>1</v>
      </c>
      <c r="K137" s="2"/>
      <c r="L137" s="20"/>
      <c r="M137" s="20"/>
      <c r="N137" s="20"/>
      <c r="O137" s="19"/>
      <c r="Q137" s="20"/>
      <c r="AF137"/>
      <c r="AI137" s="35"/>
    </row>
    <row r="138" spans="1:35">
      <c r="A138" s="868" t="s">
        <v>246</v>
      </c>
      <c r="B138" s="587" t="s">
        <v>638</v>
      </c>
      <c r="C138" s="613">
        <v>1</v>
      </c>
      <c r="D138" s="614">
        <v>26</v>
      </c>
      <c r="E138" s="615">
        <v>553</v>
      </c>
      <c r="F138" s="616">
        <f>C138*D138*E138</f>
        <v>14378</v>
      </c>
      <c r="G138" s="615">
        <v>109036</v>
      </c>
      <c r="H138" s="617">
        <f t="shared" ref="H138:H154" si="6">G138/F138</f>
        <v>7.583530393656976</v>
      </c>
      <c r="I138" s="618">
        <v>3</v>
      </c>
      <c r="J138" s="619">
        <f>H138-I138</f>
        <v>4.583530393656976</v>
      </c>
      <c r="K138" s="2"/>
      <c r="L138" s="20"/>
      <c r="M138" s="20"/>
      <c r="N138" s="20"/>
      <c r="O138" s="19"/>
      <c r="Q138" s="20"/>
      <c r="AF138"/>
      <c r="AI138" s="35"/>
    </row>
    <row r="139" spans="1:35">
      <c r="A139" s="868"/>
      <c r="B139" s="457" t="s">
        <v>639</v>
      </c>
      <c r="C139" s="620">
        <v>1</v>
      </c>
      <c r="D139" s="621">
        <v>26</v>
      </c>
      <c r="E139" s="615">
        <v>96</v>
      </c>
      <c r="F139" s="616">
        <f t="shared" ref="F139:F152" si="7">C139*D139*E139</f>
        <v>2496</v>
      </c>
      <c r="G139" s="615">
        <v>35118</v>
      </c>
      <c r="H139" s="617">
        <f t="shared" si="6"/>
        <v>14.069711538461538</v>
      </c>
      <c r="I139" s="618">
        <v>3</v>
      </c>
      <c r="J139" s="619">
        <f t="shared" ref="J139:J154" si="8">H139-I139</f>
        <v>11.069711538461538</v>
      </c>
      <c r="K139" s="2"/>
      <c r="L139" s="20"/>
      <c r="M139" s="20"/>
      <c r="N139" s="20"/>
      <c r="O139" s="19"/>
      <c r="Q139" s="20"/>
      <c r="AF139"/>
      <c r="AI139" s="35"/>
    </row>
    <row r="140" spans="1:35">
      <c r="A140" s="868"/>
      <c r="B140" s="457" t="s">
        <v>640</v>
      </c>
      <c r="C140" s="620">
        <v>3</v>
      </c>
      <c r="D140" s="621">
        <v>30</v>
      </c>
      <c r="E140" s="615">
        <v>17</v>
      </c>
      <c r="F140" s="616">
        <f t="shared" si="7"/>
        <v>1530</v>
      </c>
      <c r="G140" s="615">
        <v>210218</v>
      </c>
      <c r="H140" s="617">
        <f t="shared" si="6"/>
        <v>137.39738562091503</v>
      </c>
      <c r="I140" s="618">
        <v>3</v>
      </c>
      <c r="J140" s="619">
        <f t="shared" si="8"/>
        <v>134.39738562091503</v>
      </c>
      <c r="K140" s="2"/>
      <c r="L140" s="20"/>
      <c r="M140" s="20"/>
      <c r="N140" s="20"/>
      <c r="O140" s="19"/>
      <c r="Q140" s="20"/>
      <c r="AF140"/>
      <c r="AI140" s="35"/>
    </row>
    <row r="141" spans="1:35">
      <c r="A141" s="868"/>
      <c r="B141" s="457" t="s">
        <v>641</v>
      </c>
      <c r="C141" s="620">
        <v>3</v>
      </c>
      <c r="D141" s="621">
        <v>30</v>
      </c>
      <c r="E141" s="615">
        <v>1148</v>
      </c>
      <c r="F141" s="616">
        <f t="shared" si="7"/>
        <v>103320</v>
      </c>
      <c r="G141" s="615">
        <v>635222</v>
      </c>
      <c r="H141" s="617">
        <f t="shared" si="6"/>
        <v>6.14810298102981</v>
      </c>
      <c r="I141" s="618">
        <v>3</v>
      </c>
      <c r="J141" s="619">
        <f t="shared" si="8"/>
        <v>3.14810298102981</v>
      </c>
      <c r="K141" s="2"/>
      <c r="L141" s="20"/>
      <c r="M141" s="20"/>
      <c r="N141" s="20"/>
      <c r="O141" s="19"/>
      <c r="Q141" s="20"/>
      <c r="AF141"/>
      <c r="AI141" s="35"/>
    </row>
    <row r="142" spans="1:35">
      <c r="A142" s="868"/>
      <c r="B142" s="457" t="s">
        <v>642</v>
      </c>
      <c r="C142" s="620">
        <v>4</v>
      </c>
      <c r="D142" s="621">
        <v>30</v>
      </c>
      <c r="E142" s="615">
        <v>313</v>
      </c>
      <c r="F142" s="616">
        <f t="shared" si="7"/>
        <v>37560</v>
      </c>
      <c r="G142" s="615">
        <v>388519</v>
      </c>
      <c r="H142" s="617">
        <f t="shared" si="6"/>
        <v>10.343956336528221</v>
      </c>
      <c r="I142" s="618">
        <v>3</v>
      </c>
      <c r="J142" s="619">
        <f t="shared" si="8"/>
        <v>7.3439563365282208</v>
      </c>
      <c r="K142" s="2"/>
      <c r="L142" s="20"/>
      <c r="M142" s="20"/>
      <c r="N142" s="20"/>
      <c r="O142" s="19"/>
      <c r="Q142" s="20"/>
      <c r="AF142"/>
      <c r="AI142" s="35"/>
    </row>
    <row r="143" spans="1:35">
      <c r="A143" s="868"/>
      <c r="B143" s="457" t="s">
        <v>643</v>
      </c>
      <c r="C143" s="620">
        <v>2</v>
      </c>
      <c r="D143" s="621">
        <v>30</v>
      </c>
      <c r="E143" s="615">
        <v>241</v>
      </c>
      <c r="F143" s="616">
        <f t="shared" si="7"/>
        <v>14460</v>
      </c>
      <c r="G143" s="615">
        <v>288159</v>
      </c>
      <c r="H143" s="617">
        <f t="shared" si="6"/>
        <v>19.928008298755188</v>
      </c>
      <c r="I143" s="618">
        <v>3</v>
      </c>
      <c r="J143" s="619">
        <f t="shared" si="8"/>
        <v>16.928008298755188</v>
      </c>
      <c r="K143" s="2"/>
      <c r="L143" s="20"/>
      <c r="M143" s="20"/>
      <c r="N143" s="20"/>
      <c r="O143" s="19"/>
      <c r="Q143" s="20"/>
      <c r="AF143"/>
      <c r="AI143" s="35"/>
    </row>
    <row r="144" spans="1:35">
      <c r="A144" s="868"/>
      <c r="B144" s="457" t="s">
        <v>644</v>
      </c>
      <c r="C144" s="620">
        <v>4</v>
      </c>
      <c r="D144" s="621">
        <v>30</v>
      </c>
      <c r="E144" s="615">
        <v>1061</v>
      </c>
      <c r="F144" s="616">
        <f t="shared" si="7"/>
        <v>127320</v>
      </c>
      <c r="G144" s="615">
        <v>512733</v>
      </c>
      <c r="H144" s="617">
        <f t="shared" si="6"/>
        <v>4.0271206409048066</v>
      </c>
      <c r="I144" s="618">
        <v>3</v>
      </c>
      <c r="J144" s="619">
        <f t="shared" si="8"/>
        <v>1.0271206409048066</v>
      </c>
      <c r="K144" s="2"/>
      <c r="L144" s="20"/>
      <c r="M144" s="20"/>
      <c r="N144" s="20"/>
      <c r="O144" s="19"/>
      <c r="Q144" s="20"/>
      <c r="AF144"/>
      <c r="AI144" s="35"/>
    </row>
    <row r="145" spans="1:35">
      <c r="A145" s="868"/>
      <c r="B145" s="457" t="s">
        <v>645</v>
      </c>
      <c r="C145" s="620">
        <v>1</v>
      </c>
      <c r="D145" s="621">
        <v>30</v>
      </c>
      <c r="E145" s="615">
        <v>270</v>
      </c>
      <c r="F145" s="616">
        <f t="shared" si="7"/>
        <v>8100</v>
      </c>
      <c r="G145" s="615">
        <v>178814</v>
      </c>
      <c r="H145" s="617">
        <f t="shared" si="6"/>
        <v>22.075802469135802</v>
      </c>
      <c r="I145" s="618">
        <v>3</v>
      </c>
      <c r="J145" s="619">
        <f t="shared" si="8"/>
        <v>19.075802469135802</v>
      </c>
      <c r="K145" s="2"/>
      <c r="L145" s="20"/>
      <c r="M145" s="20"/>
      <c r="N145" s="20"/>
      <c r="O145" s="19"/>
      <c r="Q145" s="20"/>
      <c r="AF145"/>
      <c r="AI145" s="35"/>
    </row>
    <row r="146" spans="1:35">
      <c r="A146" s="868"/>
      <c r="B146" s="458" t="s">
        <v>646</v>
      </c>
      <c r="C146" s="620">
        <v>2</v>
      </c>
      <c r="D146" s="621">
        <v>30</v>
      </c>
      <c r="E146" s="615">
        <v>731</v>
      </c>
      <c r="F146" s="616">
        <f t="shared" si="7"/>
        <v>43860</v>
      </c>
      <c r="G146" s="615">
        <v>175728</v>
      </c>
      <c r="H146" s="617">
        <f t="shared" si="6"/>
        <v>4.0065663474692199</v>
      </c>
      <c r="I146" s="618">
        <v>3</v>
      </c>
      <c r="J146" s="619">
        <f t="shared" si="8"/>
        <v>1.0065663474692199</v>
      </c>
      <c r="K146" s="2"/>
      <c r="L146" s="20"/>
      <c r="M146" s="20"/>
      <c r="N146" s="20"/>
      <c r="O146" s="19"/>
      <c r="Q146" s="20"/>
      <c r="AF146"/>
      <c r="AI146" s="35"/>
    </row>
    <row r="147" spans="1:35">
      <c r="A147" s="868"/>
      <c r="B147" s="458" t="s">
        <v>647</v>
      </c>
      <c r="C147" s="620">
        <v>3</v>
      </c>
      <c r="D147" s="621">
        <v>30</v>
      </c>
      <c r="E147" s="615">
        <v>1147</v>
      </c>
      <c r="F147" s="616">
        <f t="shared" si="7"/>
        <v>103230</v>
      </c>
      <c r="G147" s="615">
        <v>654802</v>
      </c>
      <c r="H147" s="617">
        <f t="shared" si="6"/>
        <v>6.3431366850721691</v>
      </c>
      <c r="I147" s="618">
        <v>3</v>
      </c>
      <c r="J147" s="619">
        <f t="shared" si="8"/>
        <v>3.3431366850721691</v>
      </c>
      <c r="K147" s="2"/>
      <c r="L147" s="20"/>
      <c r="M147" s="20"/>
      <c r="N147" s="20"/>
      <c r="O147" s="19"/>
      <c r="Q147" s="20"/>
      <c r="AF147"/>
      <c r="AI147" s="35"/>
    </row>
    <row r="148" spans="1:35">
      <c r="A148" s="868"/>
      <c r="B148" s="456" t="s">
        <v>648</v>
      </c>
      <c r="C148" s="620">
        <v>4</v>
      </c>
      <c r="D148" s="621">
        <v>30</v>
      </c>
      <c r="E148" s="615">
        <v>207</v>
      </c>
      <c r="F148" s="616">
        <f t="shared" si="7"/>
        <v>24840</v>
      </c>
      <c r="G148" s="615">
        <v>139574</v>
      </c>
      <c r="H148" s="617">
        <f t="shared" si="6"/>
        <v>5.6189210950080515</v>
      </c>
      <c r="I148" s="618">
        <v>3</v>
      </c>
      <c r="J148" s="619">
        <f t="shared" si="8"/>
        <v>2.6189210950080515</v>
      </c>
      <c r="K148" s="2"/>
      <c r="L148" s="20"/>
      <c r="M148" s="20"/>
      <c r="N148" s="20"/>
      <c r="O148" s="19"/>
      <c r="Q148" s="20"/>
      <c r="AF148"/>
      <c r="AI148" s="35"/>
    </row>
    <row r="149" spans="1:35">
      <c r="A149" s="868"/>
      <c r="B149" s="588" t="s">
        <v>649</v>
      </c>
      <c r="C149" s="622">
        <v>5</v>
      </c>
      <c r="D149" s="621">
        <v>30</v>
      </c>
      <c r="E149" s="615">
        <v>1025</v>
      </c>
      <c r="F149" s="616">
        <f t="shared" si="7"/>
        <v>153750</v>
      </c>
      <c r="G149" s="615">
        <v>929380</v>
      </c>
      <c r="H149" s="617">
        <f t="shared" si="6"/>
        <v>6.0447479674796751</v>
      </c>
      <c r="I149" s="618">
        <v>3</v>
      </c>
      <c r="J149" s="619">
        <f t="shared" si="8"/>
        <v>3.0447479674796751</v>
      </c>
      <c r="K149" s="2"/>
      <c r="L149" s="20"/>
      <c r="M149" s="20"/>
      <c r="N149" s="20"/>
      <c r="O149" s="19"/>
      <c r="Q149" s="20"/>
      <c r="AF149"/>
      <c r="AI149" s="35"/>
    </row>
    <row r="150" spans="1:35">
      <c r="A150" s="868"/>
      <c r="B150" s="588" t="s">
        <v>650</v>
      </c>
      <c r="C150" s="622">
        <v>2</v>
      </c>
      <c r="D150" s="621">
        <v>30</v>
      </c>
      <c r="E150" s="615">
        <v>286</v>
      </c>
      <c r="F150" s="616">
        <f t="shared" si="7"/>
        <v>17160</v>
      </c>
      <c r="G150" s="615">
        <v>250865</v>
      </c>
      <c r="H150" s="617">
        <f t="shared" si="6"/>
        <v>14.619172494172494</v>
      </c>
      <c r="I150" s="618">
        <v>3</v>
      </c>
      <c r="J150" s="619">
        <f t="shared" si="8"/>
        <v>11.619172494172494</v>
      </c>
      <c r="K150" s="2"/>
      <c r="L150" s="20"/>
      <c r="M150" s="20"/>
      <c r="N150" s="20"/>
      <c r="O150" s="19"/>
      <c r="Q150" s="20"/>
      <c r="AF150"/>
      <c r="AI150" s="35"/>
    </row>
    <row r="151" spans="1:35">
      <c r="A151" s="868"/>
      <c r="B151" s="588" t="s">
        <v>651</v>
      </c>
      <c r="C151" s="622">
        <v>4</v>
      </c>
      <c r="D151" s="621">
        <v>30</v>
      </c>
      <c r="E151" s="623">
        <v>42</v>
      </c>
      <c r="F151" s="616">
        <f t="shared" si="7"/>
        <v>5040</v>
      </c>
      <c r="G151" s="624">
        <v>69826</v>
      </c>
      <c r="H151" s="617">
        <f t="shared" si="6"/>
        <v>13.854365079365079</v>
      </c>
      <c r="I151" s="618">
        <v>3</v>
      </c>
      <c r="J151" s="619">
        <f t="shared" si="8"/>
        <v>10.854365079365079</v>
      </c>
      <c r="K151" s="2"/>
      <c r="L151" s="20"/>
      <c r="M151" s="20"/>
      <c r="N151" s="20"/>
      <c r="O151" s="19"/>
      <c r="Q151" s="20"/>
      <c r="AF151"/>
      <c r="AI151" s="35"/>
    </row>
    <row r="152" spans="1:35">
      <c r="A152" s="868"/>
      <c r="B152" s="588" t="s">
        <v>652</v>
      </c>
      <c r="C152" s="622">
        <v>1</v>
      </c>
      <c r="D152" s="621">
        <v>30</v>
      </c>
      <c r="E152" s="623">
        <v>226</v>
      </c>
      <c r="F152" s="616">
        <f t="shared" si="7"/>
        <v>6780</v>
      </c>
      <c r="G152" s="624">
        <v>161042</v>
      </c>
      <c r="H152" s="617">
        <f t="shared" si="6"/>
        <v>23.752507374631268</v>
      </c>
      <c r="I152" s="618">
        <v>3</v>
      </c>
      <c r="J152" s="619">
        <f t="shared" si="8"/>
        <v>20.752507374631268</v>
      </c>
      <c r="K152" s="2"/>
      <c r="L152" s="20"/>
      <c r="M152" s="20"/>
      <c r="N152" s="20"/>
      <c r="O152" s="19"/>
      <c r="Q152" s="20"/>
      <c r="AF152"/>
      <c r="AI152" s="35"/>
    </row>
    <row r="153" spans="1:35">
      <c r="A153" s="869"/>
      <c r="B153" s="588" t="s">
        <v>653</v>
      </c>
      <c r="C153" s="622">
        <v>1</v>
      </c>
      <c r="D153" s="625">
        <v>26</v>
      </c>
      <c r="E153" s="626">
        <v>122</v>
      </c>
      <c r="F153" s="627">
        <f>C153*D153*E153</f>
        <v>3172</v>
      </c>
      <c r="G153" s="628">
        <v>128199</v>
      </c>
      <c r="H153" s="629">
        <f t="shared" ref="H153" si="9">G153/F153</f>
        <v>40.415825977301388</v>
      </c>
      <c r="I153" s="630">
        <v>3</v>
      </c>
      <c r="J153" s="631">
        <f t="shared" ref="J153" si="10">H153-I153</f>
        <v>37.415825977301388</v>
      </c>
      <c r="K153" s="2"/>
      <c r="L153" s="20"/>
      <c r="M153" s="20"/>
      <c r="N153" s="20"/>
      <c r="O153" s="19"/>
      <c r="Q153" s="20"/>
      <c r="AF153"/>
      <c r="AI153" s="35"/>
    </row>
    <row r="154" spans="1:35" ht="15.75" thickBot="1">
      <c r="A154" s="870"/>
      <c r="B154" s="589" t="s">
        <v>744</v>
      </c>
      <c r="C154" s="632">
        <v>4</v>
      </c>
      <c r="D154" s="633">
        <v>26</v>
      </c>
      <c r="E154" s="634">
        <v>15</v>
      </c>
      <c r="F154" s="635">
        <f>C154*D154*E154</f>
        <v>1560</v>
      </c>
      <c r="G154" s="636">
        <v>7449</v>
      </c>
      <c r="H154" s="637">
        <f t="shared" si="6"/>
        <v>4.7750000000000004</v>
      </c>
      <c r="I154" s="638">
        <v>3</v>
      </c>
      <c r="J154" s="639">
        <f t="shared" si="8"/>
        <v>1.7750000000000004</v>
      </c>
      <c r="K154" s="2"/>
      <c r="L154" s="20"/>
      <c r="M154" s="20"/>
      <c r="N154" s="20"/>
      <c r="O154" s="19"/>
      <c r="Q154" s="20"/>
      <c r="AF154"/>
      <c r="AI154" s="35"/>
    </row>
    <row r="155" spans="1:35">
      <c r="K155" s="2"/>
      <c r="L155" s="20"/>
      <c r="M155" s="20"/>
      <c r="N155" s="20"/>
      <c r="O155" s="19"/>
      <c r="Q155" s="20"/>
      <c r="AF155"/>
      <c r="AI155" s="35"/>
    </row>
    <row r="156" spans="1:35">
      <c r="K156" s="2"/>
      <c r="L156" s="20"/>
      <c r="M156" s="20"/>
      <c r="N156" s="20"/>
      <c r="O156" s="19"/>
      <c r="AF156"/>
      <c r="AI156" s="35"/>
    </row>
    <row r="157" spans="1:35">
      <c r="K157" s="2"/>
      <c r="L157" s="20"/>
      <c r="M157" s="20"/>
      <c r="N157" s="20"/>
      <c r="O157" s="19"/>
      <c r="Q157" s="20"/>
      <c r="AF157"/>
      <c r="AI157" s="35"/>
    </row>
    <row r="158" spans="1:35">
      <c r="K158" s="2"/>
      <c r="L158" s="20"/>
      <c r="M158" s="20"/>
      <c r="N158" s="20"/>
      <c r="O158" s="19"/>
      <c r="Q158" s="20"/>
      <c r="AF158"/>
      <c r="AI158" s="35"/>
    </row>
    <row r="159" spans="1:35">
      <c r="A159" s="3"/>
      <c r="B159" s="15"/>
      <c r="C159" s="15"/>
      <c r="D159" s="15"/>
      <c r="E159" s="15"/>
      <c r="F159" s="2"/>
      <c r="G159" s="2"/>
      <c r="H159" s="2"/>
      <c r="I159" s="15"/>
      <c r="J159" s="2"/>
      <c r="K159" s="15"/>
      <c r="L159" s="15"/>
      <c r="M159" s="20"/>
      <c r="N159" s="20"/>
      <c r="O159" s="20"/>
      <c r="P159" s="19"/>
    </row>
    <row r="160" spans="1:35" ht="15.75" thickBot="1">
      <c r="A160" s="3"/>
      <c r="B160" s="3"/>
      <c r="C160" s="3"/>
      <c r="D160" s="3"/>
      <c r="E160" s="3"/>
      <c r="F160" s="2"/>
      <c r="G160" s="2"/>
      <c r="H160" s="2" t="str">
        <f>IF(AND(F160&gt;0,G160&gt;0),G160/F160,"")</f>
        <v/>
      </c>
      <c r="I160" s="3"/>
      <c r="J160" s="3"/>
      <c r="K160" s="2"/>
      <c r="L160" s="2"/>
      <c r="M160" s="20"/>
      <c r="N160" s="20"/>
      <c r="O160" s="20"/>
      <c r="P160" s="19"/>
    </row>
    <row r="161" spans="1:18" ht="19.5" thickBot="1">
      <c r="A161" s="215" t="s">
        <v>600</v>
      </c>
      <c r="B161" s="114"/>
      <c r="C161" s="114"/>
      <c r="D161" s="115"/>
      <c r="E161" s="115"/>
      <c r="F161" s="115"/>
      <c r="G161" s="225"/>
      <c r="H161" s="216"/>
      <c r="I161" s="283"/>
      <c r="J161" s="492" t="s">
        <v>353</v>
      </c>
      <c r="K161" s="493"/>
      <c r="L161" s="494"/>
      <c r="M161" s="495"/>
      <c r="N161" s="494"/>
      <c r="O161" s="496"/>
      <c r="P161" s="35"/>
    </row>
    <row r="162" spans="1:18" ht="15.75" thickBot="1">
      <c r="A162" s="3"/>
      <c r="B162" s="3"/>
      <c r="C162" s="3"/>
      <c r="D162" s="3"/>
      <c r="E162" s="3"/>
      <c r="F162" s="3"/>
      <c r="G162" s="3"/>
      <c r="H162" s="3"/>
      <c r="I162" s="3"/>
      <c r="J162" s="3"/>
      <c r="K162" s="3"/>
      <c r="L162" s="3"/>
      <c r="M162"/>
      <c r="N162"/>
      <c r="O162" s="35"/>
      <c r="P162" s="35"/>
    </row>
    <row r="163" spans="1:18" ht="25.5">
      <c r="A163" s="827" t="s">
        <v>378</v>
      </c>
      <c r="B163" s="828"/>
      <c r="C163" s="829"/>
      <c r="D163" s="275" t="s">
        <v>270</v>
      </c>
      <c r="E163" s="346" t="s">
        <v>334</v>
      </c>
      <c r="F163" s="220"/>
      <c r="G163" s="313" t="s">
        <v>55</v>
      </c>
      <c r="H163" s="313" t="s">
        <v>56</v>
      </c>
      <c r="I163" s="313" t="s">
        <v>57</v>
      </c>
      <c r="J163" s="313" t="s">
        <v>58</v>
      </c>
      <c r="K163" s="313" t="s">
        <v>65</v>
      </c>
      <c r="L163" s="313" t="s">
        <v>66</v>
      </c>
      <c r="M163" s="313" t="s">
        <v>67</v>
      </c>
      <c r="N163" s="313" t="s">
        <v>68</v>
      </c>
      <c r="O163" s="313" t="s">
        <v>69</v>
      </c>
      <c r="P163" s="313" t="s">
        <v>70</v>
      </c>
      <c r="Q163" s="313" t="s">
        <v>71</v>
      </c>
      <c r="R163" s="63"/>
    </row>
    <row r="164" spans="1:18" ht="39.75" customHeight="1">
      <c r="A164" s="885" t="s">
        <v>557</v>
      </c>
      <c r="B164" s="886"/>
      <c r="C164" s="887"/>
      <c r="D164" s="826" t="s">
        <v>558</v>
      </c>
      <c r="E164" s="877" t="s">
        <v>559</v>
      </c>
      <c r="F164" s="497" t="s">
        <v>379</v>
      </c>
      <c r="G164" s="500">
        <v>13750</v>
      </c>
      <c r="H164" s="500">
        <v>14375</v>
      </c>
      <c r="I164" s="501">
        <v>15000</v>
      </c>
      <c r="J164" s="498">
        <v>15625</v>
      </c>
      <c r="K164" s="498"/>
      <c r="L164" s="498"/>
      <c r="M164" s="498"/>
      <c r="N164" s="499"/>
      <c r="O164" s="500"/>
      <c r="P164" s="500"/>
      <c r="Q164" s="501"/>
      <c r="R164" s="63"/>
    </row>
    <row r="165" spans="1:18" ht="40.5" customHeight="1">
      <c r="A165" s="888"/>
      <c r="B165" s="889"/>
      <c r="C165" s="890"/>
      <c r="D165" s="826"/>
      <c r="E165" s="877"/>
      <c r="F165" s="497" t="s">
        <v>685</v>
      </c>
      <c r="G165" s="500">
        <v>14682</v>
      </c>
      <c r="H165" s="500">
        <v>15859</v>
      </c>
      <c r="I165" s="501">
        <v>16430</v>
      </c>
      <c r="J165" s="498">
        <v>15828</v>
      </c>
      <c r="K165" s="498"/>
      <c r="L165" s="498"/>
      <c r="M165" s="498"/>
      <c r="N165" s="499"/>
      <c r="O165" s="500"/>
      <c r="P165" s="500"/>
      <c r="Q165" s="501"/>
      <c r="R165" s="63"/>
    </row>
    <row r="166" spans="1:18" ht="42" customHeight="1">
      <c r="A166" s="878" t="s">
        <v>561</v>
      </c>
      <c r="B166" s="879"/>
      <c r="C166" s="880"/>
      <c r="D166" s="832" t="s">
        <v>558</v>
      </c>
      <c r="E166" s="881" t="s">
        <v>559</v>
      </c>
      <c r="F166" s="502" t="s">
        <v>379</v>
      </c>
      <c r="G166" s="506">
        <v>2700</v>
      </c>
      <c r="H166" s="506">
        <v>3100</v>
      </c>
      <c r="I166" s="507">
        <v>3478</v>
      </c>
      <c r="J166" s="504">
        <v>3926</v>
      </c>
      <c r="K166" s="504"/>
      <c r="L166" s="504"/>
      <c r="M166" s="504"/>
      <c r="N166" s="505"/>
      <c r="O166" s="506"/>
      <c r="P166" s="506"/>
      <c r="Q166" s="507"/>
      <c r="R166" s="63"/>
    </row>
    <row r="167" spans="1:18" ht="48" customHeight="1">
      <c r="A167" s="878"/>
      <c r="B167" s="879"/>
      <c r="C167" s="880"/>
      <c r="D167" s="832"/>
      <c r="E167" s="881"/>
      <c r="F167" s="502" t="s">
        <v>686</v>
      </c>
      <c r="G167" s="506">
        <v>2668</v>
      </c>
      <c r="H167" s="506">
        <v>2995</v>
      </c>
      <c r="I167" s="507">
        <v>3237</v>
      </c>
      <c r="J167" s="505">
        <v>3454</v>
      </c>
      <c r="K167" s="505"/>
      <c r="L167" s="505"/>
      <c r="M167" s="505"/>
      <c r="N167" s="505"/>
      <c r="O167" s="506"/>
      <c r="P167" s="506"/>
      <c r="Q167" s="507"/>
      <c r="R167" s="63"/>
    </row>
    <row r="168" spans="1:18" ht="42" customHeight="1">
      <c r="A168" s="888" t="s">
        <v>493</v>
      </c>
      <c r="B168" s="889"/>
      <c r="C168" s="890"/>
      <c r="D168" s="826" t="s">
        <v>558</v>
      </c>
      <c r="E168" s="877" t="s">
        <v>559</v>
      </c>
      <c r="F168" s="497" t="s">
        <v>379</v>
      </c>
      <c r="G168" s="500">
        <v>1410</v>
      </c>
      <c r="H168" s="500">
        <v>1480</v>
      </c>
      <c r="I168" s="501">
        <v>1616</v>
      </c>
      <c r="J168" s="498">
        <v>2032</v>
      </c>
      <c r="K168" s="508"/>
      <c r="L168" s="498"/>
      <c r="M168" s="498"/>
      <c r="N168" s="499"/>
      <c r="O168" s="500"/>
      <c r="P168" s="500"/>
      <c r="Q168" s="501"/>
      <c r="R168" s="63"/>
    </row>
    <row r="169" spans="1:18" ht="38.25" customHeight="1">
      <c r="A169" s="888"/>
      <c r="B169" s="889"/>
      <c r="C169" s="890"/>
      <c r="D169" s="826"/>
      <c r="E169" s="877"/>
      <c r="F169" s="497" t="s">
        <v>562</v>
      </c>
      <c r="G169" s="500">
        <v>2514</v>
      </c>
      <c r="H169" s="500">
        <v>2851</v>
      </c>
      <c r="I169" s="501">
        <v>3117</v>
      </c>
      <c r="J169" s="498">
        <v>3029</v>
      </c>
      <c r="K169" s="508"/>
      <c r="L169" s="498"/>
      <c r="M169" s="498"/>
      <c r="N169" s="499"/>
      <c r="O169" s="500"/>
      <c r="P169" s="500"/>
      <c r="Q169" s="501"/>
      <c r="R169" s="63"/>
    </row>
    <row r="170" spans="1:18" ht="39.75" customHeight="1">
      <c r="A170" s="878" t="s">
        <v>505</v>
      </c>
      <c r="B170" s="879"/>
      <c r="C170" s="880"/>
      <c r="D170" s="832" t="s">
        <v>558</v>
      </c>
      <c r="E170" s="881" t="s">
        <v>559</v>
      </c>
      <c r="F170" s="502" t="s">
        <v>379</v>
      </c>
      <c r="G170" s="511" t="s">
        <v>563</v>
      </c>
      <c r="H170" s="511" t="s">
        <v>564</v>
      </c>
      <c r="I170" s="511" t="s">
        <v>616</v>
      </c>
      <c r="J170" s="511" t="s">
        <v>687</v>
      </c>
      <c r="K170" s="510"/>
      <c r="L170" s="509"/>
      <c r="M170" s="510"/>
      <c r="N170" s="510"/>
      <c r="O170" s="510"/>
      <c r="P170" s="511"/>
      <c r="Q170" s="512"/>
      <c r="R170" s="63"/>
    </row>
    <row r="171" spans="1:18" ht="39.75" customHeight="1">
      <c r="A171" s="878"/>
      <c r="B171" s="879"/>
      <c r="C171" s="880"/>
      <c r="D171" s="832"/>
      <c r="E171" s="881"/>
      <c r="F171" s="502" t="s">
        <v>689</v>
      </c>
      <c r="G171" s="511" t="s">
        <v>565</v>
      </c>
      <c r="H171" s="511" t="s">
        <v>566</v>
      </c>
      <c r="I171" s="511" t="s">
        <v>617</v>
      </c>
      <c r="J171" s="511" t="s">
        <v>688</v>
      </c>
      <c r="K171" s="510"/>
      <c r="L171" s="509"/>
      <c r="M171" s="509"/>
      <c r="N171" s="510"/>
      <c r="O171" s="510"/>
      <c r="P171" s="511"/>
      <c r="Q171" s="512"/>
      <c r="R171" s="63"/>
    </row>
    <row r="172" spans="1:18" ht="39.75" customHeight="1">
      <c r="A172" s="882" t="s">
        <v>511</v>
      </c>
      <c r="B172" s="883"/>
      <c r="C172" s="884"/>
      <c r="D172" s="826" t="s">
        <v>558</v>
      </c>
      <c r="E172" s="877" t="s">
        <v>559</v>
      </c>
      <c r="F172" s="497" t="s">
        <v>379</v>
      </c>
      <c r="G172" s="515" t="s">
        <v>567</v>
      </c>
      <c r="H172" s="515" t="s">
        <v>568</v>
      </c>
      <c r="I172" s="515" t="s">
        <v>568</v>
      </c>
      <c r="J172" s="515" t="s">
        <v>690</v>
      </c>
      <c r="K172" s="513"/>
      <c r="L172" s="513"/>
      <c r="M172" s="513"/>
      <c r="N172" s="514"/>
      <c r="O172" s="515"/>
      <c r="P172" s="515"/>
      <c r="Q172" s="516"/>
      <c r="R172" s="63"/>
    </row>
    <row r="173" spans="1:18" ht="35.25" customHeight="1">
      <c r="A173" s="882"/>
      <c r="B173" s="883"/>
      <c r="C173" s="884"/>
      <c r="D173" s="826"/>
      <c r="E173" s="877"/>
      <c r="F173" s="497" t="s">
        <v>692</v>
      </c>
      <c r="G173" s="515" t="s">
        <v>569</v>
      </c>
      <c r="H173" s="515" t="s">
        <v>570</v>
      </c>
      <c r="I173" s="515" t="s">
        <v>618</v>
      </c>
      <c r="J173" s="515" t="s">
        <v>691</v>
      </c>
      <c r="K173" s="513"/>
      <c r="L173" s="513"/>
      <c r="M173" s="513"/>
      <c r="N173" s="514"/>
      <c r="O173" s="515"/>
      <c r="P173" s="515"/>
      <c r="Q173" s="516"/>
      <c r="R173" s="63"/>
    </row>
    <row r="174" spans="1:18" ht="39" customHeight="1">
      <c r="A174" s="878" t="s">
        <v>515</v>
      </c>
      <c r="B174" s="879"/>
      <c r="C174" s="880"/>
      <c r="D174" s="832" t="s">
        <v>558</v>
      </c>
      <c r="E174" s="881" t="s">
        <v>559</v>
      </c>
      <c r="F174" s="502" t="s">
        <v>379</v>
      </c>
      <c r="G174" s="511" t="s">
        <v>571</v>
      </c>
      <c r="H174" s="511" t="s">
        <v>572</v>
      </c>
      <c r="I174" s="511" t="s">
        <v>619</v>
      </c>
      <c r="J174" s="511" t="s">
        <v>693</v>
      </c>
      <c r="K174" s="509"/>
      <c r="L174" s="509"/>
      <c r="M174" s="509"/>
      <c r="N174" s="509"/>
      <c r="O174" s="511"/>
      <c r="P174" s="511"/>
      <c r="Q174" s="517"/>
      <c r="R174" s="63"/>
    </row>
    <row r="175" spans="1:18" ht="43.5" customHeight="1">
      <c r="A175" s="878"/>
      <c r="B175" s="879"/>
      <c r="C175" s="880"/>
      <c r="D175" s="832"/>
      <c r="E175" s="881"/>
      <c r="F175" s="502" t="s">
        <v>695</v>
      </c>
      <c r="G175" s="511" t="s">
        <v>573</v>
      </c>
      <c r="H175" s="511" t="s">
        <v>574</v>
      </c>
      <c r="I175" s="511" t="s">
        <v>620</v>
      </c>
      <c r="J175" s="511" t="s">
        <v>694</v>
      </c>
      <c r="K175" s="503"/>
      <c r="L175" s="503"/>
      <c r="M175" s="503"/>
      <c r="N175" s="509"/>
      <c r="O175" s="511"/>
      <c r="P175" s="511"/>
      <c r="Q175" s="517"/>
      <c r="R175" s="63"/>
    </row>
    <row r="176" spans="1:18" ht="40.5" customHeight="1">
      <c r="A176" s="882" t="s">
        <v>522</v>
      </c>
      <c r="B176" s="883"/>
      <c r="C176" s="884"/>
      <c r="D176" s="826" t="s">
        <v>575</v>
      </c>
      <c r="E176" s="877" t="s">
        <v>559</v>
      </c>
      <c r="F176" s="497" t="s">
        <v>379</v>
      </c>
      <c r="G176" s="515" t="s">
        <v>576</v>
      </c>
      <c r="H176" s="515" t="s">
        <v>577</v>
      </c>
      <c r="I176" s="515" t="s">
        <v>621</v>
      </c>
      <c r="J176" s="515" t="s">
        <v>696</v>
      </c>
      <c r="K176" s="513"/>
      <c r="L176" s="513"/>
      <c r="M176" s="513"/>
      <c r="N176" s="514"/>
      <c r="O176" s="515"/>
      <c r="P176" s="515"/>
      <c r="Q176" s="516"/>
      <c r="R176" s="63"/>
    </row>
    <row r="177" spans="1:34" ht="36.75" customHeight="1">
      <c r="A177" s="882"/>
      <c r="B177" s="883"/>
      <c r="C177" s="884"/>
      <c r="D177" s="826"/>
      <c r="E177" s="877"/>
      <c r="F177" s="497" t="s">
        <v>562</v>
      </c>
      <c r="G177" s="515" t="s">
        <v>578</v>
      </c>
      <c r="H177" s="515" t="s">
        <v>579</v>
      </c>
      <c r="I177" s="515" t="s">
        <v>622</v>
      </c>
      <c r="J177" s="515" t="s">
        <v>697</v>
      </c>
      <c r="K177" s="513"/>
      <c r="L177" s="513"/>
      <c r="M177" s="513"/>
      <c r="N177" s="514"/>
      <c r="O177" s="515"/>
      <c r="P177" s="515"/>
      <c r="Q177" s="513"/>
      <c r="R177" s="63"/>
    </row>
    <row r="178" spans="1:34" ht="36" customHeight="1">
      <c r="A178" s="878" t="s">
        <v>508</v>
      </c>
      <c r="B178" s="879"/>
      <c r="C178" s="880"/>
      <c r="D178" s="832" t="s">
        <v>575</v>
      </c>
      <c r="E178" s="881" t="s">
        <v>559</v>
      </c>
      <c r="F178" s="502" t="s">
        <v>379</v>
      </c>
      <c r="G178" s="511" t="s">
        <v>580</v>
      </c>
      <c r="H178" s="511" t="s">
        <v>581</v>
      </c>
      <c r="I178" s="511" t="s">
        <v>581</v>
      </c>
      <c r="J178" s="511" t="s">
        <v>698</v>
      </c>
      <c r="K178" s="503"/>
      <c r="L178" s="509"/>
      <c r="M178" s="503"/>
      <c r="N178" s="509"/>
      <c r="O178" s="511"/>
      <c r="P178" s="511"/>
      <c r="Q178" s="503"/>
      <c r="R178" s="63"/>
    </row>
    <row r="179" spans="1:34" ht="35.25" customHeight="1">
      <c r="A179" s="878"/>
      <c r="B179" s="879"/>
      <c r="C179" s="880"/>
      <c r="D179" s="832"/>
      <c r="E179" s="881"/>
      <c r="F179" s="502" t="s">
        <v>692</v>
      </c>
      <c r="G179" s="511" t="s">
        <v>582</v>
      </c>
      <c r="H179" s="511" t="s">
        <v>583</v>
      </c>
      <c r="I179" s="511" t="s">
        <v>623</v>
      </c>
      <c r="J179" s="511" t="s">
        <v>699</v>
      </c>
      <c r="K179" s="509"/>
      <c r="L179" s="509"/>
      <c r="M179" s="509"/>
      <c r="N179" s="509"/>
      <c r="O179" s="511"/>
      <c r="P179" s="511"/>
      <c r="Q179" s="509"/>
      <c r="R179" s="63"/>
    </row>
    <row r="180" spans="1:34" ht="36.75" customHeight="1">
      <c r="A180" s="882" t="s">
        <v>519</v>
      </c>
      <c r="B180" s="883"/>
      <c r="C180" s="884"/>
      <c r="D180" s="826" t="s">
        <v>575</v>
      </c>
      <c r="E180" s="891" t="s">
        <v>559</v>
      </c>
      <c r="F180" s="497" t="s">
        <v>379</v>
      </c>
      <c r="G180" s="515" t="s">
        <v>584</v>
      </c>
      <c r="H180" s="515" t="s">
        <v>585</v>
      </c>
      <c r="I180" s="515" t="s">
        <v>585</v>
      </c>
      <c r="J180" s="515" t="s">
        <v>700</v>
      </c>
      <c r="K180" s="513"/>
      <c r="L180" s="513"/>
      <c r="M180" s="513"/>
      <c r="N180" s="514"/>
      <c r="O180" s="515"/>
      <c r="P180" s="515"/>
      <c r="Q180" s="513"/>
      <c r="R180" s="63"/>
    </row>
    <row r="181" spans="1:34" ht="38.25" customHeight="1">
      <c r="A181" s="882"/>
      <c r="B181" s="883"/>
      <c r="C181" s="884"/>
      <c r="D181" s="826"/>
      <c r="E181" s="891"/>
      <c r="F181" s="497" t="s">
        <v>702</v>
      </c>
      <c r="G181" s="515" t="s">
        <v>586</v>
      </c>
      <c r="H181" s="515" t="s">
        <v>587</v>
      </c>
      <c r="I181" s="515" t="s">
        <v>624</v>
      </c>
      <c r="J181" s="515" t="s">
        <v>701</v>
      </c>
      <c r="K181" s="513"/>
      <c r="L181" s="513"/>
      <c r="M181" s="513"/>
      <c r="N181" s="514"/>
      <c r="O181" s="515"/>
      <c r="P181" s="515"/>
      <c r="Q181" s="513"/>
      <c r="R181" s="63"/>
    </row>
    <row r="182" spans="1:34" ht="42.75" customHeight="1">
      <c r="A182" s="878" t="s">
        <v>525</v>
      </c>
      <c r="B182" s="879"/>
      <c r="C182" s="880"/>
      <c r="D182" s="832" t="s">
        <v>575</v>
      </c>
      <c r="E182" s="881" t="s">
        <v>559</v>
      </c>
      <c r="F182" s="502" t="s">
        <v>379</v>
      </c>
      <c r="G182" s="511" t="s">
        <v>588</v>
      </c>
      <c r="H182" s="511" t="s">
        <v>589</v>
      </c>
      <c r="I182" s="511" t="s">
        <v>589</v>
      </c>
      <c r="J182" s="511" t="s">
        <v>703</v>
      </c>
      <c r="K182" s="509"/>
      <c r="L182" s="509"/>
      <c r="M182" s="509"/>
      <c r="N182" s="509"/>
      <c r="O182" s="511"/>
      <c r="P182" s="511"/>
      <c r="Q182" s="509"/>
      <c r="R182" s="63"/>
    </row>
    <row r="183" spans="1:34" ht="39.75" customHeight="1">
      <c r="A183" s="878"/>
      <c r="B183" s="879"/>
      <c r="C183" s="880"/>
      <c r="D183" s="832"/>
      <c r="E183" s="881"/>
      <c r="F183" s="502" t="s">
        <v>705</v>
      </c>
      <c r="G183" s="511" t="s">
        <v>591</v>
      </c>
      <c r="H183" s="511" t="s">
        <v>592</v>
      </c>
      <c r="I183" s="511" t="s">
        <v>625</v>
      </c>
      <c r="J183" s="511" t="s">
        <v>704</v>
      </c>
      <c r="K183" s="509"/>
      <c r="L183" s="509"/>
      <c r="M183" s="509"/>
      <c r="N183" s="509"/>
      <c r="O183" s="511"/>
      <c r="P183" s="511"/>
      <c r="Q183" s="509"/>
      <c r="R183" s="63"/>
    </row>
    <row r="184" spans="1:34" ht="18.75" customHeight="1">
      <c r="A184" s="882" t="s">
        <v>593</v>
      </c>
      <c r="B184" s="883"/>
      <c r="C184" s="884"/>
      <c r="D184" s="826" t="s">
        <v>558</v>
      </c>
      <c r="E184" s="891" t="s">
        <v>594</v>
      </c>
      <c r="F184" s="497" t="s">
        <v>379</v>
      </c>
      <c r="G184" s="518">
        <v>0.93</v>
      </c>
      <c r="H184" s="518">
        <v>0.93</v>
      </c>
      <c r="I184" s="518">
        <v>0.93</v>
      </c>
      <c r="J184" s="518">
        <v>0.93</v>
      </c>
      <c r="K184" s="513"/>
      <c r="L184" s="513"/>
      <c r="M184" s="513"/>
      <c r="N184" s="514"/>
      <c r="O184" s="518"/>
      <c r="P184" s="518"/>
      <c r="Q184" s="513"/>
      <c r="R184" s="63"/>
    </row>
    <row r="185" spans="1:34" ht="21" customHeight="1">
      <c r="A185" s="882"/>
      <c r="B185" s="883"/>
      <c r="C185" s="884"/>
      <c r="D185" s="826"/>
      <c r="E185" s="891"/>
      <c r="F185" s="497" t="s">
        <v>658</v>
      </c>
      <c r="G185" s="514" t="s">
        <v>595</v>
      </c>
      <c r="H185" s="518">
        <v>0.98</v>
      </c>
      <c r="I185" s="518">
        <v>0.96</v>
      </c>
      <c r="J185" s="518">
        <v>0.97</v>
      </c>
      <c r="K185" s="513"/>
      <c r="L185" s="513"/>
      <c r="M185" s="513"/>
      <c r="N185" s="514"/>
      <c r="O185" s="518"/>
      <c r="P185" s="514"/>
      <c r="Q185" s="513"/>
      <c r="R185" s="63"/>
    </row>
    <row r="186" spans="1:34" ht="19.5" customHeight="1">
      <c r="A186" s="878" t="s">
        <v>532</v>
      </c>
      <c r="B186" s="879"/>
      <c r="C186" s="880"/>
      <c r="D186" s="832" t="s">
        <v>575</v>
      </c>
      <c r="E186" s="881" t="s">
        <v>559</v>
      </c>
      <c r="F186" s="502" t="s">
        <v>379</v>
      </c>
      <c r="G186" s="510">
        <v>0.85</v>
      </c>
      <c r="H186" s="510">
        <v>0.88</v>
      </c>
      <c r="I186" s="510">
        <v>0.9</v>
      </c>
      <c r="J186" s="510">
        <v>0.9</v>
      </c>
      <c r="K186" s="509"/>
      <c r="L186" s="509"/>
      <c r="M186" s="509"/>
      <c r="N186" s="509"/>
      <c r="O186" s="510"/>
      <c r="P186" s="510"/>
      <c r="Q186" s="509"/>
      <c r="R186" s="63"/>
    </row>
    <row r="187" spans="1:34" ht="21" customHeight="1">
      <c r="A187" s="878"/>
      <c r="B187" s="879"/>
      <c r="C187" s="880"/>
      <c r="D187" s="832"/>
      <c r="E187" s="881"/>
      <c r="F187" s="502" t="s">
        <v>590</v>
      </c>
      <c r="G187" s="509" t="s">
        <v>596</v>
      </c>
      <c r="H187" s="510">
        <v>0.95</v>
      </c>
      <c r="I187" s="510">
        <v>0.94</v>
      </c>
      <c r="J187" s="510">
        <v>0.93</v>
      </c>
      <c r="K187" s="509"/>
      <c r="L187" s="509"/>
      <c r="M187" s="509"/>
      <c r="N187" s="509"/>
      <c r="O187" s="509"/>
      <c r="P187" s="509"/>
      <c r="Q187" s="509"/>
      <c r="R187" s="63"/>
    </row>
    <row r="188" spans="1:34" s="19" customFormat="1" ht="21" customHeight="1">
      <c r="A188" s="882" t="s">
        <v>536</v>
      </c>
      <c r="B188" s="883"/>
      <c r="C188" s="884"/>
      <c r="D188" s="826" t="s">
        <v>558</v>
      </c>
      <c r="E188" s="881" t="s">
        <v>559</v>
      </c>
      <c r="F188" s="497" t="s">
        <v>379</v>
      </c>
      <c r="G188" s="518">
        <v>0.75</v>
      </c>
      <c r="H188" s="518">
        <v>0.8</v>
      </c>
      <c r="I188" s="518">
        <v>0.9</v>
      </c>
      <c r="J188" s="518">
        <v>0.9</v>
      </c>
      <c r="K188" s="513"/>
      <c r="L188" s="513"/>
      <c r="M188" s="514"/>
      <c r="N188" s="518"/>
      <c r="O188" s="518"/>
      <c r="P188" s="518"/>
      <c r="Q188" s="513"/>
      <c r="AF188" s="20"/>
      <c r="AG188" s="20"/>
      <c r="AH188" s="20"/>
    </row>
    <row r="189" spans="1:34" ht="20.25" customHeight="1">
      <c r="A189" s="882"/>
      <c r="B189" s="883"/>
      <c r="C189" s="884"/>
      <c r="D189" s="826"/>
      <c r="E189" s="881"/>
      <c r="F189" s="497" t="s">
        <v>706</v>
      </c>
      <c r="G189" s="518" t="s">
        <v>597</v>
      </c>
      <c r="H189" s="518">
        <v>0.69</v>
      </c>
      <c r="I189" s="518">
        <v>0.83</v>
      </c>
      <c r="J189" s="518">
        <v>0.86</v>
      </c>
      <c r="K189" s="513"/>
      <c r="L189" s="513"/>
      <c r="M189" s="514"/>
      <c r="N189" s="518"/>
      <c r="O189" s="518"/>
      <c r="P189" s="518"/>
      <c r="Q189" s="513"/>
    </row>
    <row r="190" spans="1:34">
      <c r="A190" s="3"/>
      <c r="B190" s="3"/>
      <c r="C190" s="3"/>
      <c r="D190" s="3"/>
      <c r="E190" s="3"/>
      <c r="F190" s="2"/>
      <c r="G190" s="3"/>
      <c r="H190" s="3"/>
      <c r="I190" s="3"/>
      <c r="J190" s="3"/>
      <c r="K190" s="3"/>
      <c r="L190" s="3"/>
      <c r="M190" s="3"/>
      <c r="N190"/>
      <c r="P190" s="35"/>
      <c r="Q190" s="35"/>
    </row>
    <row r="191" spans="1:34" ht="16.5" thickBot="1">
      <c r="A191" s="276"/>
      <c r="B191" s="3"/>
      <c r="C191" s="3"/>
      <c r="D191" s="3"/>
      <c r="E191" s="3"/>
      <c r="F191" s="2"/>
      <c r="G191" s="3"/>
      <c r="H191" s="3"/>
      <c r="I191" s="3"/>
      <c r="J191" s="3"/>
      <c r="K191" s="3"/>
      <c r="L191" s="3"/>
      <c r="M191" s="3"/>
      <c r="N191"/>
      <c r="P191" s="35"/>
      <c r="Q191" s="35"/>
    </row>
    <row r="192" spans="1:34" ht="25.5">
      <c r="A192" s="3" t="s">
        <v>380</v>
      </c>
      <c r="B192" s="3"/>
      <c r="C192" s="3"/>
      <c r="D192" s="275" t="s">
        <v>270</v>
      </c>
      <c r="E192" s="346" t="s">
        <v>334</v>
      </c>
      <c r="F192" s="220"/>
      <c r="G192" s="313" t="s">
        <v>55</v>
      </c>
      <c r="H192" s="313" t="s">
        <v>56</v>
      </c>
      <c r="I192" s="313" t="s">
        <v>57</v>
      </c>
      <c r="J192" s="313" t="s">
        <v>58</v>
      </c>
      <c r="K192" s="313" t="s">
        <v>65</v>
      </c>
      <c r="L192" s="313" t="s">
        <v>66</v>
      </c>
      <c r="M192" s="313" t="s">
        <v>67</v>
      </c>
      <c r="N192" s="313" t="s">
        <v>68</v>
      </c>
      <c r="O192" s="313" t="s">
        <v>69</v>
      </c>
      <c r="P192" s="313" t="s">
        <v>70</v>
      </c>
      <c r="Q192" s="313" t="s">
        <v>71</v>
      </c>
      <c r="R192" s="35"/>
      <c r="S192" s="35"/>
    </row>
    <row r="193" spans="1:35">
      <c r="A193" s="904" t="str">
        <f>IF(ISBLANK(A164),"",(A164))</f>
        <v>Процент ЛУИН, охваченных программами по  профилактике ВИЧ</v>
      </c>
      <c r="B193" s="905"/>
      <c r="C193" s="906"/>
      <c r="D193" s="910" t="str">
        <f>IF(ISBLANK(D164),"",(D164))</f>
        <v>Топ 10</v>
      </c>
      <c r="E193" s="894" t="str">
        <f>IF(ISBLANK(E164),"",(E164))</f>
        <v>с текущим грантом</v>
      </c>
      <c r="F193" s="497" t="s">
        <v>379</v>
      </c>
      <c r="G193" s="519">
        <f>G164</f>
        <v>13750</v>
      </c>
      <c r="H193" s="519">
        <v>14375</v>
      </c>
      <c r="I193" s="519">
        <f t="shared" ref="I193:I198" si="11">I164</f>
        <v>15000</v>
      </c>
      <c r="J193" s="519">
        <f t="shared" ref="J193:N195" si="12">J164</f>
        <v>15625</v>
      </c>
      <c r="K193" s="519">
        <f t="shared" si="12"/>
        <v>0</v>
      </c>
      <c r="L193" s="519">
        <f t="shared" si="12"/>
        <v>0</v>
      </c>
      <c r="M193" s="519">
        <f t="shared" si="12"/>
        <v>0</v>
      </c>
      <c r="N193" s="520">
        <f t="shared" si="12"/>
        <v>0</v>
      </c>
      <c r="O193" s="520">
        <f t="shared" ref="O193:Q193" si="13">O164</f>
        <v>0</v>
      </c>
      <c r="P193" s="520">
        <f t="shared" si="13"/>
        <v>0</v>
      </c>
      <c r="Q193" s="520">
        <f t="shared" si="13"/>
        <v>0</v>
      </c>
      <c r="R193" s="35"/>
      <c r="S193" s="35"/>
    </row>
    <row r="194" spans="1:35" ht="15.75" thickBot="1">
      <c r="A194" s="907"/>
      <c r="B194" s="908"/>
      <c r="C194" s="909"/>
      <c r="D194" s="910"/>
      <c r="E194" s="894"/>
      <c r="F194" s="497" t="s">
        <v>560</v>
      </c>
      <c r="G194" s="519">
        <f t="shared" ref="G194:G198" si="14">G165</f>
        <v>14682</v>
      </c>
      <c r="H194" s="519">
        <v>15859</v>
      </c>
      <c r="I194" s="519">
        <f t="shared" si="11"/>
        <v>16430</v>
      </c>
      <c r="J194" s="519">
        <f t="shared" si="12"/>
        <v>15828</v>
      </c>
      <c r="K194" s="519">
        <f t="shared" si="12"/>
        <v>0</v>
      </c>
      <c r="L194" s="519">
        <f t="shared" si="12"/>
        <v>0</v>
      </c>
      <c r="M194" s="519">
        <f t="shared" si="12"/>
        <v>0</v>
      </c>
      <c r="N194" s="520">
        <f t="shared" si="12"/>
        <v>0</v>
      </c>
      <c r="O194" s="520">
        <f t="shared" ref="O194:Q194" si="15">O165</f>
        <v>0</v>
      </c>
      <c r="P194" s="520">
        <f t="shared" si="15"/>
        <v>0</v>
      </c>
      <c r="Q194" s="520">
        <f t="shared" si="15"/>
        <v>0</v>
      </c>
      <c r="R194" s="35"/>
      <c r="S194" s="35"/>
    </row>
    <row r="195" spans="1:35">
      <c r="A195" s="895" t="str">
        <f>IF(ISBLANK(A166),"",(A166))</f>
        <v xml:space="preserve">Процент взрослых и детей с известным ВИЧ статусом, получающих антиретровирусную терапию на данный момент </v>
      </c>
      <c r="B195" s="896"/>
      <c r="C195" s="897"/>
      <c r="D195" s="911" t="str">
        <f>IF(ISBLANK(D166),"",(D166))</f>
        <v>Топ 10</v>
      </c>
      <c r="E195" s="912" t="str">
        <f>IF(ISBLANK(E166),"",(E166))</f>
        <v>с текущим грантом</v>
      </c>
      <c r="F195" s="502" t="s">
        <v>379</v>
      </c>
      <c r="G195" s="521">
        <f t="shared" si="14"/>
        <v>2700</v>
      </c>
      <c r="H195" s="521">
        <v>3100</v>
      </c>
      <c r="I195" s="521">
        <f t="shared" si="11"/>
        <v>3478</v>
      </c>
      <c r="J195" s="521">
        <f t="shared" si="12"/>
        <v>3926</v>
      </c>
      <c r="K195" s="521">
        <f t="shared" si="12"/>
        <v>0</v>
      </c>
      <c r="L195" s="521">
        <f t="shared" si="12"/>
        <v>0</v>
      </c>
      <c r="M195" s="521">
        <f t="shared" si="12"/>
        <v>0</v>
      </c>
      <c r="N195" s="522">
        <f t="shared" si="12"/>
        <v>0</v>
      </c>
      <c r="O195" s="522">
        <f t="shared" ref="O195:Q195" si="16">O166</f>
        <v>0</v>
      </c>
      <c r="P195" s="522">
        <f t="shared" si="16"/>
        <v>0</v>
      </c>
      <c r="Q195" s="522">
        <f t="shared" si="16"/>
        <v>0</v>
      </c>
      <c r="R195" s="35"/>
      <c r="S195" s="35"/>
    </row>
    <row r="196" spans="1:35" ht="15.75" thickBot="1">
      <c r="A196" s="898"/>
      <c r="B196" s="899"/>
      <c r="C196" s="900"/>
      <c r="D196" s="911"/>
      <c r="E196" s="912"/>
      <c r="F196" s="502" t="s">
        <v>656</v>
      </c>
      <c r="G196" s="521">
        <f t="shared" si="14"/>
        <v>2668</v>
      </c>
      <c r="H196" s="521">
        <v>2995</v>
      </c>
      <c r="I196" s="521">
        <f t="shared" si="11"/>
        <v>3237</v>
      </c>
      <c r="J196" s="521">
        <f t="shared" ref="J196:N198" si="17">J167</f>
        <v>3454</v>
      </c>
      <c r="K196" s="521">
        <f t="shared" si="17"/>
        <v>0</v>
      </c>
      <c r="L196" s="521">
        <f t="shared" si="17"/>
        <v>0</v>
      </c>
      <c r="M196" s="521">
        <f t="shared" si="17"/>
        <v>0</v>
      </c>
      <c r="N196" s="522">
        <f t="shared" si="17"/>
        <v>0</v>
      </c>
      <c r="O196" s="522">
        <f t="shared" ref="O196:Q196" si="18">O167</f>
        <v>0</v>
      </c>
      <c r="P196" s="522">
        <f t="shared" si="18"/>
        <v>0</v>
      </c>
      <c r="Q196" s="522">
        <f t="shared" si="18"/>
        <v>0</v>
      </c>
      <c r="R196" s="35"/>
      <c r="S196" s="35"/>
    </row>
    <row r="197" spans="1:35">
      <c r="A197" s="904" t="str">
        <f>IF(ISBLANK(A168),"",(A168))</f>
        <v xml:space="preserve">Количество ЛЖВ, находящихся на попечении общинных организаций и участвующих в программах поддержки </v>
      </c>
      <c r="B197" s="905"/>
      <c r="C197" s="906"/>
      <c r="D197" s="910" t="str">
        <f>IF(ISBLANK(D168),"",(D168))</f>
        <v>Топ 10</v>
      </c>
      <c r="E197" s="894" t="str">
        <f>IF(ISBLANK(E168),"",(E168))</f>
        <v>с текущим грантом</v>
      </c>
      <c r="F197" s="523" t="s">
        <v>379</v>
      </c>
      <c r="G197" s="519">
        <f t="shared" si="14"/>
        <v>1410</v>
      </c>
      <c r="H197" s="519">
        <v>1480</v>
      </c>
      <c r="I197" s="519">
        <f t="shared" si="11"/>
        <v>1616</v>
      </c>
      <c r="J197" s="519">
        <f t="shared" si="17"/>
        <v>2032</v>
      </c>
      <c r="K197" s="519">
        <f t="shared" si="17"/>
        <v>0</v>
      </c>
      <c r="L197" s="519">
        <f t="shared" si="17"/>
        <v>0</v>
      </c>
      <c r="M197" s="519">
        <f t="shared" si="17"/>
        <v>0</v>
      </c>
      <c r="N197" s="520">
        <f t="shared" si="17"/>
        <v>0</v>
      </c>
      <c r="O197" s="520">
        <f t="shared" ref="O197:Q197" si="19">O168</f>
        <v>0</v>
      </c>
      <c r="P197" s="520">
        <f t="shared" si="19"/>
        <v>0</v>
      </c>
      <c r="Q197" s="520">
        <f t="shared" si="19"/>
        <v>0</v>
      </c>
      <c r="R197" s="35"/>
      <c r="S197" s="35"/>
    </row>
    <row r="198" spans="1:35" ht="15.75" thickBot="1">
      <c r="A198" s="907"/>
      <c r="B198" s="908"/>
      <c r="C198" s="909"/>
      <c r="D198" s="913"/>
      <c r="E198" s="914"/>
      <c r="F198" s="497" t="s">
        <v>562</v>
      </c>
      <c r="G198" s="519">
        <f t="shared" si="14"/>
        <v>2514</v>
      </c>
      <c r="H198" s="519">
        <v>2851</v>
      </c>
      <c r="I198" s="519">
        <f t="shared" si="11"/>
        <v>3117</v>
      </c>
      <c r="J198" s="519">
        <f t="shared" si="17"/>
        <v>3029</v>
      </c>
      <c r="K198" s="519">
        <f t="shared" si="17"/>
        <v>0</v>
      </c>
      <c r="L198" s="519">
        <f t="shared" si="17"/>
        <v>0</v>
      </c>
      <c r="M198" s="519">
        <f t="shared" si="17"/>
        <v>0</v>
      </c>
      <c r="N198" s="520">
        <f t="shared" si="17"/>
        <v>0</v>
      </c>
      <c r="O198" s="520">
        <f t="shared" ref="O198:Q198" si="20">O169</f>
        <v>0</v>
      </c>
      <c r="P198" s="520">
        <f t="shared" si="20"/>
        <v>0</v>
      </c>
      <c r="Q198" s="520">
        <f t="shared" si="20"/>
        <v>0</v>
      </c>
      <c r="R198" s="35"/>
      <c r="S198" s="35"/>
    </row>
    <row r="199" spans="1:35">
      <c r="A199" s="3"/>
      <c r="B199" s="3"/>
      <c r="C199" s="3"/>
      <c r="D199" s="3"/>
      <c r="E199" s="3"/>
      <c r="F199" s="3"/>
      <c r="I199" s="3"/>
      <c r="J199" s="3"/>
      <c r="K199" s="3"/>
      <c r="M199"/>
      <c r="O199" s="35"/>
      <c r="P199" s="35"/>
      <c r="Q199" s="35"/>
    </row>
    <row r="200" spans="1:35" s="19" customFormat="1" ht="15" customHeight="1">
      <c r="A200" s="882" t="s">
        <v>598</v>
      </c>
      <c r="B200" s="883"/>
      <c r="C200" s="884"/>
      <c r="D200" s="826" t="s">
        <v>558</v>
      </c>
      <c r="E200" s="892" t="s">
        <v>559</v>
      </c>
      <c r="F200" s="497" t="s">
        <v>379</v>
      </c>
      <c r="G200" s="513">
        <v>350</v>
      </c>
      <c r="H200" s="513">
        <v>350</v>
      </c>
      <c r="I200" s="513">
        <v>350</v>
      </c>
      <c r="J200" s="513">
        <v>350</v>
      </c>
      <c r="K200" s="513"/>
      <c r="L200" s="513"/>
      <c r="M200" s="514"/>
      <c r="N200" s="518"/>
      <c r="O200" s="518"/>
      <c r="P200" s="518"/>
      <c r="Q200" s="518"/>
      <c r="AF200" s="20"/>
      <c r="AG200" s="20"/>
      <c r="AH200" s="20"/>
    </row>
    <row r="201" spans="1:35">
      <c r="A201" s="882"/>
      <c r="B201" s="883"/>
      <c r="C201" s="884"/>
      <c r="D201" s="826"/>
      <c r="E201" s="893"/>
      <c r="F201" s="497" t="s">
        <v>562</v>
      </c>
      <c r="G201" s="513">
        <v>437</v>
      </c>
      <c r="H201" s="513">
        <v>509</v>
      </c>
      <c r="I201" s="513">
        <v>510</v>
      </c>
      <c r="J201" s="513">
        <v>497</v>
      </c>
      <c r="K201" s="513"/>
      <c r="L201" s="513"/>
      <c r="M201" s="514"/>
      <c r="N201" s="518"/>
      <c r="O201" s="518"/>
      <c r="P201" s="518"/>
      <c r="Q201" s="518"/>
    </row>
    <row r="202" spans="1:35" ht="14.25" customHeight="1">
      <c r="A202" s="878" t="s">
        <v>550</v>
      </c>
      <c r="B202" s="879"/>
      <c r="C202" s="880"/>
      <c r="D202" s="832" t="s">
        <v>575</v>
      </c>
      <c r="E202" s="881" t="s">
        <v>559</v>
      </c>
      <c r="F202" s="502" t="s">
        <v>379</v>
      </c>
      <c r="G202" s="509">
        <v>20</v>
      </c>
      <c r="H202" s="509">
        <v>22</v>
      </c>
      <c r="I202" s="509">
        <v>24</v>
      </c>
      <c r="J202" s="509">
        <v>24</v>
      </c>
      <c r="K202" s="509"/>
      <c r="L202" s="509"/>
      <c r="M202" s="509"/>
      <c r="N202" s="509"/>
      <c r="O202" s="509"/>
      <c r="P202" s="509"/>
      <c r="Q202" s="509"/>
      <c r="R202" s="63"/>
    </row>
    <row r="203" spans="1:35">
      <c r="A203" s="878"/>
      <c r="B203" s="879"/>
      <c r="C203" s="880"/>
      <c r="D203" s="832"/>
      <c r="E203" s="881"/>
      <c r="F203" s="502" t="s">
        <v>659</v>
      </c>
      <c r="G203" s="509">
        <v>28</v>
      </c>
      <c r="H203" s="509">
        <v>26</v>
      </c>
      <c r="I203" s="509">
        <v>24</v>
      </c>
      <c r="J203" s="509">
        <v>22</v>
      </c>
      <c r="K203" s="509"/>
      <c r="L203" s="509"/>
      <c r="M203" s="509"/>
      <c r="N203" s="509"/>
      <c r="O203" s="509"/>
      <c r="P203" s="509"/>
      <c r="Q203" s="509"/>
      <c r="R203" s="63"/>
    </row>
    <row r="204" spans="1:35" s="19" customFormat="1" ht="15" customHeight="1">
      <c r="A204" s="882" t="s">
        <v>668</v>
      </c>
      <c r="B204" s="883"/>
      <c r="C204" s="884"/>
      <c r="D204" s="826" t="s">
        <v>558</v>
      </c>
      <c r="E204" s="892" t="s">
        <v>559</v>
      </c>
      <c r="F204" s="497"/>
      <c r="G204" s="513"/>
      <c r="H204" s="513"/>
      <c r="I204" s="513"/>
      <c r="J204" s="513"/>
      <c r="K204" s="513"/>
      <c r="L204" s="513"/>
      <c r="M204" s="514"/>
      <c r="N204" s="518"/>
      <c r="O204" s="518"/>
      <c r="P204" s="518"/>
      <c r="Q204" s="518"/>
      <c r="AF204" s="20"/>
      <c r="AG204" s="20"/>
      <c r="AH204" s="20"/>
    </row>
    <row r="205" spans="1:35" ht="45" customHeight="1">
      <c r="A205" s="882"/>
      <c r="B205" s="883"/>
      <c r="C205" s="884"/>
      <c r="D205" s="826"/>
      <c r="E205" s="893"/>
      <c r="F205" s="497"/>
      <c r="G205" s="515" t="s">
        <v>669</v>
      </c>
      <c r="H205" s="515"/>
      <c r="I205" s="513"/>
      <c r="J205" s="515" t="s">
        <v>711</v>
      </c>
      <c r="K205" s="513"/>
      <c r="L205" s="513"/>
      <c r="M205" s="514"/>
      <c r="N205" s="518"/>
      <c r="O205" s="518"/>
      <c r="P205" s="518"/>
      <c r="Q205" s="518"/>
    </row>
    <row r="206" spans="1:35" ht="36" customHeight="1">
      <c r="A206" s="878" t="s">
        <v>671</v>
      </c>
      <c r="B206" s="879"/>
      <c r="C206" s="880"/>
      <c r="D206" s="832" t="s">
        <v>558</v>
      </c>
      <c r="E206" s="881" t="s">
        <v>559</v>
      </c>
      <c r="F206" s="502" t="s">
        <v>379</v>
      </c>
      <c r="G206" s="511">
        <v>110</v>
      </c>
      <c r="H206" s="511"/>
      <c r="I206" s="511">
        <v>240</v>
      </c>
      <c r="J206" s="509"/>
      <c r="K206" s="509"/>
      <c r="L206" s="509"/>
      <c r="M206" s="509"/>
      <c r="N206" s="509"/>
      <c r="O206" s="509"/>
      <c r="P206" s="511"/>
      <c r="Q206" s="511"/>
      <c r="S206" s="63"/>
      <c r="AF206"/>
      <c r="AI206" s="35"/>
    </row>
    <row r="207" spans="1:35" ht="37.5" customHeight="1">
      <c r="A207" s="878"/>
      <c r="B207" s="879"/>
      <c r="C207" s="880"/>
      <c r="D207" s="832"/>
      <c r="E207" s="881"/>
      <c r="F207" s="502" t="s">
        <v>714</v>
      </c>
      <c r="G207" s="511">
        <v>150</v>
      </c>
      <c r="H207" s="511"/>
      <c r="I207" s="511">
        <v>220</v>
      </c>
      <c r="J207" s="509"/>
      <c r="K207" s="509"/>
      <c r="L207" s="509"/>
      <c r="M207" s="509"/>
      <c r="N207" s="509"/>
      <c r="O207" s="509"/>
      <c r="P207" s="511"/>
      <c r="Q207" s="511"/>
      <c r="R207" s="19"/>
      <c r="S207" s="63"/>
      <c r="AF207"/>
      <c r="AI207" s="35"/>
    </row>
    <row r="208" spans="1:35" s="19" customFormat="1" ht="40.5" customHeight="1">
      <c r="A208" s="882" t="s">
        <v>499</v>
      </c>
      <c r="B208" s="883"/>
      <c r="C208" s="884"/>
      <c r="D208" s="826" t="s">
        <v>575</v>
      </c>
      <c r="E208" s="877" t="s">
        <v>559</v>
      </c>
      <c r="F208" s="497" t="s">
        <v>379</v>
      </c>
      <c r="G208" s="515" t="s">
        <v>660</v>
      </c>
      <c r="H208" s="515" t="s">
        <v>661</v>
      </c>
      <c r="I208" s="515" t="s">
        <v>662</v>
      </c>
      <c r="J208" s="515" t="s">
        <v>712</v>
      </c>
      <c r="K208" s="513"/>
      <c r="L208" s="513"/>
      <c r="M208" s="514"/>
      <c r="N208" s="518"/>
      <c r="O208" s="518"/>
      <c r="P208" s="518"/>
      <c r="Q208" s="518"/>
      <c r="R208"/>
      <c r="AF208" s="20"/>
      <c r="AG208" s="20"/>
      <c r="AH208" s="20"/>
    </row>
    <row r="209" spans="1:34" ht="44.25" customHeight="1">
      <c r="A209" s="882"/>
      <c r="B209" s="883"/>
      <c r="C209" s="884"/>
      <c r="D209" s="826"/>
      <c r="E209" s="877"/>
      <c r="F209" s="497" t="s">
        <v>657</v>
      </c>
      <c r="G209" s="515" t="s">
        <v>663</v>
      </c>
      <c r="H209" s="515" t="s">
        <v>664</v>
      </c>
      <c r="I209" s="515" t="s">
        <v>665</v>
      </c>
      <c r="J209" s="515" t="s">
        <v>713</v>
      </c>
      <c r="K209" s="513"/>
      <c r="L209" s="513"/>
      <c r="M209" s="514"/>
      <c r="N209" s="518"/>
      <c r="O209" s="518"/>
      <c r="P209" s="518"/>
      <c r="Q209" s="518"/>
      <c r="R209" s="63"/>
    </row>
    <row r="210" spans="1:34" ht="14.25" customHeight="1">
      <c r="A210" s="878" t="s">
        <v>543</v>
      </c>
      <c r="B210" s="879"/>
      <c r="C210" s="880"/>
      <c r="D210" s="832" t="s">
        <v>558</v>
      </c>
      <c r="E210" s="881" t="s">
        <v>559</v>
      </c>
      <c r="F210" s="502" t="s">
        <v>379</v>
      </c>
      <c r="G210" s="510">
        <v>0.85</v>
      </c>
      <c r="H210" s="510"/>
      <c r="I210" s="510">
        <v>0.95</v>
      </c>
      <c r="J210" s="509"/>
      <c r="K210" s="509"/>
      <c r="L210" s="509"/>
      <c r="M210" s="509"/>
      <c r="N210" s="509"/>
      <c r="O210" s="509"/>
      <c r="P210" s="509"/>
      <c r="Q210" s="509"/>
      <c r="R210" s="63"/>
    </row>
    <row r="211" spans="1:34" ht="32.25" customHeight="1">
      <c r="A211" s="878"/>
      <c r="B211" s="879"/>
      <c r="C211" s="880"/>
      <c r="D211" s="832"/>
      <c r="E211" s="881"/>
      <c r="F211" s="502" t="s">
        <v>714</v>
      </c>
      <c r="G211" s="510">
        <v>0.72</v>
      </c>
      <c r="H211" s="510"/>
      <c r="I211" s="510" t="s">
        <v>666</v>
      </c>
      <c r="J211" s="509"/>
      <c r="K211" s="509"/>
      <c r="L211" s="509"/>
      <c r="M211" s="509"/>
      <c r="N211" s="509"/>
      <c r="O211" s="509"/>
      <c r="P211" s="509"/>
      <c r="Q211" s="509"/>
      <c r="R211" s="63"/>
    </row>
    <row r="212" spans="1:34" s="19" customFormat="1" ht="15" customHeight="1">
      <c r="A212" s="882" t="s">
        <v>539</v>
      </c>
      <c r="B212" s="883"/>
      <c r="C212" s="884"/>
      <c r="D212" s="826" t="s">
        <v>575</v>
      </c>
      <c r="E212" s="892" t="s">
        <v>559</v>
      </c>
      <c r="F212" s="497" t="s">
        <v>379</v>
      </c>
      <c r="G212" s="518">
        <v>0.9</v>
      </c>
      <c r="H212" s="518"/>
      <c r="I212" s="518">
        <v>0.9</v>
      </c>
      <c r="J212" s="513"/>
      <c r="K212" s="513"/>
      <c r="L212" s="513"/>
      <c r="M212" s="514"/>
      <c r="N212" s="518"/>
      <c r="O212" s="518"/>
      <c r="P212" s="518"/>
      <c r="Q212" s="518"/>
      <c r="AF212" s="20"/>
      <c r="AG212" s="20"/>
      <c r="AH212" s="20"/>
    </row>
    <row r="213" spans="1:34">
      <c r="A213" s="882"/>
      <c r="B213" s="883"/>
      <c r="C213" s="884"/>
      <c r="D213" s="826"/>
      <c r="E213" s="893"/>
      <c r="F213" s="497" t="s">
        <v>714</v>
      </c>
      <c r="G213" s="518">
        <v>1.05</v>
      </c>
      <c r="H213" s="518"/>
      <c r="I213" s="518" t="s">
        <v>670</v>
      </c>
      <c r="J213" s="513"/>
      <c r="K213" s="513"/>
      <c r="L213" s="513"/>
      <c r="M213" s="514"/>
      <c r="N213" s="518"/>
      <c r="O213" s="518"/>
      <c r="P213" s="518"/>
      <c r="Q213" s="518"/>
    </row>
    <row r="214" spans="1:34" ht="15.75" thickBot="1">
      <c r="A214" s="3"/>
      <c r="B214" s="3"/>
      <c r="C214" s="3"/>
      <c r="D214" s="3"/>
      <c r="E214" s="3"/>
      <c r="F214" s="3"/>
      <c r="G214" s="3"/>
      <c r="H214" s="2" t="str">
        <f>IF(AND(F214&gt;0,G214&gt;0),G214/F214,"")</f>
        <v/>
      </c>
      <c r="I214" s="102"/>
      <c r="J214" s="102"/>
      <c r="K214" s="3"/>
      <c r="L214" s="3"/>
    </row>
    <row r="215" spans="1:34" ht="19.5" thickBot="1">
      <c r="A215" s="542" t="s">
        <v>599</v>
      </c>
      <c r="B215" s="114"/>
      <c r="C215" s="114"/>
      <c r="D215" s="115"/>
      <c r="E215" s="115"/>
      <c r="F215" s="115"/>
      <c r="G215" s="225"/>
      <c r="H215" s="216"/>
      <c r="I215" s="283"/>
      <c r="J215" s="382" t="s">
        <v>353</v>
      </c>
      <c r="K215" s="375"/>
      <c r="L215" s="376"/>
      <c r="M215" s="377"/>
      <c r="N215" s="376"/>
      <c r="O215" s="397"/>
      <c r="P215" s="35"/>
    </row>
    <row r="216" spans="1:34" ht="15.75" thickBot="1">
      <c r="A216" s="3"/>
      <c r="B216" s="3"/>
      <c r="C216" s="3"/>
      <c r="D216" s="3"/>
      <c r="E216" s="3"/>
      <c r="F216" s="3"/>
      <c r="G216" s="3"/>
      <c r="H216" s="3"/>
      <c r="I216" s="3"/>
      <c r="J216" s="3"/>
      <c r="K216" s="3"/>
      <c r="L216" s="3"/>
      <c r="M216"/>
      <c r="N216"/>
      <c r="O216" s="35"/>
      <c r="P216" s="35"/>
    </row>
    <row r="217" spans="1:34" ht="39.75" customHeight="1">
      <c r="A217" s="827" t="s">
        <v>378</v>
      </c>
      <c r="B217" s="828"/>
      <c r="C217" s="829"/>
      <c r="D217" s="275" t="s">
        <v>270</v>
      </c>
      <c r="E217" s="346" t="s">
        <v>334</v>
      </c>
      <c r="F217" s="220"/>
      <c r="G217" s="313" t="s">
        <v>461</v>
      </c>
      <c r="H217" s="313" t="s">
        <v>468</v>
      </c>
      <c r="I217" s="313" t="s">
        <v>57</v>
      </c>
      <c r="J217" s="313" t="s">
        <v>58</v>
      </c>
      <c r="K217" s="313" t="s">
        <v>65</v>
      </c>
      <c r="L217" s="313" t="s">
        <v>66</v>
      </c>
      <c r="M217" s="313" t="s">
        <v>67</v>
      </c>
      <c r="N217" s="313" t="s">
        <v>68</v>
      </c>
      <c r="O217" s="313" t="s">
        <v>69</v>
      </c>
      <c r="P217" s="313" t="s">
        <v>70</v>
      </c>
      <c r="Q217" s="313" t="s">
        <v>71</v>
      </c>
      <c r="R217" s="63"/>
    </row>
    <row r="218" spans="1:34" ht="40.5" customHeight="1">
      <c r="A218" s="815" t="s">
        <v>464</v>
      </c>
      <c r="B218" s="816"/>
      <c r="C218" s="817"/>
      <c r="D218" s="826" t="s">
        <v>575</v>
      </c>
      <c r="E218" s="830" t="s">
        <v>431</v>
      </c>
      <c r="F218" s="221" t="s">
        <v>379</v>
      </c>
      <c r="G218" s="242">
        <v>1939</v>
      </c>
      <c r="H218" s="116">
        <v>2254</v>
      </c>
      <c r="I218" s="242">
        <v>2413</v>
      </c>
      <c r="J218" s="242">
        <v>2413</v>
      </c>
      <c r="K218" s="116"/>
      <c r="L218" s="116"/>
      <c r="M218" s="116"/>
      <c r="N218" s="116"/>
      <c r="O218" s="116"/>
      <c r="P218" s="116"/>
      <c r="Q218" s="116"/>
      <c r="R218" s="63"/>
    </row>
    <row r="219" spans="1:34" ht="23.25" customHeight="1">
      <c r="A219" s="818"/>
      <c r="B219" s="819"/>
      <c r="C219" s="820"/>
      <c r="D219" s="826"/>
      <c r="E219" s="831"/>
      <c r="F219" s="221" t="s">
        <v>271</v>
      </c>
      <c r="G219" s="242">
        <v>1476</v>
      </c>
      <c r="H219" s="116">
        <v>1689</v>
      </c>
      <c r="I219" s="242">
        <v>1684</v>
      </c>
      <c r="J219" s="242"/>
      <c r="K219" s="116"/>
      <c r="L219" s="116"/>
      <c r="M219" s="116"/>
      <c r="N219" s="116"/>
      <c r="O219" s="116"/>
      <c r="P219" s="116"/>
      <c r="Q219" s="116"/>
      <c r="R219" s="63"/>
    </row>
    <row r="220" spans="1:34" ht="48" customHeight="1">
      <c r="A220" s="797" t="s">
        <v>460</v>
      </c>
      <c r="B220" s="798"/>
      <c r="C220" s="799"/>
      <c r="D220" s="832" t="s">
        <v>558</v>
      </c>
      <c r="E220" s="795" t="s">
        <v>431</v>
      </c>
      <c r="F220" s="221" t="s">
        <v>379</v>
      </c>
      <c r="G220" s="389">
        <v>1677</v>
      </c>
      <c r="H220" s="387">
        <v>1677</v>
      </c>
      <c r="I220" s="243">
        <v>1677</v>
      </c>
      <c r="J220" s="243"/>
      <c r="K220" s="454"/>
      <c r="L220" s="217"/>
      <c r="M220" s="217"/>
      <c r="N220" s="217"/>
      <c r="O220" s="217"/>
      <c r="P220" s="217"/>
      <c r="Q220" s="217"/>
      <c r="R220" s="63"/>
    </row>
    <row r="221" spans="1:34" ht="15.75" customHeight="1">
      <c r="A221" s="800"/>
      <c r="B221" s="801"/>
      <c r="C221" s="802"/>
      <c r="D221" s="832"/>
      <c r="E221" s="796"/>
      <c r="F221" s="222" t="s">
        <v>271</v>
      </c>
      <c r="G221" s="389">
        <v>1628</v>
      </c>
      <c r="H221" s="387">
        <v>2087</v>
      </c>
      <c r="I221" s="274">
        <v>2034</v>
      </c>
      <c r="J221" s="274">
        <v>1798</v>
      </c>
      <c r="K221" s="273"/>
      <c r="L221" s="273"/>
      <c r="M221" s="273"/>
      <c r="N221" s="273"/>
      <c r="O221" s="217"/>
      <c r="P221" s="217"/>
      <c r="Q221" s="217"/>
      <c r="R221" s="63"/>
    </row>
    <row r="222" spans="1:34" ht="38.25" customHeight="1">
      <c r="A222" s="815" t="s">
        <v>674</v>
      </c>
      <c r="B222" s="816"/>
      <c r="C222" s="817"/>
      <c r="D222" s="826" t="s">
        <v>575</v>
      </c>
      <c r="E222" s="830" t="s">
        <v>431</v>
      </c>
      <c r="F222" s="221" t="s">
        <v>379</v>
      </c>
      <c r="G222" s="478">
        <v>0.85</v>
      </c>
      <c r="H222" s="480">
        <v>0.9</v>
      </c>
      <c r="I222" s="478">
        <v>0.95</v>
      </c>
      <c r="J222" s="480">
        <v>0.95</v>
      </c>
      <c r="K222" s="455"/>
      <c r="L222" s="116"/>
      <c r="M222" s="116"/>
      <c r="N222" s="116"/>
      <c r="O222" s="116"/>
      <c r="P222" s="116"/>
      <c r="Q222" s="116"/>
      <c r="R222" s="63"/>
    </row>
    <row r="223" spans="1:34" ht="39.75" customHeight="1">
      <c r="A223" s="818"/>
      <c r="B223" s="819"/>
      <c r="C223" s="820"/>
      <c r="D223" s="826"/>
      <c r="E223" s="831"/>
      <c r="F223" s="221" t="s">
        <v>271</v>
      </c>
      <c r="G223" s="478">
        <v>0.96</v>
      </c>
      <c r="H223" s="480">
        <v>0.95</v>
      </c>
      <c r="I223" s="478">
        <v>0.96</v>
      </c>
      <c r="J223" s="480">
        <v>0.95</v>
      </c>
      <c r="K223" s="116"/>
      <c r="L223" s="116"/>
      <c r="M223" s="116"/>
      <c r="N223" s="116"/>
      <c r="O223" s="116"/>
      <c r="P223" s="116"/>
      <c r="Q223" s="116"/>
      <c r="R223" s="63"/>
    </row>
    <row r="224" spans="1:34" ht="39.75" customHeight="1">
      <c r="A224" s="797" t="s">
        <v>675</v>
      </c>
      <c r="B224" s="798"/>
      <c r="C224" s="799"/>
      <c r="D224" s="832" t="s">
        <v>558</v>
      </c>
      <c r="E224" s="795" t="s">
        <v>431</v>
      </c>
      <c r="F224" s="221" t="s">
        <v>379</v>
      </c>
      <c r="G224" s="392">
        <v>800</v>
      </c>
      <c r="H224" s="388">
        <v>712</v>
      </c>
      <c r="I224" s="389">
        <v>712</v>
      </c>
      <c r="J224" s="389">
        <v>712</v>
      </c>
      <c r="K224" s="387"/>
      <c r="L224" s="387"/>
      <c r="M224" s="387"/>
      <c r="N224" s="387"/>
      <c r="O224" s="387"/>
      <c r="P224" s="387"/>
      <c r="Q224" s="387"/>
      <c r="R224" s="63"/>
    </row>
    <row r="225" spans="1:19" ht="39.75" customHeight="1">
      <c r="A225" s="800"/>
      <c r="B225" s="801"/>
      <c r="C225" s="802"/>
      <c r="D225" s="832"/>
      <c r="E225" s="796"/>
      <c r="F225" s="221" t="s">
        <v>271</v>
      </c>
      <c r="G225" s="392">
        <v>626</v>
      </c>
      <c r="H225" s="388">
        <v>697</v>
      </c>
      <c r="I225" s="389">
        <v>736</v>
      </c>
      <c r="J225" s="389">
        <v>735</v>
      </c>
      <c r="K225" s="387"/>
      <c r="L225" s="387"/>
      <c r="M225" s="387"/>
      <c r="N225" s="387"/>
      <c r="O225" s="387"/>
      <c r="P225" s="387"/>
      <c r="Q225" s="387"/>
      <c r="R225" s="63"/>
    </row>
    <row r="226" spans="1:19" ht="35.25" customHeight="1">
      <c r="A226" s="835" t="s">
        <v>676</v>
      </c>
      <c r="B226" s="836"/>
      <c r="C226" s="837"/>
      <c r="D226" s="826" t="s">
        <v>575</v>
      </c>
      <c r="E226" s="833" t="s">
        <v>431</v>
      </c>
      <c r="F226" s="221" t="s">
        <v>379</v>
      </c>
      <c r="G226" s="391">
        <v>795</v>
      </c>
      <c r="H226" s="390">
        <v>663</v>
      </c>
      <c r="I226" s="391">
        <v>662</v>
      </c>
      <c r="J226" s="391">
        <v>712</v>
      </c>
      <c r="K226" s="390"/>
      <c r="L226" s="390"/>
      <c r="M226" s="390"/>
      <c r="N226" s="390"/>
      <c r="O226" s="390"/>
      <c r="P226" s="390"/>
      <c r="Q226" s="390"/>
      <c r="R226" s="63"/>
    </row>
    <row r="227" spans="1:19" ht="39" customHeight="1">
      <c r="A227" s="838"/>
      <c r="B227" s="839"/>
      <c r="C227" s="840"/>
      <c r="D227" s="826"/>
      <c r="E227" s="834"/>
      <c r="F227" s="222" t="s">
        <v>271</v>
      </c>
      <c r="G227" s="391">
        <v>601</v>
      </c>
      <c r="H227" s="390">
        <v>702</v>
      </c>
      <c r="I227" s="391">
        <v>686</v>
      </c>
      <c r="J227" s="391">
        <v>598</v>
      </c>
      <c r="K227" s="390"/>
      <c r="L227" s="390"/>
      <c r="M227" s="390"/>
      <c r="N227" s="390"/>
      <c r="O227" s="390"/>
      <c r="P227" s="390"/>
      <c r="Q227" s="390"/>
      <c r="R227" s="63"/>
    </row>
    <row r="228" spans="1:19" ht="43.5" customHeight="1">
      <c r="A228" s="797" t="s">
        <v>465</v>
      </c>
      <c r="B228" s="798"/>
      <c r="C228" s="799"/>
      <c r="D228" s="832" t="s">
        <v>558</v>
      </c>
      <c r="E228" s="841" t="s">
        <v>431</v>
      </c>
      <c r="F228" s="221" t="s">
        <v>379</v>
      </c>
      <c r="G228" s="391"/>
      <c r="H228" s="481">
        <v>0.08</v>
      </c>
      <c r="I228" s="540">
        <v>0.08</v>
      </c>
      <c r="J228" s="540">
        <v>0.1</v>
      </c>
      <c r="K228" s="388"/>
      <c r="L228" s="388"/>
      <c r="M228" s="388"/>
      <c r="N228" s="388"/>
      <c r="O228" s="388"/>
      <c r="P228" s="388"/>
      <c r="Q228" s="469"/>
      <c r="R228" s="63"/>
    </row>
    <row r="229" spans="1:19" ht="40.5" customHeight="1">
      <c r="A229" s="800"/>
      <c r="B229" s="801"/>
      <c r="C229" s="802"/>
      <c r="D229" s="832"/>
      <c r="E229" s="842"/>
      <c r="F229" s="221" t="s">
        <v>271</v>
      </c>
      <c r="G229" s="453" t="s">
        <v>466</v>
      </c>
      <c r="H229" s="482">
        <v>0.19</v>
      </c>
      <c r="I229" s="541">
        <v>0.13</v>
      </c>
      <c r="J229" s="541">
        <v>0.16</v>
      </c>
      <c r="K229" s="387"/>
      <c r="L229" s="387"/>
      <c r="M229" s="387"/>
      <c r="N229" s="387"/>
      <c r="O229" s="388"/>
      <c r="P229" s="388"/>
      <c r="Q229" s="388"/>
      <c r="R229" s="63"/>
    </row>
    <row r="230" spans="1:19" ht="20.25" customHeight="1">
      <c r="A230" s="3"/>
      <c r="B230" s="3"/>
      <c r="C230" s="3"/>
      <c r="D230" s="3"/>
      <c r="E230" s="3"/>
      <c r="F230" s="2"/>
      <c r="G230" s="3"/>
      <c r="H230" s="3"/>
      <c r="I230" s="3"/>
      <c r="J230" s="3"/>
      <c r="K230" s="3"/>
      <c r="L230" s="3"/>
      <c r="M230" s="3"/>
      <c r="N230" s="3"/>
      <c r="Q230" s="35"/>
    </row>
    <row r="231" spans="1:19">
      <c r="A231" s="3"/>
      <c r="B231" s="3"/>
      <c r="C231" s="3"/>
      <c r="D231" s="3"/>
      <c r="E231" s="3"/>
      <c r="F231" s="2"/>
      <c r="G231" s="3"/>
      <c r="H231" s="3"/>
      <c r="I231" s="3"/>
      <c r="J231" s="3"/>
      <c r="K231" s="3"/>
      <c r="L231" s="3"/>
      <c r="M231" s="3"/>
      <c r="N231" s="3"/>
      <c r="Q231" s="35"/>
    </row>
    <row r="232" spans="1:19" ht="4.5" customHeight="1" thickBot="1">
      <c r="A232" s="3"/>
      <c r="B232" s="3"/>
      <c r="C232" s="3"/>
      <c r="D232" s="3"/>
      <c r="E232" s="3"/>
      <c r="F232" s="2"/>
      <c r="G232" s="3"/>
      <c r="H232" s="3"/>
      <c r="I232" s="3"/>
      <c r="J232" s="3"/>
      <c r="K232" s="3"/>
      <c r="L232" s="3"/>
      <c r="M232" s="3"/>
      <c r="N232" s="3"/>
      <c r="Q232" s="35"/>
    </row>
    <row r="233" spans="1:19" ht="16.5" hidden="1" thickBot="1">
      <c r="A233" s="276"/>
      <c r="B233" s="3"/>
      <c r="C233" s="3"/>
      <c r="D233" s="3"/>
      <c r="E233" s="3"/>
      <c r="F233" s="2"/>
      <c r="G233" s="3"/>
      <c r="H233" s="3"/>
      <c r="I233" s="3"/>
      <c r="J233" s="3"/>
      <c r="K233" s="3"/>
      <c r="L233" s="3"/>
      <c r="M233" s="3"/>
      <c r="N233" s="3"/>
      <c r="Q233" s="35"/>
    </row>
    <row r="234" spans="1:19" ht="72" customHeight="1">
      <c r="A234" s="3" t="s">
        <v>380</v>
      </c>
      <c r="B234" s="3"/>
      <c r="C234" s="3"/>
      <c r="D234" s="275" t="s">
        <v>270</v>
      </c>
      <c r="E234" s="346" t="s">
        <v>334</v>
      </c>
      <c r="F234" s="220"/>
      <c r="G234" s="313" t="str">
        <f t="shared" ref="G234:Q234" si="21">B30</f>
        <v>P1</v>
      </c>
      <c r="H234" s="313" t="str">
        <f t="shared" si="21"/>
        <v>P2</v>
      </c>
      <c r="I234" s="313" t="str">
        <f t="shared" si="21"/>
        <v>P3</v>
      </c>
      <c r="J234" s="313" t="str">
        <f t="shared" si="21"/>
        <v>P4</v>
      </c>
      <c r="K234" s="313" t="str">
        <f t="shared" si="21"/>
        <v>P5</v>
      </c>
      <c r="L234" s="313" t="str">
        <f t="shared" si="21"/>
        <v>P6</v>
      </c>
      <c r="M234" s="313" t="str">
        <f t="shared" si="21"/>
        <v>P7</v>
      </c>
      <c r="N234" s="313" t="str">
        <f t="shared" si="21"/>
        <v>P8</v>
      </c>
      <c r="O234" s="313" t="str">
        <f t="shared" si="21"/>
        <v>P9</v>
      </c>
      <c r="P234" s="313" t="str">
        <f t="shared" si="21"/>
        <v>P10</v>
      </c>
      <c r="Q234" s="313" t="str">
        <f t="shared" si="21"/>
        <v>P11</v>
      </c>
      <c r="R234" s="35"/>
      <c r="S234" s="35"/>
    </row>
    <row r="235" spans="1:19">
      <c r="A235" s="853" t="str">
        <f>IF(ISBLANK(A218),"",(A218))</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B235" s="854"/>
      <c r="C235" s="855"/>
      <c r="D235" s="851" t="str">
        <f>IF(ISBLANK(D218),"",(D218))</f>
        <v xml:space="preserve"> Топ 10</v>
      </c>
      <c r="E235" s="862" t="str">
        <f>IF(ISBLANK(E218),"",(E218))</f>
        <v>да</v>
      </c>
      <c r="F235" s="221" t="s">
        <v>379</v>
      </c>
      <c r="G235" s="326">
        <f t="shared" ref="G235:Q235" si="22">G218</f>
        <v>1939</v>
      </c>
      <c r="H235" s="326">
        <f t="shared" si="22"/>
        <v>2254</v>
      </c>
      <c r="I235" s="326">
        <f t="shared" si="22"/>
        <v>2413</v>
      </c>
      <c r="J235" s="326">
        <f t="shared" si="22"/>
        <v>2413</v>
      </c>
      <c r="K235" s="326">
        <f t="shared" si="22"/>
        <v>0</v>
      </c>
      <c r="L235" s="326">
        <f t="shared" si="22"/>
        <v>0</v>
      </c>
      <c r="M235" s="326">
        <f t="shared" si="22"/>
        <v>0</v>
      </c>
      <c r="N235" s="326">
        <f t="shared" si="22"/>
        <v>0</v>
      </c>
      <c r="O235" s="326">
        <f t="shared" si="22"/>
        <v>0</v>
      </c>
      <c r="P235" s="326">
        <f t="shared" si="22"/>
        <v>0</v>
      </c>
      <c r="Q235" s="326">
        <f t="shared" si="22"/>
        <v>0</v>
      </c>
      <c r="R235" s="35"/>
      <c r="S235" s="35"/>
    </row>
    <row r="236" spans="1:19" ht="88.5" customHeight="1" thickBot="1">
      <c r="A236" s="846"/>
      <c r="B236" s="847"/>
      <c r="C236" s="848"/>
      <c r="D236" s="866"/>
      <c r="E236" s="867"/>
      <c r="F236" s="394" t="s">
        <v>271</v>
      </c>
      <c r="G236" s="326">
        <f t="shared" ref="G236:J240" si="23">G219</f>
        <v>1476</v>
      </c>
      <c r="H236" s="326">
        <f t="shared" si="23"/>
        <v>1689</v>
      </c>
      <c r="I236" s="326">
        <f t="shared" si="23"/>
        <v>1684</v>
      </c>
      <c r="J236" s="326">
        <f t="shared" si="23"/>
        <v>0</v>
      </c>
      <c r="K236" s="326">
        <f t="shared" ref="K236:Q240" si="24">K219</f>
        <v>0</v>
      </c>
      <c r="L236" s="326">
        <f t="shared" si="24"/>
        <v>0</v>
      </c>
      <c r="M236" s="326">
        <f t="shared" si="24"/>
        <v>0</v>
      </c>
      <c r="N236" s="326">
        <f t="shared" si="24"/>
        <v>0</v>
      </c>
      <c r="O236" s="326">
        <f t="shared" si="24"/>
        <v>0</v>
      </c>
      <c r="P236" s="326">
        <f t="shared" si="24"/>
        <v>0</v>
      </c>
      <c r="Q236" s="326">
        <f t="shared" si="24"/>
        <v>0</v>
      </c>
      <c r="R236" s="35"/>
      <c r="S236" s="35"/>
    </row>
    <row r="237" spans="1:19">
      <c r="A237" s="856" t="str">
        <f>IF(ISBLANK(A220),"",(A220))</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B237" s="857"/>
      <c r="C237" s="858"/>
      <c r="D237" s="849" t="str">
        <f>IF(ISBLANK(D220),"",(D220))</f>
        <v>Топ 10</v>
      </c>
      <c r="E237" s="864" t="str">
        <f>IF(ISBLANK(E220),"",(E220))</f>
        <v>да</v>
      </c>
      <c r="F237" s="222" t="s">
        <v>379</v>
      </c>
      <c r="G237" s="393">
        <f t="shared" si="23"/>
        <v>1677</v>
      </c>
      <c r="H237" s="393">
        <f>H220</f>
        <v>1677</v>
      </c>
      <c r="I237" s="393">
        <f t="shared" si="23"/>
        <v>1677</v>
      </c>
      <c r="J237" s="393">
        <f>J220</f>
        <v>0</v>
      </c>
      <c r="K237" s="393">
        <f t="shared" si="24"/>
        <v>0</v>
      </c>
      <c r="L237" s="393">
        <f t="shared" si="24"/>
        <v>0</v>
      </c>
      <c r="M237" s="393">
        <f t="shared" si="24"/>
        <v>0</v>
      </c>
      <c r="N237" s="393">
        <f t="shared" si="24"/>
        <v>0</v>
      </c>
      <c r="O237" s="393">
        <f t="shared" si="24"/>
        <v>0</v>
      </c>
      <c r="P237" s="393">
        <f t="shared" si="24"/>
        <v>0</v>
      </c>
      <c r="Q237" s="393">
        <f t="shared" si="24"/>
        <v>0</v>
      </c>
      <c r="R237" s="35"/>
      <c r="S237" s="35"/>
    </row>
    <row r="238" spans="1:19" ht="96.75" customHeight="1" thickBot="1">
      <c r="A238" s="859"/>
      <c r="B238" s="860"/>
      <c r="C238" s="861"/>
      <c r="D238" s="850"/>
      <c r="E238" s="865"/>
      <c r="F238" s="222" t="s">
        <v>271</v>
      </c>
      <c r="G238" s="393">
        <f t="shared" si="23"/>
        <v>1628</v>
      </c>
      <c r="H238" s="393">
        <f t="shared" si="23"/>
        <v>2087</v>
      </c>
      <c r="I238" s="393">
        <f t="shared" si="23"/>
        <v>2034</v>
      </c>
      <c r="J238" s="393">
        <f t="shared" si="23"/>
        <v>1798</v>
      </c>
      <c r="K238" s="393">
        <f t="shared" si="24"/>
        <v>0</v>
      </c>
      <c r="L238" s="393">
        <f t="shared" si="24"/>
        <v>0</v>
      </c>
      <c r="M238" s="393">
        <f t="shared" si="24"/>
        <v>0</v>
      </c>
      <c r="N238" s="393">
        <f t="shared" si="24"/>
        <v>0</v>
      </c>
      <c r="O238" s="393">
        <f t="shared" si="24"/>
        <v>0</v>
      </c>
      <c r="P238" s="393">
        <f t="shared" si="24"/>
        <v>0</v>
      </c>
      <c r="Q238" s="393">
        <f t="shared" si="24"/>
        <v>0</v>
      </c>
      <c r="R238" s="35"/>
      <c r="S238" s="35"/>
    </row>
    <row r="239" spans="1:19">
      <c r="A239" s="843" t="str">
        <f>IF(ISBLANK(A222),"",(A222))</f>
        <v xml:space="preserve">MDR TB-1: Процент ранее леченных ТБ пациентов, прошедших ТЛЧ (только бактериологически положительные случаи) </v>
      </c>
      <c r="B239" s="844"/>
      <c r="C239" s="845"/>
      <c r="D239" s="851" t="str">
        <f>IF(ISBLANK(D222),"",(D222))</f>
        <v xml:space="preserve"> Топ 10</v>
      </c>
      <c r="E239" s="862" t="str">
        <f>IF(ISBLANK(E222),"",(E222))</f>
        <v>да</v>
      </c>
      <c r="F239" s="395" t="s">
        <v>379</v>
      </c>
      <c r="G239" s="326">
        <f t="shared" si="23"/>
        <v>0.85</v>
      </c>
      <c r="H239" s="326">
        <f t="shared" si="23"/>
        <v>0.9</v>
      </c>
      <c r="I239" s="326">
        <f t="shared" si="23"/>
        <v>0.95</v>
      </c>
      <c r="J239" s="606">
        <f t="shared" si="23"/>
        <v>0.95</v>
      </c>
      <c r="K239" s="326">
        <f t="shared" si="24"/>
        <v>0</v>
      </c>
      <c r="L239" s="326">
        <f t="shared" si="24"/>
        <v>0</v>
      </c>
      <c r="M239" s="326">
        <f t="shared" si="24"/>
        <v>0</v>
      </c>
      <c r="N239" s="326">
        <f t="shared" si="24"/>
        <v>0</v>
      </c>
      <c r="O239" s="326">
        <f t="shared" si="24"/>
        <v>0</v>
      </c>
      <c r="P239" s="326">
        <f t="shared" si="24"/>
        <v>0</v>
      </c>
      <c r="Q239" s="326">
        <f t="shared" si="24"/>
        <v>0</v>
      </c>
      <c r="R239" s="35"/>
      <c r="S239" s="35"/>
    </row>
    <row r="240" spans="1:19" ht="96.75" customHeight="1" thickBot="1">
      <c r="A240" s="846"/>
      <c r="B240" s="847"/>
      <c r="C240" s="848"/>
      <c r="D240" s="852"/>
      <c r="E240" s="863"/>
      <c r="F240" s="272" t="s">
        <v>271</v>
      </c>
      <c r="G240" s="327">
        <f t="shared" si="23"/>
        <v>0.96</v>
      </c>
      <c r="H240" s="327">
        <f t="shared" si="23"/>
        <v>0.95</v>
      </c>
      <c r="I240" s="327">
        <f t="shared" si="23"/>
        <v>0.96</v>
      </c>
      <c r="J240" s="607">
        <f t="shared" si="23"/>
        <v>0.95</v>
      </c>
      <c r="K240" s="326">
        <f t="shared" si="24"/>
        <v>0</v>
      </c>
      <c r="L240" s="326">
        <f t="shared" si="24"/>
        <v>0</v>
      </c>
      <c r="M240" s="326">
        <f t="shared" si="24"/>
        <v>0</v>
      </c>
      <c r="N240" s="326">
        <f t="shared" si="24"/>
        <v>0</v>
      </c>
      <c r="O240" s="326">
        <f t="shared" si="24"/>
        <v>0</v>
      </c>
      <c r="P240" s="326">
        <f t="shared" si="24"/>
        <v>0</v>
      </c>
      <c r="Q240" s="326">
        <f t="shared" si="24"/>
        <v>0</v>
      </c>
      <c r="R240" s="35"/>
      <c r="S240" s="35"/>
    </row>
    <row r="241" spans="1:16">
      <c r="A241" s="3"/>
      <c r="B241" s="3"/>
      <c r="C241" s="3"/>
      <c r="D241" s="3"/>
      <c r="E241" s="3"/>
      <c r="F241" s="3"/>
      <c r="G241" s="3"/>
      <c r="H241" s="3"/>
      <c r="I241" s="3"/>
      <c r="J241" s="3"/>
      <c r="K241" s="3"/>
      <c r="L241" s="3"/>
      <c r="M241"/>
      <c r="N241"/>
      <c r="O241" s="35"/>
      <c r="P241" s="35"/>
    </row>
    <row r="242" spans="1:16">
      <c r="M242"/>
      <c r="N242"/>
      <c r="O242" s="35"/>
      <c r="P242" s="35"/>
    </row>
    <row r="243" spans="1:16" ht="14.25" customHeight="1">
      <c r="M243"/>
      <c r="N243"/>
      <c r="O243" s="35"/>
      <c r="P243" s="35"/>
    </row>
    <row r="244" spans="1:16">
      <c r="M244"/>
      <c r="N244"/>
      <c r="O244" s="35"/>
      <c r="P244" s="35"/>
    </row>
  </sheetData>
  <mergeCells count="133">
    <mergeCell ref="A122:A137"/>
    <mergeCell ref="A212:C213"/>
    <mergeCell ref="D212:D213"/>
    <mergeCell ref="E212:E213"/>
    <mergeCell ref="E186:E187"/>
    <mergeCell ref="A188:C189"/>
    <mergeCell ref="D188:D189"/>
    <mergeCell ref="E188:E189"/>
    <mergeCell ref="A193:C194"/>
    <mergeCell ref="D193:D194"/>
    <mergeCell ref="D195:D196"/>
    <mergeCell ref="E195:E196"/>
    <mergeCell ref="A197:C198"/>
    <mergeCell ref="D197:D198"/>
    <mergeCell ref="E197:E198"/>
    <mergeCell ref="A166:C167"/>
    <mergeCell ref="D166:D167"/>
    <mergeCell ref="E166:E167"/>
    <mergeCell ref="A168:C169"/>
    <mergeCell ref="D168:D169"/>
    <mergeCell ref="E168:E169"/>
    <mergeCell ref="A170:C171"/>
    <mergeCell ref="D170:D171"/>
    <mergeCell ref="E170:E171"/>
    <mergeCell ref="A186:C187"/>
    <mergeCell ref="D186:D187"/>
    <mergeCell ref="A208:C209"/>
    <mergeCell ref="D208:D209"/>
    <mergeCell ref="E208:E209"/>
    <mergeCell ref="A210:C211"/>
    <mergeCell ref="D210:D211"/>
    <mergeCell ref="E210:E211"/>
    <mergeCell ref="A204:C205"/>
    <mergeCell ref="D204:D205"/>
    <mergeCell ref="E204:E205"/>
    <mergeCell ref="A206:C207"/>
    <mergeCell ref="D206:D207"/>
    <mergeCell ref="E206:E207"/>
    <mergeCell ref="A200:C201"/>
    <mergeCell ref="D200:D201"/>
    <mergeCell ref="E200:E201"/>
    <mergeCell ref="A202:C203"/>
    <mergeCell ref="D202:D203"/>
    <mergeCell ref="E202:E203"/>
    <mergeCell ref="E193:E194"/>
    <mergeCell ref="A195:C196"/>
    <mergeCell ref="D184:D185"/>
    <mergeCell ref="E184:E185"/>
    <mergeCell ref="A178:C179"/>
    <mergeCell ref="D178:D179"/>
    <mergeCell ref="E178:E179"/>
    <mergeCell ref="A180:C181"/>
    <mergeCell ref="D180:D181"/>
    <mergeCell ref="E180:E181"/>
    <mergeCell ref="A172:C173"/>
    <mergeCell ref="D172:D173"/>
    <mergeCell ref="A138:A154"/>
    <mergeCell ref="A81:B81"/>
    <mergeCell ref="A82:B82"/>
    <mergeCell ref="N31:N34"/>
    <mergeCell ref="D218:D219"/>
    <mergeCell ref="E218:E219"/>
    <mergeCell ref="E220:E221"/>
    <mergeCell ref="D220:D221"/>
    <mergeCell ref="E56:H56"/>
    <mergeCell ref="E172:E173"/>
    <mergeCell ref="A174:C175"/>
    <mergeCell ref="D174:D175"/>
    <mergeCell ref="E174:E175"/>
    <mergeCell ref="A176:C177"/>
    <mergeCell ref="D176:D177"/>
    <mergeCell ref="E176:E177"/>
    <mergeCell ref="A163:C163"/>
    <mergeCell ref="A164:C165"/>
    <mergeCell ref="D164:D165"/>
    <mergeCell ref="E164:E165"/>
    <mergeCell ref="A182:C183"/>
    <mergeCell ref="D182:D183"/>
    <mergeCell ref="E182:E183"/>
    <mergeCell ref="A184:C185"/>
    <mergeCell ref="E226:E227"/>
    <mergeCell ref="A226:C227"/>
    <mergeCell ref="E228:E229"/>
    <mergeCell ref="D228:D229"/>
    <mergeCell ref="D226:D227"/>
    <mergeCell ref="A239:C240"/>
    <mergeCell ref="D237:D238"/>
    <mergeCell ref="D239:D240"/>
    <mergeCell ref="A235:C236"/>
    <mergeCell ref="A237:C238"/>
    <mergeCell ref="E239:E240"/>
    <mergeCell ref="E237:E238"/>
    <mergeCell ref="D235:D236"/>
    <mergeCell ref="E235:E236"/>
    <mergeCell ref="A228:C229"/>
    <mergeCell ref="A18:B18"/>
    <mergeCell ref="D10:E10"/>
    <mergeCell ref="B12:C12"/>
    <mergeCell ref="E224:E225"/>
    <mergeCell ref="A224:C225"/>
    <mergeCell ref="A26:B26"/>
    <mergeCell ref="A80:B80"/>
    <mergeCell ref="A69:C69"/>
    <mergeCell ref="A83:B83"/>
    <mergeCell ref="A29:M29"/>
    <mergeCell ref="A220:C221"/>
    <mergeCell ref="A222:C223"/>
    <mergeCell ref="A84:B84"/>
    <mergeCell ref="G16:H16"/>
    <mergeCell ref="C24:D24"/>
    <mergeCell ref="F24:G24"/>
    <mergeCell ref="H24:I24"/>
    <mergeCell ref="C18:E18"/>
    <mergeCell ref="A21:I21"/>
    <mergeCell ref="D222:D223"/>
    <mergeCell ref="A217:C217"/>
    <mergeCell ref="A218:C219"/>
    <mergeCell ref="E222:E223"/>
    <mergeCell ref="D224:D225"/>
    <mergeCell ref="B1:C1"/>
    <mergeCell ref="B8:C8"/>
    <mergeCell ref="A14:I14"/>
    <mergeCell ref="B6:C6"/>
    <mergeCell ref="D6:E6"/>
    <mergeCell ref="H6:I6"/>
    <mergeCell ref="H8:I8"/>
    <mergeCell ref="B10:C10"/>
    <mergeCell ref="D12:E12"/>
    <mergeCell ref="F12:I12"/>
    <mergeCell ref="A2:I2"/>
    <mergeCell ref="B4:C4"/>
    <mergeCell ref="D4:E4"/>
    <mergeCell ref="F10:I10"/>
  </mergeCells>
  <phoneticPr fontId="30" type="noConversion"/>
  <conditionalFormatting sqref="A34 E32:G32 A32 L33:M33">
    <cfRule type="expression" dxfId="100" priority="28" stopIfTrue="1">
      <formula>+AND(A31&gt;=#REF!,A31&lt;=#REF!)</formula>
    </cfRule>
  </conditionalFormatting>
  <conditionalFormatting sqref="L34:M34">
    <cfRule type="expression" dxfId="99" priority="29" stopIfTrue="1">
      <formula>+AND(L32&gt;=#REF!,L32&lt;=#REF!)</formula>
    </cfRule>
  </conditionalFormatting>
  <conditionalFormatting sqref="B109:M109 B30:M30">
    <cfRule type="cellIs" dxfId="98" priority="32" stopIfTrue="1" operator="equal">
      <formula>$B$16</formula>
    </cfRule>
  </conditionalFormatting>
  <conditionalFormatting sqref="B12:C12">
    <cfRule type="cellIs" dxfId="97" priority="34" stopIfTrue="1" operator="equal">
      <formula>"C"</formula>
    </cfRule>
    <cfRule type="cellIs" dxfId="96" priority="35" stopIfTrue="1" operator="equal">
      <formula>"B2"</formula>
    </cfRule>
    <cfRule type="cellIs" dxfId="95" priority="36" stopIfTrue="1" operator="equal">
      <formula>"B1"</formula>
    </cfRule>
  </conditionalFormatting>
  <conditionalFormatting sqref="G234:Q234 G217:H217">
    <cfRule type="cellIs" dxfId="94" priority="43" stopIfTrue="1" operator="equal">
      <formula>$B$16</formula>
    </cfRule>
  </conditionalFormatting>
  <conditionalFormatting sqref="F33:K33">
    <cfRule type="expression" dxfId="93" priority="21" stopIfTrue="1">
      <formula>+AND(F32&gt;=#REF!,F32&lt;=#REF!)</formula>
    </cfRule>
  </conditionalFormatting>
  <conditionalFormatting sqref="F34:K34">
    <cfRule type="expression" dxfId="92" priority="20" stopIfTrue="1">
      <formula>+AND(F32&gt;=#REF!,F32&lt;=#REF!)</formula>
    </cfRule>
  </conditionalFormatting>
  <conditionalFormatting sqref="E56:H56">
    <cfRule type="expression" dxfId="91" priority="17" stopIfTrue="1">
      <formula>LEFT($E$56,3)="Все"</formula>
    </cfRule>
  </conditionalFormatting>
  <conditionalFormatting sqref="B33:C33 B31:B32">
    <cfRule type="expression" dxfId="90" priority="12" stopIfTrue="1">
      <formula>+AND(B30&gt;=#REF!,B30&lt;=#REF!)</formula>
    </cfRule>
  </conditionalFormatting>
  <conditionalFormatting sqref="B34:E34">
    <cfRule type="expression" dxfId="89" priority="13" stopIfTrue="1">
      <formula>+AND(B32&gt;=#REF!,B32&lt;=#REF!)</formula>
    </cfRule>
  </conditionalFormatting>
  <conditionalFormatting sqref="G163:Q163">
    <cfRule type="cellIs" dxfId="88" priority="11" stopIfTrue="1" operator="equal">
      <formula>$B$16</formula>
    </cfRule>
  </conditionalFormatting>
  <conditionalFormatting sqref="H192">
    <cfRule type="cellIs" dxfId="87" priority="6" stopIfTrue="1" operator="equal">
      <formula>$B$16</formula>
    </cfRule>
  </conditionalFormatting>
  <conditionalFormatting sqref="G192">
    <cfRule type="cellIs" dxfId="86" priority="9" stopIfTrue="1" operator="equal">
      <formula>$B$16</formula>
    </cfRule>
  </conditionalFormatting>
  <conditionalFormatting sqref="D32:D33 E33">
    <cfRule type="expression" dxfId="85" priority="3" stopIfTrue="1">
      <formula>+AND(D31&gt;=#REF!,D31&lt;=#REF!)</formula>
    </cfRule>
  </conditionalFormatting>
  <conditionalFormatting sqref="I192:Q192">
    <cfRule type="cellIs" dxfId="84" priority="2" stopIfTrue="1" operator="equal">
      <formula>$B$16</formula>
    </cfRule>
  </conditionalFormatting>
  <conditionalFormatting sqref="I217:Q217">
    <cfRule type="cellIs" dxfId="83" priority="1" stopIfTrue="1" operator="equal">
      <formula>$B$16</formula>
    </cfRule>
  </conditionalFormatting>
  <dataValidations count="9">
    <dataValidation type="list" allowBlank="1" showInputMessage="1" showErrorMessage="1" sqref="F6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VI155 A122">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WVJ133:WVJ154 WLN133:WLN154 WBR133:WBR154 VRV133:VRV154 VHZ133:VHZ154 UYD133:UYD154 UOH133:UOH154 UEL133:UEL154 TUP133:TUP154 TKT133:TKT154 TAX133:TAX154 SRB133:SRB154 SHF133:SHF154 RXJ133:RXJ154 RNN133:RNN154 RDR133:RDR154 QTV133:QTV154 QJZ133:QJZ154 QAD133:QAD154 PQH133:PQH154 PGL133:PGL154 OWP133:OWP154 OMT133:OMT154 OCX133:OCX154 NTB133:NTB154 NJF133:NJF154 MZJ133:MZJ154 MPN133:MPN154 MFR133:MFR154 LVV133:LVV154 LLZ133:LLZ154 LCD133:LCD154 KSH133:KSH154 KIL133:KIL154 JYP133:JYP154 JOT133:JOT154 JEX133:JEX154 IVB133:IVB154 ILF133:ILF154 IBJ133:IBJ154 HRN133:HRN154 HHR133:HHR154 GXV133:GXV154 GNZ133:GNZ154 GED133:GED154 FUH133:FUH154 FKL133:FKL154 FAP133:FAP154 EQT133:EQT154 EGX133:EGX154 DXB133:DXB154 DNF133:DNF154 DDJ133:DDJ154 CTN133:CTN154 CJR133:CJR154 BZV133:BZV154 BPZ133:BPZ154 BGD133:BGD154 AWH133:AWH154 AML133:AML154 ACP133:ACP154 ST133:ST154 IX133:IX154 B138:B154">
      <formula1>мва</formula1>
    </dataValidation>
    <dataValidation type="list" allowBlank="1" showInputMessage="1" showErrorMessage="1" sqref="B133:B137 IX155:IX158 ST155:ST158 ACP155:ACP158 AML155:AML158 AWH155:AWH158 BGD155:BGD158 BPZ155:BPZ158 BZV155:BZV158 CJR155:CJR158 CTN155:CTN158 DDJ155:DDJ158 DNF155:DNF158 DXB155:DXB158 EGX155:EGX158 EQT155:EQT158 FAP155:FAP158 FKL155:FKL158 FUH155:FUH158 GED155:GED158 GNZ155:GNZ158 GXV155:GXV158 HHR155:HHR158 HRN155:HRN158 IBJ155:IBJ158 ILF155:ILF158 IVB155:IVB158 JEX155:JEX158 JOT155:JOT158 JYP155:JYP158 KIL155:KIL158 KSH155:KSH158 LCD155:LCD158 LLZ155:LLZ158 LVV155:LVV158 MFR155:MFR158 MPN155:MPN158 MZJ155:MZJ158 NJF155:NJF158 NTB155:NTB158 OCX155:OCX158 OMT155:OMT158 OWP155:OWP158 PGL155:PGL158 PQH155:PQH158 QAD155:QAD158 QJZ155:QJZ158 QTV155:QTV158 RDR155:RDR158 RNN155:RNN158 RXJ155:RXJ158 SHF155:SHF158 SRB155:SRB158 TAX155:TAX158 TKT155:TKT158 TUP155:TUP158 UEL155:UEL158 UOH155:UOH158 UYD155:UYD158 VHZ155:VHZ158 VRV155:VRV158 WBR155:WBR158 WLN155:WLN158 WVJ155:WVJ158">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34:Q234 D23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E38" sqref="E38"/>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37"/>
      <c r="H1" s="2"/>
      <c r="I1" s="2"/>
      <c r="J1" s="2"/>
    </row>
    <row r="2" spans="1:24" ht="25.5" customHeight="1"/>
    <row r="3" spans="1:24" ht="36">
      <c r="B3" s="915" t="str">
        <f>+"Панель показателей: "&amp;" "&amp;+IF('Ввод данных'!B4="Выберите","",'Ввод данных'!B4&amp;" - ")&amp;+IF('Ввод данных'!F6="Выберите","",'Ввод данных'!F6)</f>
        <v>Панель показателей:  Кыргызстан - ВИЧ/СПИД/ТБ</v>
      </c>
      <c r="C3" s="915"/>
      <c r="D3" s="915"/>
      <c r="E3" s="915"/>
      <c r="F3" s="915"/>
      <c r="G3" s="915"/>
      <c r="H3" s="915"/>
      <c r="I3" s="915"/>
      <c r="J3" s="91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33" t="s">
        <v>92</v>
      </c>
      <c r="B6" s="917" t="str">
        <f>+IF('Ввод данных'!B4="Выберите","",'Ввод данных'!B4)</f>
        <v>Кыргызстан</v>
      </c>
      <c r="C6" s="917"/>
      <c r="D6" s="921" t="s">
        <v>317</v>
      </c>
      <c r="E6" s="921"/>
      <c r="F6" s="922" t="str">
        <f>+'Ввод данных'!F4</f>
        <v>«Эффективный контроль за туберкулезом и ВИЧ-инфекцией в Кыргызской Республике»</v>
      </c>
      <c r="G6" s="922"/>
      <c r="H6" s="922"/>
      <c r="I6" s="922"/>
      <c r="J6" s="922"/>
      <c r="K6" s="49"/>
      <c r="L6" s="80"/>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15.75">
      <c r="A9" s="307" t="s">
        <v>249</v>
      </c>
      <c r="B9" s="348" t="str">
        <f>+IF('Ввод данных'!F6="Please Select","",'Ввод данных'!F6)</f>
        <v>ВИЧ/СПИД/ТБ</v>
      </c>
      <c r="C9" s="200" t="s">
        <v>335</v>
      </c>
      <c r="D9" s="285" t="str">
        <f>+'Ввод данных'!B6</f>
        <v>KGZ-C-UNDP</v>
      </c>
      <c r="E9" s="919" t="s">
        <v>274</v>
      </c>
      <c r="F9" s="919"/>
      <c r="G9" s="286">
        <f>+IF(ISBLANK('Ввод данных'!B10),"",'Ввод данных'!B10)</f>
        <v>42552</v>
      </c>
      <c r="H9" s="366" t="s">
        <v>4</v>
      </c>
      <c r="I9" s="918">
        <f>+IF(ISBLANK('Ввод данных'!H6),"",'Ввод данных'!H6)</f>
        <v>24341578.491344798</v>
      </c>
      <c r="J9" s="918"/>
      <c r="K9" s="49"/>
      <c r="L9" s="49"/>
      <c r="M9" s="49"/>
      <c r="N9" s="49"/>
      <c r="O9" s="51"/>
      <c r="P9" s="50"/>
      <c r="Q9" s="51"/>
      <c r="R9" s="52"/>
      <c r="S9" s="17"/>
      <c r="T9" s="11"/>
      <c r="U9" s="11"/>
      <c r="V9" s="10"/>
      <c r="W9" s="10"/>
      <c r="X9" s="10"/>
    </row>
    <row r="10" spans="1:24" ht="15.75" customHeight="1">
      <c r="A10" s="307" t="s">
        <v>250</v>
      </c>
      <c r="B10" s="349">
        <f>+IF('Ввод данных'!F8="Please Select","",'Ввод данных'!F8)</f>
        <v>0</v>
      </c>
      <c r="C10" s="200" t="s">
        <v>256</v>
      </c>
      <c r="D10" s="347">
        <f>+IF('Ввод данных'!H8="Please Select","",'Ввод данных'!H8)</f>
        <v>0</v>
      </c>
      <c r="E10" s="923" t="s">
        <v>315</v>
      </c>
      <c r="F10" s="924"/>
      <c r="G10" s="916" t="str">
        <f>+'Ввод данных'!B8</f>
        <v>ПРООН</v>
      </c>
      <c r="H10" s="916"/>
      <c r="I10" s="916"/>
      <c r="J10" s="916"/>
      <c r="K10" s="53"/>
      <c r="L10" s="53"/>
      <c r="M10" s="49"/>
      <c r="N10" s="53"/>
      <c r="O10" s="51"/>
      <c r="P10" s="50"/>
      <c r="Q10" s="11"/>
      <c r="R10" s="52"/>
      <c r="S10" s="17"/>
      <c r="T10" s="11"/>
      <c r="U10" s="11"/>
    </row>
    <row r="11" spans="1:24" ht="31.5" customHeight="1">
      <c r="A11" s="307" t="s">
        <v>336</v>
      </c>
      <c r="B11" s="287" t="str">
        <f>+'Ввод данных'!B16</f>
        <v>P4</v>
      </c>
      <c r="C11" s="279" t="s">
        <v>272</v>
      </c>
      <c r="D11" s="288">
        <f>+IF(ISBLANK('Ввод данных'!D16),"",'Ввод данных'!D16)</f>
        <v>43101</v>
      </c>
      <c r="E11" s="919" t="s">
        <v>273</v>
      </c>
      <c r="F11" s="919"/>
      <c r="G11" s="288">
        <f>+IF(ISBLANK('Ввод данных'!F16),"",'Ввод данных'!F16)</f>
        <v>43281</v>
      </c>
      <c r="H11" s="365" t="s">
        <v>395</v>
      </c>
      <c r="I11" s="925" t="str">
        <f>+IF('Ввод данных'!B12="Пожалуйста Выберите","",'Ввод данных'!B12)</f>
        <v>A1</v>
      </c>
      <c r="J11" s="925"/>
      <c r="K11" s="236"/>
      <c r="L11" s="53"/>
      <c r="M11" s="49"/>
      <c r="N11" s="53"/>
      <c r="O11" s="53"/>
      <c r="P11" s="50"/>
      <c r="Q11" s="11"/>
      <c r="R11" s="52"/>
      <c r="S11" s="17"/>
      <c r="T11" s="12"/>
      <c r="U11" s="11"/>
    </row>
    <row r="12" spans="1:24" ht="31.5" customHeight="1">
      <c r="A12" s="351" t="s">
        <v>318</v>
      </c>
      <c r="B12" s="916" t="str">
        <f>+IF('Ввод данных'!F10="Пожалуйста Выберите","",'Ввод данных'!F10)</f>
        <v>UNOPS</v>
      </c>
      <c r="C12" s="916"/>
      <c r="D12" s="916"/>
      <c r="E12" s="920" t="s">
        <v>394</v>
      </c>
      <c r="F12" s="920"/>
      <c r="G12" s="916" t="str">
        <f>+'Ввод данных'!F12</f>
        <v>Арташес Мирзоян</v>
      </c>
      <c r="H12" s="916"/>
      <c r="I12" s="916"/>
      <c r="J12" s="916"/>
      <c r="K12" s="53"/>
      <c r="L12" s="53"/>
      <c r="M12" s="49"/>
      <c r="N12" s="53"/>
      <c r="O12" s="17"/>
      <c r="P12" s="50"/>
      <c r="Q12" s="11"/>
      <c r="R12" s="52"/>
      <c r="S12" s="17"/>
      <c r="T12" s="11"/>
      <c r="U12" s="54"/>
      <c r="V12" s="11"/>
      <c r="W12" s="12"/>
      <c r="X12" s="11"/>
    </row>
    <row r="13" spans="1:24" ht="27.75" customHeight="1">
      <c r="A13" s="350" t="s">
        <v>393</v>
      </c>
      <c r="B13" s="916" t="str">
        <f>+'Ввод данных'!C18</f>
        <v>ПРООН</v>
      </c>
      <c r="C13" s="916"/>
      <c r="D13" s="916"/>
      <c r="E13" s="920" t="s">
        <v>275</v>
      </c>
      <c r="F13" s="920"/>
      <c r="G13" s="926">
        <f>+IF(ISBLANK('Ввод данных'!I16),"",'Ввод данных'!I16)</f>
        <v>43329</v>
      </c>
      <c r="H13" s="927"/>
      <c r="I13" s="927"/>
      <c r="J13" s="927"/>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9"/>
      <c r="D16" s="16"/>
      <c r="E16" s="30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82" priority="1" stopIfTrue="1" operator="equal">
      <formula>"C"</formula>
    </cfRule>
    <cfRule type="cellIs" dxfId="81" priority="2" stopIfTrue="1" operator="equal">
      <formula>"B2"</formula>
    </cfRule>
    <cfRule type="cellIs" dxfId="8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25" zoomScale="150" zoomScaleNormal="150" workbookViewId="0">
      <selection activeCell="K10" sqref="K10"/>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425781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32" t="str">
        <f>+"Панель показателей:  "&amp;"  "&amp;IF(+'Ввод данных'!B4="Выберите","",'Ввод данных'!B4&amp;" - ")&amp;IF('Ввод данных'!F6="Выберите","",'Ввод данных'!F6)</f>
        <v>Панель показателей:    Кыргызстан - ВИЧ/СПИД/ТБ</v>
      </c>
      <c r="C2" s="932"/>
      <c r="D2" s="932"/>
      <c r="E2" s="932"/>
      <c r="F2" s="932"/>
      <c r="G2" s="932"/>
      <c r="H2" s="932"/>
      <c r="I2" s="932"/>
      <c r="J2" s="932"/>
      <c r="K2" s="932"/>
      <c r="L2" s="932"/>
      <c r="M2" s="932"/>
      <c r="N2" s="1"/>
      <c r="O2" s="1"/>
      <c r="P2" s="1"/>
      <c r="Q2" s="1"/>
    </row>
    <row r="3" spans="2:17">
      <c r="B3" s="352">
        <f>+IF('Ввод данных'!F8="Выберите","",'Ввод данных'!F8)</f>
        <v>0</v>
      </c>
      <c r="C3" s="937"/>
      <c r="D3" s="937"/>
      <c r="E3" s="936"/>
      <c r="F3" s="936"/>
      <c r="G3" s="936"/>
      <c r="H3" s="936"/>
      <c r="I3" s="936"/>
      <c r="J3" s="936"/>
      <c r="K3" s="934" t="str">
        <f>+'Ввод данных'!A16</f>
        <v>Отчетный период</v>
      </c>
      <c r="L3" s="934"/>
      <c r="M3" s="180" t="str">
        <f>+'Ввод данных'!B16</f>
        <v>P4</v>
      </c>
      <c r="N3" s="81"/>
    </row>
    <row r="4" spans="2:17" ht="23.25">
      <c r="B4" s="367" t="str">
        <f>+'Ввод данных'!A12</f>
        <v>Последняя оценка:</v>
      </c>
      <c r="C4" s="938" t="str">
        <f>+IF('Ввод данных'!B12="Выберите","",'Ввод данных'!B12)</f>
        <v>A1</v>
      </c>
      <c r="D4" s="938"/>
      <c r="E4" s="936" t="str">
        <f>+'Ввод данных'!B8</f>
        <v>ПРООН</v>
      </c>
      <c r="F4" s="936"/>
      <c r="G4" s="936"/>
      <c r="H4" s="936"/>
      <c r="I4" s="936"/>
      <c r="J4" s="936"/>
      <c r="K4" s="934" t="str">
        <f>+'Ввод данных'!C16</f>
        <v>с:</v>
      </c>
      <c r="L4" s="935"/>
      <c r="M4" s="182">
        <f>+IF(ISBLANK('Ввод данных'!D16),"",'Ввод данных'!D16)</f>
        <v>43101</v>
      </c>
    </row>
    <row r="5" spans="2:17" ht="18.75" customHeight="1">
      <c r="B5" s="117"/>
      <c r="C5" s="117"/>
      <c r="D5" s="933" t="str">
        <f>+'Ввод данных'!F4</f>
        <v>«Эффективный контроль за туберкулезом и ВИЧ-инфекцией в Кыргызской Республике»</v>
      </c>
      <c r="E5" s="933"/>
      <c r="F5" s="933"/>
      <c r="G5" s="933"/>
      <c r="H5" s="933"/>
      <c r="I5" s="933"/>
      <c r="J5" s="933"/>
      <c r="K5" s="933"/>
      <c r="L5" s="117" t="str">
        <f>+'Ввод данных'!E16</f>
        <v>до:</v>
      </c>
      <c r="M5" s="182">
        <f>+IF(ISBLANK('Ввод данных'!F16),"",'Ввод данных'!F16)</f>
        <v>43281</v>
      </c>
    </row>
    <row r="6" spans="2:17" ht="18.75">
      <c r="B6" s="121"/>
      <c r="C6" s="117"/>
      <c r="D6" s="118"/>
      <c r="E6" s="939" t="s">
        <v>381</v>
      </c>
      <c r="F6" s="939"/>
      <c r="G6" s="939"/>
      <c r="H6" s="939"/>
      <c r="I6" s="939"/>
      <c r="J6" s="939"/>
      <c r="K6" s="3"/>
      <c r="L6" s="3"/>
      <c r="M6" s="3"/>
    </row>
    <row r="7" spans="2:17" ht="10.5" customHeight="1">
      <c r="B7" s="122"/>
      <c r="C7" s="123"/>
      <c r="D7" s="124"/>
      <c r="E7" s="125"/>
      <c r="F7" s="125"/>
      <c r="G7" s="126"/>
      <c r="H7" s="126"/>
      <c r="I7" s="126"/>
      <c r="J7" s="126"/>
      <c r="K7" s="120"/>
      <c r="L7" s="120"/>
      <c r="M7" s="119"/>
    </row>
    <row r="8" spans="2:17">
      <c r="B8" s="185" t="str">
        <f>+'Ввод данных'!A27&amp; " - в ("&amp;'Ввод данных'!C26&amp;")  "&amp;+K3&amp;" "&amp;+M3</f>
        <v>F1: Бюджет и выплаты Глобальным фондом - в ($)  Отчетный период P4</v>
      </c>
      <c r="C8" s="127"/>
      <c r="D8" s="2"/>
      <c r="E8" s="2"/>
      <c r="F8" s="2"/>
      <c r="J8" s="185" t="str">
        <f>+'Ввод данных'!A58&amp; " - в ("&amp;'Ввод данных'!C26&amp;")         "&amp;+K3&amp;" "&amp;+M3</f>
        <v>F3: Выплаты и расходы - в ($)         Отчетный период P4</v>
      </c>
      <c r="K8" s="3"/>
      <c r="L8" s="3"/>
      <c r="M8" s="3"/>
    </row>
    <row r="9" spans="2:17" ht="21.75" customHeight="1">
      <c r="B9" s="290" t="s">
        <v>435</v>
      </c>
      <c r="C9" s="945" t="s">
        <v>772</v>
      </c>
      <c r="D9" s="946"/>
      <c r="E9" s="946"/>
      <c r="F9" s="947"/>
      <c r="J9" s="291" t="s">
        <v>435</v>
      </c>
      <c r="K9" s="948" t="s">
        <v>786</v>
      </c>
      <c r="L9" s="946"/>
      <c r="M9" s="947"/>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86" t="str">
        <f>+'Ввод данных'!A36&amp; " - в ("&amp;'Ввод данных'!C26&amp;")  "&amp;+K3&amp;" "&amp;+M3</f>
        <v>F2: Бюджет и фактические расходы согласно задачам гранта - в ($)  Отчетный период P4</v>
      </c>
      <c r="C22" s="2"/>
      <c r="D22" s="2"/>
      <c r="E22" s="2"/>
      <c r="F22" s="2"/>
      <c r="J22" s="186" t="str">
        <f>+'Ввод данных'!A67&amp;"      "&amp;+K3&amp;" "&amp;+M3</f>
        <v>F4: Последний отчетный и платежный цикл ОР      Отчетный период P4</v>
      </c>
      <c r="L22" s="3"/>
      <c r="M22" s="3"/>
    </row>
    <row r="23" spans="1:13" ht="25.5" customHeight="1">
      <c r="B23" s="290" t="s">
        <v>435</v>
      </c>
      <c r="C23" s="948" t="s">
        <v>488</v>
      </c>
      <c r="D23" s="946"/>
      <c r="E23" s="946"/>
      <c r="F23" s="947"/>
      <c r="G23" s="304"/>
      <c r="H23" s="304"/>
      <c r="I23" s="304"/>
      <c r="J23" s="290" t="s">
        <v>435</v>
      </c>
      <c r="K23" s="948" t="s">
        <v>771</v>
      </c>
      <c r="L23" s="949"/>
      <c r="M23" s="950"/>
    </row>
    <row r="24" spans="1:13" ht="15.75" thickBot="1">
      <c r="B24" s="194"/>
      <c r="C24" s="194"/>
      <c r="D24" s="194"/>
      <c r="E24" s="194"/>
      <c r="F24" s="194"/>
      <c r="G24" s="194"/>
      <c r="H24" s="194"/>
      <c r="I24" s="194"/>
      <c r="J24" s="195"/>
      <c r="K24" s="195"/>
      <c r="L24" s="194"/>
      <c r="M24" s="194"/>
    </row>
    <row r="25" spans="1:13" ht="29.25" customHeight="1" thickBot="1">
      <c r="B25" s="3"/>
      <c r="C25" s="3"/>
      <c r="D25" s="3"/>
      <c r="E25" s="3"/>
      <c r="F25" s="3"/>
      <c r="G25" s="277"/>
      <c r="H25" s="277"/>
      <c r="I25" s="277"/>
      <c r="J25" s="940" t="s">
        <v>364</v>
      </c>
      <c r="K25" s="941"/>
      <c r="L25" s="941"/>
      <c r="M25" s="942"/>
    </row>
    <row r="26" spans="1:13" ht="24.75">
      <c r="B26" s="3"/>
      <c r="C26" s="3"/>
      <c r="D26" s="3"/>
      <c r="E26" s="3"/>
      <c r="F26" s="3"/>
      <c r="G26" s="252"/>
      <c r="H26" s="252"/>
      <c r="I26" s="252"/>
      <c r="J26" s="943"/>
      <c r="K26" s="944"/>
      <c r="L26" s="262" t="s">
        <v>356</v>
      </c>
      <c r="M26" s="263" t="s">
        <v>357</v>
      </c>
    </row>
    <row r="27" spans="1:13" ht="23.25" customHeight="1">
      <c r="B27" s="3"/>
      <c r="C27" s="3"/>
      <c r="D27" s="3"/>
      <c r="E27" s="3"/>
      <c r="F27" s="3"/>
      <c r="G27" s="278"/>
      <c r="H27" s="278"/>
      <c r="I27" s="278"/>
      <c r="J27" s="928" t="str">
        <f>'Ввод данных'!A71</f>
        <v xml:space="preserve">Сколько дней понадобилось для подачи ИОР/ЗПС в офис МАФ </v>
      </c>
      <c r="K27" s="929"/>
      <c r="L27" s="264">
        <f>+'Ввод данных'!C71</f>
        <v>60</v>
      </c>
      <c r="M27" s="261">
        <f>+'Ввод данных'!D71</f>
        <v>60</v>
      </c>
    </row>
    <row r="28" spans="1:13" ht="21" customHeight="1">
      <c r="B28" s="3"/>
      <c r="C28" s="3"/>
      <c r="D28" s="3"/>
      <c r="E28" s="3"/>
      <c r="F28" s="3"/>
      <c r="G28" s="278"/>
      <c r="H28" s="278"/>
      <c r="I28" s="278"/>
      <c r="J28" s="928" t="str">
        <f>'Ввод данных'!A72</f>
        <v xml:space="preserve">Спустя сколько дней ОР получил платеж </v>
      </c>
      <c r="K28" s="929"/>
      <c r="L28" s="264">
        <f>+'Ввод данных'!C72</f>
        <v>60</v>
      </c>
      <c r="M28" s="261" t="str">
        <f>+'Ввод данных'!D72</f>
        <v>н/п</v>
      </c>
    </row>
    <row r="29" spans="1:13" ht="21" customHeight="1" thickBot="1">
      <c r="B29" s="3"/>
      <c r="C29" s="3"/>
      <c r="D29" s="3"/>
      <c r="E29" s="3"/>
      <c r="F29" s="3"/>
      <c r="G29" s="278"/>
      <c r="H29" s="278"/>
      <c r="I29" s="278"/>
      <c r="J29" s="930" t="str">
        <f>'Ввод данных'!A73</f>
        <v>Спустя сколько дней суб-реципиенты получили платежи</v>
      </c>
      <c r="K29" s="931"/>
      <c r="L29" s="265">
        <f>+'Ввод данных'!C73</f>
        <v>10</v>
      </c>
      <c r="M29" s="266" t="str">
        <f>+'Ввод данных'!D73</f>
        <v>н/п</v>
      </c>
    </row>
    <row r="30" spans="1:13">
      <c r="B30" s="3"/>
      <c r="C30" s="3"/>
      <c r="D30" s="3"/>
      <c r="E30" s="3"/>
      <c r="F30" s="3"/>
      <c r="G30" s="3"/>
      <c r="H30" s="3"/>
      <c r="I30" s="3"/>
      <c r="J30" s="3"/>
      <c r="K30" s="3"/>
      <c r="L30" s="3"/>
      <c r="M30" s="3"/>
    </row>
    <row r="31" spans="1:13">
      <c r="B31" s="3"/>
      <c r="C31" s="15"/>
      <c r="D31" s="210"/>
      <c r="E31" s="3"/>
      <c r="F31" s="3"/>
      <c r="G31" s="3"/>
      <c r="H31" s="3"/>
      <c r="I31" s="3"/>
      <c r="J31" s="3"/>
      <c r="K31" s="3"/>
      <c r="L31" s="3"/>
      <c r="M31" s="3"/>
    </row>
    <row r="32" spans="1:13">
      <c r="B32" s="3"/>
      <c r="C32" s="15"/>
      <c r="D32" s="210"/>
      <c r="E32" s="3"/>
      <c r="F32" s="3"/>
      <c r="G32" s="3"/>
      <c r="H32" s="3"/>
      <c r="I32" s="3"/>
      <c r="J32" s="3"/>
      <c r="K32" s="3"/>
      <c r="L32" s="3"/>
      <c r="M32" s="3"/>
    </row>
    <row r="34" spans="2:5">
      <c r="B34" s="386" t="s">
        <v>406</v>
      </c>
      <c r="E34" s="19"/>
    </row>
    <row r="35" spans="2:5">
      <c r="B35" s="385"/>
    </row>
    <row r="36" spans="2:5">
      <c r="B36" s="386" t="s">
        <v>407</v>
      </c>
    </row>
  </sheetData>
  <sheetProtection password="CFC9" sheet="1"/>
  <mergeCells count="18">
    <mergeCell ref="C23:F23"/>
    <mergeCell ref="K9:M9"/>
    <mergeCell ref="J28:K28"/>
    <mergeCell ref="J29:K29"/>
    <mergeCell ref="B2:M2"/>
    <mergeCell ref="D5:K5"/>
    <mergeCell ref="K4:L4"/>
    <mergeCell ref="K3:L3"/>
    <mergeCell ref="E3:J3"/>
    <mergeCell ref="C3:D3"/>
    <mergeCell ref="C4:D4"/>
    <mergeCell ref="E4:J4"/>
    <mergeCell ref="E6:J6"/>
    <mergeCell ref="J25:M25"/>
    <mergeCell ref="J26:K26"/>
    <mergeCell ref="J27:K27"/>
    <mergeCell ref="C9:F9"/>
    <mergeCell ref="K23:M23"/>
  </mergeCells>
  <phoneticPr fontId="30" type="noConversion"/>
  <conditionalFormatting sqref="C4:D4">
    <cfRule type="cellIs" dxfId="79" priority="3" stopIfTrue="1" operator="equal">
      <formula>"C"</formula>
    </cfRule>
    <cfRule type="cellIs" dxfId="78" priority="4" stopIfTrue="1" operator="equal">
      <formula>"B2"</formula>
    </cfRule>
    <cfRule type="cellIs" dxfId="77" priority="5" stopIfTrue="1" operator="equal">
      <formula>"B1"</formula>
    </cfRule>
  </conditionalFormatting>
  <conditionalFormatting sqref="M27:M29">
    <cfRule type="expression" dxfId="76" priority="1" stopIfTrue="1">
      <formula>$M27&gt;$L27</formula>
    </cfRule>
    <cfRule type="expression" dxfId="75"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71"/>
  <sheetViews>
    <sheetView showGridLines="0" topLeftCell="A40" zoomScaleNormal="100" workbookViewId="0">
      <selection activeCell="C19" sqref="C19:F19"/>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22.85546875" customWidth="1"/>
    <col min="11" max="11" width="13.7109375" customWidth="1"/>
    <col min="12" max="12" width="13.5703125" customWidth="1"/>
    <col min="13" max="13" width="14.140625" customWidth="1"/>
  </cols>
  <sheetData>
    <row r="1" spans="1:17" ht="28.5" customHeight="1">
      <c r="C1" s="206"/>
      <c r="E1" s="207"/>
    </row>
    <row r="2" spans="1:17" ht="27.75" customHeight="1">
      <c r="B2" s="932" t="str">
        <f>+"Панель показателей:  "&amp;"  "&amp;IF(+'Ввод данных'!B4="Выберите","",'Ввод данных'!B4&amp;" - ")&amp;IF('Ввод данных'!F6="Выберите","",'Ввод данных'!F6)</f>
        <v>Панель показателей:    Кыргызстан - ВИЧ/СПИД/ТБ</v>
      </c>
      <c r="C2" s="932"/>
      <c r="D2" s="932"/>
      <c r="E2" s="932"/>
      <c r="F2" s="932"/>
      <c r="G2" s="932"/>
      <c r="H2" s="932"/>
      <c r="I2" s="932"/>
      <c r="J2" s="932"/>
      <c r="K2" s="932"/>
      <c r="L2" s="932"/>
      <c r="M2" s="932"/>
      <c r="N2" s="25"/>
      <c r="O2" s="25"/>
      <c r="P2" s="25"/>
      <c r="Q2" s="25"/>
    </row>
    <row r="3" spans="1:17" ht="22.5" customHeight="1">
      <c r="A3" s="357"/>
      <c r="B3" s="358">
        <f>+IF('Ввод данных'!F8="Пожалуйста выберите","",'Ввод данных'!F8)</f>
        <v>0</v>
      </c>
      <c r="C3" s="968">
        <f>+IF('Ввод данных'!H8="Пожалуйста выберите","",'Ввод данных'!H8)</f>
        <v>0</v>
      </c>
      <c r="D3" s="968"/>
      <c r="E3" s="964"/>
      <c r="F3" s="964"/>
      <c r="G3" s="964"/>
      <c r="H3" s="964"/>
      <c r="I3" s="964"/>
      <c r="J3" s="964"/>
      <c r="K3" s="965" t="str">
        <f>+'Ввод данных'!A16</f>
        <v>Отчетный период</v>
      </c>
      <c r="L3" s="965"/>
      <c r="M3" s="180" t="str">
        <f>+'Ввод данных'!B16</f>
        <v>P4</v>
      </c>
    </row>
    <row r="4" spans="1:17" ht="25.5" customHeight="1">
      <c r="A4" s="357"/>
      <c r="B4" s="370" t="str">
        <f>+'Ввод данных'!A12</f>
        <v>Последняя оценка:</v>
      </c>
      <c r="C4" s="963" t="str">
        <f>+IF('Ввод данных'!B12="Выберите","",'Ввод данных'!B12)</f>
        <v>A1</v>
      </c>
      <c r="D4" s="963"/>
      <c r="E4" s="964" t="str">
        <f>+'Ввод данных'!B8</f>
        <v>ПРООН</v>
      </c>
      <c r="F4" s="964"/>
      <c r="G4" s="964"/>
      <c r="H4" s="964"/>
      <c r="I4" s="964"/>
      <c r="J4" s="964"/>
      <c r="K4" s="965" t="str">
        <f>+'Ввод данных'!C16</f>
        <v>с:</v>
      </c>
      <c r="L4" s="965"/>
      <c r="M4" s="182">
        <f>+IF(ISBLANK('Ввод данных'!D16),"",'Ввод данных'!D16)</f>
        <v>43101</v>
      </c>
    </row>
    <row r="5" spans="1:17" ht="18.75" customHeight="1">
      <c r="B5" s="23"/>
      <c r="C5" s="23"/>
      <c r="D5" s="964" t="str">
        <f>+'Ввод данных'!F4</f>
        <v>«Эффективный контроль за туберкулезом и ВИЧ-инфекцией в Кыргызской Республике»</v>
      </c>
      <c r="E5" s="964"/>
      <c r="F5" s="964"/>
      <c r="G5" s="964"/>
      <c r="H5" s="964"/>
      <c r="I5" s="964"/>
      <c r="J5" s="964"/>
      <c r="K5" s="964"/>
      <c r="L5" s="23" t="str">
        <f>+'Ввод данных'!E16</f>
        <v>до:</v>
      </c>
      <c r="M5" s="182">
        <f>+IF(ISBLANK('Ввод данных'!F16),"",'Ввод данных'!F16)</f>
        <v>43281</v>
      </c>
    </row>
    <row r="6" spans="1:17" ht="18.75">
      <c r="B6" s="22"/>
      <c r="C6" s="23"/>
      <c r="D6" s="24"/>
      <c r="E6" s="361" t="s">
        <v>392</v>
      </c>
      <c r="F6" s="361"/>
      <c r="G6" s="361"/>
      <c r="H6" s="361"/>
      <c r="I6" s="361"/>
      <c r="J6" s="361"/>
    </row>
    <row r="7" spans="1:17" ht="22.5" customHeight="1" thickBot="1">
      <c r="B7" s="966" t="str">
        <f>+'Ввод данных'!A78&amp;" "&amp;+K3&amp;"   "&amp;+M3</f>
        <v>M1: Статус Предварительных условий (ПУ) и Действий с установленным сроком исполнения (ДУС) Отчетный период   P4</v>
      </c>
      <c r="C7" s="966"/>
      <c r="D7" s="966"/>
      <c r="E7" s="966"/>
      <c r="F7" s="966"/>
      <c r="G7" s="360"/>
      <c r="I7" s="305" t="str">
        <f>+'Ввод данных'!A87&amp;"                                       "&amp;+K3&amp;"  "&amp;+M3</f>
        <v>M2: Статус ключевых руководящих должностей в структуре ОР                                       Отчетный период  P4</v>
      </c>
    </row>
    <row r="8" spans="1:17" ht="24.75" customHeight="1" thickBot="1">
      <c r="B8" s="581" t="s">
        <v>435</v>
      </c>
      <c r="C8" s="951" t="s">
        <v>707</v>
      </c>
      <c r="D8" s="951"/>
      <c r="E8" s="951"/>
      <c r="F8" s="952"/>
      <c r="G8" s="582"/>
      <c r="H8" s="583"/>
      <c r="I8" s="581" t="s">
        <v>435</v>
      </c>
      <c r="J8" s="951" t="s">
        <v>708</v>
      </c>
      <c r="K8" s="951"/>
      <c r="L8" s="951"/>
      <c r="M8" s="952"/>
    </row>
    <row r="9" spans="1:17">
      <c r="B9" s="19"/>
      <c r="C9" s="19"/>
      <c r="D9" s="19"/>
      <c r="E9" s="19"/>
      <c r="F9" s="19"/>
      <c r="G9" s="19"/>
      <c r="H9" s="19"/>
      <c r="I9" s="19"/>
    </row>
    <row r="10" spans="1:17">
      <c r="A10" s="46"/>
      <c r="B10" s="19"/>
      <c r="C10" s="19"/>
      <c r="D10" s="967"/>
      <c r="E10" s="737"/>
      <c r="F10" s="737"/>
      <c r="G10" s="343"/>
      <c r="H10" s="343"/>
      <c r="I10" s="19"/>
      <c r="O10" s="48"/>
      <c r="P10" s="48"/>
      <c r="Q10" s="47"/>
    </row>
    <row r="11" spans="1:17">
      <c r="B11" s="19"/>
      <c r="C11" s="27"/>
      <c r="D11" s="967"/>
      <c r="E11" s="27"/>
      <c r="F11" s="27"/>
      <c r="G11" s="27"/>
      <c r="H11" s="27"/>
      <c r="I11" s="27"/>
      <c r="O11" s="19"/>
      <c r="P11" s="19"/>
    </row>
    <row r="12" spans="1:17">
      <c r="B12" s="19"/>
      <c r="C12" s="574"/>
      <c r="D12" s="574"/>
      <c r="E12" s="574"/>
      <c r="F12" s="574"/>
      <c r="G12" s="574"/>
      <c r="H12" s="574"/>
      <c r="I12" s="574"/>
      <c r="O12" s="19"/>
      <c r="P12" s="19"/>
    </row>
    <row r="13" spans="1:17">
      <c r="B13" s="19"/>
      <c r="C13" s="574"/>
      <c r="D13" s="574"/>
      <c r="E13" s="574"/>
      <c r="F13" s="574"/>
      <c r="G13" s="574"/>
      <c r="H13" s="574"/>
      <c r="I13" s="574"/>
      <c r="O13" s="19"/>
      <c r="P13" s="19"/>
    </row>
    <row r="14" spans="1:17">
      <c r="B14" s="19"/>
      <c r="C14" s="574"/>
      <c r="D14" s="574"/>
      <c r="E14" s="574"/>
      <c r="F14" s="574"/>
      <c r="G14" s="574"/>
      <c r="H14" s="574"/>
      <c r="I14" s="574"/>
      <c r="O14" s="19"/>
      <c r="P14" s="19"/>
    </row>
    <row r="15" spans="1:17">
      <c r="B15" s="27"/>
      <c r="C15" s="77"/>
      <c r="D15" s="78"/>
      <c r="E15" s="78"/>
      <c r="F15" s="78"/>
      <c r="G15" s="78"/>
      <c r="H15" s="78"/>
      <c r="I15" s="79"/>
    </row>
    <row r="16" spans="1:17">
      <c r="B16" s="27"/>
      <c r="C16" s="77"/>
      <c r="D16" s="78"/>
      <c r="E16" s="78"/>
      <c r="F16" s="78"/>
      <c r="G16" s="78"/>
      <c r="H16" s="78"/>
      <c r="I16" s="79"/>
    </row>
    <row r="17" spans="2:14" ht="40.5" customHeight="1"/>
    <row r="18" spans="2:14" ht="27.75" customHeight="1" thickBot="1">
      <c r="B18" s="305" t="str">
        <f>+'Ввод данных'!A93&amp;"                                                                                                  "&amp;+K3&amp;" "&amp;+M3</f>
        <v>M3: Контрактные соглашения (СР)                                                                                                   Отчетный период P4</v>
      </c>
      <c r="I18" s="305" t="str">
        <f>+'Ввод данных'!A99&amp;"                                       "&amp;+K3&amp;" "&amp;+M3</f>
        <v>M4: Количество полных отчетов, полученных к установленному сроку                                       Отчетный период P4</v>
      </c>
    </row>
    <row r="19" spans="2:14" ht="84" customHeight="1" thickBot="1">
      <c r="B19" s="580" t="s">
        <v>435</v>
      </c>
      <c r="C19" s="951" t="s">
        <v>709</v>
      </c>
      <c r="D19" s="951"/>
      <c r="E19" s="951"/>
      <c r="F19" s="952"/>
      <c r="I19" s="580" t="s">
        <v>611</v>
      </c>
      <c r="J19" s="951" t="s">
        <v>710</v>
      </c>
      <c r="K19" s="951"/>
      <c r="L19" s="951"/>
      <c r="M19" s="952"/>
    </row>
    <row r="20" spans="2:14" ht="27.75" customHeight="1">
      <c r="B20" s="305"/>
    </row>
    <row r="21" spans="2:14" ht="27.75" customHeight="1">
      <c r="B21" s="305"/>
      <c r="I21" s="305"/>
    </row>
    <row r="22" spans="2:14" ht="27.75" customHeight="1">
      <c r="B22" s="305"/>
      <c r="I22" s="305"/>
    </row>
    <row r="23" spans="2:14" ht="27.75" customHeight="1">
      <c r="B23" s="305"/>
    </row>
    <row r="24" spans="2:14">
      <c r="B24" s="28"/>
      <c r="I24" s="29"/>
    </row>
    <row r="25" spans="2:14">
      <c r="N25" s="81"/>
    </row>
    <row r="28" spans="2:14" ht="24.75" customHeight="1">
      <c r="B28" s="953"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8" s="953"/>
      <c r="D28" s="953"/>
      <c r="E28" s="953"/>
      <c r="F28" s="953"/>
      <c r="I28" s="954" t="str">
        <f>+'Ввод данных'!A120&amp;"                    "&amp;+K3&amp;"  "&amp;+M3</f>
        <v>M6: Разница между текущим и резервным запасами                    Отчетный период  P4</v>
      </c>
      <c r="J28" s="954"/>
      <c r="K28" s="954"/>
      <c r="L28" s="954"/>
      <c r="M28" s="954"/>
    </row>
    <row r="29" spans="2:14" ht="41.25" customHeight="1">
      <c r="B29" s="290" t="s">
        <v>435</v>
      </c>
      <c r="C29" s="956" t="s">
        <v>769</v>
      </c>
      <c r="D29" s="956"/>
      <c r="E29" s="956"/>
      <c r="F29" s="956"/>
      <c r="G29" s="363"/>
      <c r="H29" s="306"/>
      <c r="I29" s="575" t="s">
        <v>612</v>
      </c>
      <c r="J29" s="957" t="s">
        <v>745</v>
      </c>
      <c r="K29" s="957"/>
      <c r="L29" s="957"/>
      <c r="M29" s="957"/>
    </row>
    <row r="30" spans="2:14" ht="51" customHeight="1" thickBot="1">
      <c r="I30" s="575" t="s">
        <v>611</v>
      </c>
      <c r="J30" s="957" t="s">
        <v>765</v>
      </c>
      <c r="K30" s="957"/>
      <c r="L30" s="957"/>
      <c r="M30" s="957"/>
    </row>
    <row r="31" spans="2:14" ht="102.75">
      <c r="F31" s="280"/>
      <c r="G31" s="280"/>
      <c r="H31" s="280"/>
      <c r="I31" s="576" t="s">
        <v>269</v>
      </c>
      <c r="J31" s="577" t="s">
        <v>384</v>
      </c>
      <c r="K31" s="578" t="s">
        <v>382</v>
      </c>
      <c r="L31" s="578" t="s">
        <v>383</v>
      </c>
      <c r="M31" s="579" t="s">
        <v>337</v>
      </c>
    </row>
    <row r="32" spans="2:14">
      <c r="F32" s="280"/>
      <c r="G32" s="280"/>
      <c r="H32" s="280"/>
      <c r="I32" s="960" t="str">
        <f>+'Ввод данных'!A122</f>
        <v>ВИЧ / СПИД</v>
      </c>
      <c r="J32" s="593" t="s">
        <v>749</v>
      </c>
      <c r="K32" s="594">
        <v>8.4619791666666675</v>
      </c>
      <c r="L32" s="594">
        <v>3</v>
      </c>
      <c r="M32" s="595">
        <f t="shared" ref="M32:M43" si="0">K32-L32</f>
        <v>5.4619791666666675</v>
      </c>
    </row>
    <row r="33" spans="6:13">
      <c r="F33" s="280"/>
      <c r="G33" s="280"/>
      <c r="H33" s="280"/>
      <c r="I33" s="961"/>
      <c r="J33" s="593" t="s">
        <v>750</v>
      </c>
      <c r="K33" s="594">
        <v>8.0307228915662652</v>
      </c>
      <c r="L33" s="594">
        <v>3</v>
      </c>
      <c r="M33" s="595">
        <f t="shared" si="0"/>
        <v>5.0307228915662652</v>
      </c>
    </row>
    <row r="34" spans="6:13">
      <c r="F34" s="280"/>
      <c r="G34" s="280"/>
      <c r="H34" s="280"/>
      <c r="I34" s="961"/>
      <c r="J34" s="593" t="s">
        <v>751</v>
      </c>
      <c r="K34" s="594">
        <v>20.5</v>
      </c>
      <c r="L34" s="594">
        <v>3</v>
      </c>
      <c r="M34" s="595">
        <f t="shared" si="0"/>
        <v>17.5</v>
      </c>
    </row>
    <row r="35" spans="6:13">
      <c r="F35" s="280"/>
      <c r="G35" s="280"/>
      <c r="H35" s="280"/>
      <c r="I35" s="961"/>
      <c r="J35" s="593" t="s">
        <v>752</v>
      </c>
      <c r="K35" s="594">
        <v>6.9847062579821202</v>
      </c>
      <c r="L35" s="594">
        <v>3</v>
      </c>
      <c r="M35" s="595">
        <f t="shared" si="0"/>
        <v>3.9847062579821202</v>
      </c>
    </row>
    <row r="36" spans="6:13">
      <c r="F36" s="280"/>
      <c r="G36" s="280"/>
      <c r="H36" s="280"/>
      <c r="I36" s="961"/>
      <c r="J36" s="593" t="s">
        <v>753</v>
      </c>
      <c r="K36" s="594">
        <v>11.869555555555555</v>
      </c>
      <c r="L36" s="594">
        <v>3</v>
      </c>
      <c r="M36" s="595">
        <f t="shared" si="0"/>
        <v>8.8695555555555554</v>
      </c>
    </row>
    <row r="37" spans="6:13">
      <c r="F37" s="280"/>
      <c r="G37" s="280"/>
      <c r="H37" s="280"/>
      <c r="I37" s="961"/>
      <c r="J37" s="593" t="s">
        <v>754</v>
      </c>
      <c r="K37" s="594">
        <v>9.6800623052959498</v>
      </c>
      <c r="L37" s="594">
        <v>3</v>
      </c>
      <c r="M37" s="595">
        <f t="shared" si="0"/>
        <v>6.6800623052959498</v>
      </c>
    </row>
    <row r="38" spans="6:13">
      <c r="F38" s="280"/>
      <c r="G38" s="280"/>
      <c r="H38" s="280"/>
      <c r="I38" s="961"/>
      <c r="J38" s="593" t="s">
        <v>755</v>
      </c>
      <c r="K38" s="594">
        <v>14.841295662100457</v>
      </c>
      <c r="L38" s="594">
        <v>3</v>
      </c>
      <c r="M38" s="595">
        <f t="shared" si="0"/>
        <v>11.841295662100457</v>
      </c>
    </row>
    <row r="39" spans="6:13">
      <c r="F39" s="280"/>
      <c r="G39" s="280"/>
      <c r="H39" s="280"/>
      <c r="I39" s="961"/>
      <c r="J39" s="593" t="s">
        <v>756</v>
      </c>
      <c r="K39" s="594">
        <v>4.3604166666666666</v>
      </c>
      <c r="L39" s="594">
        <v>3</v>
      </c>
      <c r="M39" s="595">
        <f t="shared" si="0"/>
        <v>1.3604166666666666</v>
      </c>
    </row>
    <row r="40" spans="6:13">
      <c r="F40" s="280"/>
      <c r="G40" s="280"/>
      <c r="H40" s="280"/>
      <c r="I40" s="961"/>
      <c r="J40" s="593" t="s">
        <v>757</v>
      </c>
      <c r="K40" s="594">
        <v>11.116666666666667</v>
      </c>
      <c r="L40" s="594">
        <v>3</v>
      </c>
      <c r="M40" s="595">
        <f t="shared" si="0"/>
        <v>8.1166666666666671</v>
      </c>
    </row>
    <row r="41" spans="6:13">
      <c r="F41" s="280"/>
      <c r="G41" s="280"/>
      <c r="H41" s="280"/>
      <c r="I41" s="961"/>
      <c r="J41" s="593" t="s">
        <v>758</v>
      </c>
      <c r="K41" s="594">
        <v>11.7165548098434</v>
      </c>
      <c r="L41" s="594">
        <v>3</v>
      </c>
      <c r="M41" s="595">
        <f t="shared" si="0"/>
        <v>8.7165548098433998</v>
      </c>
    </row>
    <row r="42" spans="6:13">
      <c r="F42" s="280"/>
      <c r="G42" s="280"/>
      <c r="H42" s="280"/>
      <c r="I42" s="961"/>
      <c r="J42" s="593" t="s">
        <v>759</v>
      </c>
      <c r="K42" s="594">
        <v>6.1798558421851286</v>
      </c>
      <c r="L42" s="594">
        <v>3</v>
      </c>
      <c r="M42" s="595">
        <f t="shared" si="0"/>
        <v>3.1798558421851286</v>
      </c>
    </row>
    <row r="43" spans="6:13">
      <c r="F43" s="280"/>
      <c r="G43" s="280"/>
      <c r="H43" s="280"/>
      <c r="I43" s="961"/>
      <c r="J43" s="593" t="s">
        <v>760</v>
      </c>
      <c r="K43" s="594">
        <v>10.189487179487179</v>
      </c>
      <c r="L43" s="594">
        <v>3</v>
      </c>
      <c r="M43" s="595">
        <f t="shared" si="0"/>
        <v>7.1894871794871786</v>
      </c>
    </row>
    <row r="44" spans="6:13" ht="15" customHeight="1">
      <c r="F44" s="280"/>
      <c r="G44" s="280"/>
      <c r="H44" s="280"/>
      <c r="I44" s="961"/>
      <c r="J44" s="593" t="s">
        <v>761</v>
      </c>
      <c r="K44" s="594">
        <v>8.0340579710144926</v>
      </c>
      <c r="L44" s="594">
        <v>3</v>
      </c>
      <c r="M44" s="595">
        <f>K44-L44</f>
        <v>5.0340579710144926</v>
      </c>
    </row>
    <row r="45" spans="6:13">
      <c r="F45" s="280"/>
      <c r="G45" s="280"/>
      <c r="H45" s="280"/>
      <c r="I45" s="961"/>
      <c r="J45" s="593" t="s">
        <v>762</v>
      </c>
      <c r="K45" s="594">
        <v>3.8180555555555555</v>
      </c>
      <c r="L45" s="594">
        <v>3</v>
      </c>
      <c r="M45" s="595">
        <f>K45-L45</f>
        <v>0.81805555555555554</v>
      </c>
    </row>
    <row r="46" spans="6:13">
      <c r="F46" s="280"/>
      <c r="G46" s="280"/>
      <c r="H46" s="280"/>
      <c r="I46" s="961"/>
      <c r="J46" s="593" t="s">
        <v>763</v>
      </c>
      <c r="K46" s="594">
        <v>6.25</v>
      </c>
      <c r="L46" s="594">
        <v>3</v>
      </c>
      <c r="M46" s="595">
        <f t="shared" ref="M46:M70" si="1">K46-L46</f>
        <v>3.25</v>
      </c>
    </row>
    <row r="47" spans="6:13">
      <c r="F47" s="280"/>
      <c r="G47" s="280"/>
      <c r="H47" s="280"/>
      <c r="I47" s="961"/>
      <c r="J47" s="593" t="s">
        <v>764</v>
      </c>
      <c r="K47" s="594">
        <v>4</v>
      </c>
      <c r="L47" s="594">
        <v>3</v>
      </c>
      <c r="M47" s="595">
        <f t="shared" si="1"/>
        <v>1</v>
      </c>
    </row>
    <row r="48" spans="6:13">
      <c r="F48" s="280"/>
      <c r="G48" s="280"/>
      <c r="H48" s="280"/>
      <c r="I48" s="961"/>
      <c r="J48" s="593" t="s">
        <v>654</v>
      </c>
      <c r="K48" s="594">
        <v>4</v>
      </c>
      <c r="L48" s="594">
        <v>3</v>
      </c>
      <c r="M48" s="595">
        <f t="shared" ref="M48:M50" si="2">K48-L48</f>
        <v>1</v>
      </c>
    </row>
    <row r="49" spans="2:13">
      <c r="F49" s="280"/>
      <c r="G49" s="280"/>
      <c r="H49" s="280"/>
      <c r="I49" s="961"/>
      <c r="J49" s="593" t="s">
        <v>767</v>
      </c>
      <c r="K49" s="593">
        <v>4</v>
      </c>
      <c r="L49" s="594">
        <v>3</v>
      </c>
      <c r="M49" s="595">
        <f t="shared" si="1"/>
        <v>1</v>
      </c>
    </row>
    <row r="50" spans="2:13">
      <c r="F50" s="280"/>
      <c r="G50" s="280"/>
      <c r="H50" s="280"/>
      <c r="I50" s="961"/>
      <c r="J50" s="593" t="s">
        <v>766</v>
      </c>
      <c r="K50" s="593">
        <v>6</v>
      </c>
      <c r="L50" s="594">
        <v>3</v>
      </c>
      <c r="M50" s="595">
        <f t="shared" si="2"/>
        <v>3</v>
      </c>
    </row>
    <row r="51" spans="2:13">
      <c r="F51" s="280"/>
      <c r="G51" s="280"/>
      <c r="H51" s="280"/>
      <c r="I51" s="962"/>
      <c r="J51" s="593" t="s">
        <v>768</v>
      </c>
      <c r="K51" s="593">
        <v>8</v>
      </c>
      <c r="L51" s="594">
        <v>3</v>
      </c>
      <c r="M51" s="595">
        <f t="shared" si="1"/>
        <v>5</v>
      </c>
    </row>
    <row r="52" spans="2:13">
      <c r="F52" s="19"/>
      <c r="G52" s="19"/>
      <c r="H52" s="19"/>
      <c r="I52" s="958" t="str">
        <f>+'Ввод данных'!A138</f>
        <v>ТБ</v>
      </c>
      <c r="J52" s="590" t="s">
        <v>638</v>
      </c>
      <c r="K52" s="591">
        <v>7.583530393656976</v>
      </c>
      <c r="L52" s="591">
        <v>3</v>
      </c>
      <c r="M52" s="592">
        <f t="shared" si="1"/>
        <v>4.583530393656976</v>
      </c>
    </row>
    <row r="53" spans="2:13">
      <c r="F53" s="19"/>
      <c r="G53" s="19"/>
      <c r="H53" s="19"/>
      <c r="I53" s="958"/>
      <c r="J53" s="590" t="s">
        <v>639</v>
      </c>
      <c r="K53" s="591">
        <v>14.069711538461538</v>
      </c>
      <c r="L53" s="591">
        <v>3</v>
      </c>
      <c r="M53" s="592">
        <f t="shared" si="1"/>
        <v>11.069711538461538</v>
      </c>
    </row>
    <row r="54" spans="2:13">
      <c r="B54" s="955" t="str">
        <f>+'Ввод данных'!A117</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54" s="955"/>
      <c r="D54" s="955"/>
      <c r="E54" s="955"/>
      <c r="F54" s="19"/>
      <c r="G54" s="19"/>
      <c r="H54" s="19"/>
      <c r="I54" s="958"/>
      <c r="J54" s="590" t="s">
        <v>640</v>
      </c>
      <c r="K54" s="591">
        <v>137.39738562091503</v>
      </c>
      <c r="L54" s="591">
        <v>3</v>
      </c>
      <c r="M54" s="592">
        <f t="shared" si="1"/>
        <v>134.39738562091503</v>
      </c>
    </row>
    <row r="55" spans="2:13">
      <c r="F55" s="19"/>
      <c r="G55" s="19"/>
      <c r="H55" s="19"/>
      <c r="I55" s="958"/>
      <c r="J55" s="590" t="s">
        <v>641</v>
      </c>
      <c r="K55" s="591">
        <v>6.14810298102981</v>
      </c>
      <c r="L55" s="591">
        <v>3</v>
      </c>
      <c r="M55" s="592">
        <f t="shared" si="1"/>
        <v>3.14810298102981</v>
      </c>
    </row>
    <row r="56" spans="2:13">
      <c r="F56" s="19"/>
      <c r="G56" s="19"/>
      <c r="H56" s="19"/>
      <c r="I56" s="958"/>
      <c r="J56" s="590" t="s">
        <v>642</v>
      </c>
      <c r="K56" s="591">
        <v>10.343956336528221</v>
      </c>
      <c r="L56" s="591">
        <v>3</v>
      </c>
      <c r="M56" s="592">
        <f t="shared" si="1"/>
        <v>7.3439563365282208</v>
      </c>
    </row>
    <row r="57" spans="2:13">
      <c r="F57" s="19"/>
      <c r="G57" s="19"/>
      <c r="H57" s="19"/>
      <c r="I57" s="958"/>
      <c r="J57" s="590" t="s">
        <v>643</v>
      </c>
      <c r="K57" s="591">
        <v>19.928008298755188</v>
      </c>
      <c r="L57" s="591">
        <v>3</v>
      </c>
      <c r="M57" s="592">
        <f t="shared" si="1"/>
        <v>16.928008298755188</v>
      </c>
    </row>
    <row r="58" spans="2:13">
      <c r="F58" s="19"/>
      <c r="G58" s="19"/>
      <c r="H58" s="19"/>
      <c r="I58" s="958"/>
      <c r="J58" s="590" t="s">
        <v>644</v>
      </c>
      <c r="K58" s="591">
        <v>4.0271206409048066</v>
      </c>
      <c r="L58" s="591">
        <v>3</v>
      </c>
      <c r="M58" s="592">
        <f t="shared" si="1"/>
        <v>1.0271206409048066</v>
      </c>
    </row>
    <row r="59" spans="2:13">
      <c r="F59" s="19"/>
      <c r="G59" s="19"/>
      <c r="H59" s="19"/>
      <c r="I59" s="958"/>
      <c r="J59" s="590" t="s">
        <v>645</v>
      </c>
      <c r="K59" s="591">
        <v>22.075802469135802</v>
      </c>
      <c r="L59" s="591">
        <v>3</v>
      </c>
      <c r="M59" s="592">
        <f t="shared" si="1"/>
        <v>19.075802469135802</v>
      </c>
    </row>
    <row r="60" spans="2:13">
      <c r="F60" s="19"/>
      <c r="G60" s="19"/>
      <c r="H60" s="19"/>
      <c r="I60" s="958"/>
      <c r="J60" s="590" t="s">
        <v>646</v>
      </c>
      <c r="K60" s="591">
        <v>4.0065663474692199</v>
      </c>
      <c r="L60" s="591">
        <v>3</v>
      </c>
      <c r="M60" s="592">
        <f t="shared" si="1"/>
        <v>1.0065663474692199</v>
      </c>
    </row>
    <row r="61" spans="2:13">
      <c r="F61" s="19"/>
      <c r="G61" s="19"/>
      <c r="H61" s="19"/>
      <c r="I61" s="958"/>
      <c r="J61" s="590" t="s">
        <v>647</v>
      </c>
      <c r="K61" s="591">
        <v>6.3431366850721691</v>
      </c>
      <c r="L61" s="591">
        <v>3</v>
      </c>
      <c r="M61" s="592">
        <f t="shared" si="1"/>
        <v>3.3431366850721691</v>
      </c>
    </row>
    <row r="62" spans="2:13">
      <c r="F62" s="19"/>
      <c r="G62" s="19"/>
      <c r="H62" s="19"/>
      <c r="I62" s="958"/>
      <c r="J62" s="590" t="s">
        <v>648</v>
      </c>
      <c r="K62" s="591">
        <v>5.6189210950080515</v>
      </c>
      <c r="L62" s="591">
        <v>3</v>
      </c>
      <c r="M62" s="592">
        <f t="shared" si="1"/>
        <v>2.6189210950080515</v>
      </c>
    </row>
    <row r="63" spans="2:13">
      <c r="F63" s="19"/>
      <c r="G63" s="19"/>
      <c r="H63" s="19"/>
      <c r="I63" s="958"/>
      <c r="J63" s="590" t="s">
        <v>649</v>
      </c>
      <c r="K63" s="591">
        <v>6.0447479674796751</v>
      </c>
      <c r="L63" s="591">
        <v>3</v>
      </c>
      <c r="M63" s="592">
        <f t="shared" si="1"/>
        <v>3.0447479674796751</v>
      </c>
    </row>
    <row r="64" spans="2:13">
      <c r="F64" s="19"/>
      <c r="G64" s="19"/>
      <c r="H64" s="19"/>
      <c r="I64" s="958"/>
      <c r="J64" s="590" t="s">
        <v>650</v>
      </c>
      <c r="K64" s="591">
        <v>14.619172494172494</v>
      </c>
      <c r="L64" s="591">
        <v>3</v>
      </c>
      <c r="M64" s="592">
        <f t="shared" si="1"/>
        <v>11.619172494172494</v>
      </c>
    </row>
    <row r="65" spans="9:13">
      <c r="I65" s="958"/>
      <c r="J65" s="590" t="s">
        <v>651</v>
      </c>
      <c r="K65" s="591">
        <v>13.854365079365079</v>
      </c>
      <c r="L65" s="591">
        <v>3</v>
      </c>
      <c r="M65" s="592">
        <f t="shared" si="1"/>
        <v>10.854365079365079</v>
      </c>
    </row>
    <row r="66" spans="9:13">
      <c r="I66" s="958"/>
      <c r="J66" s="590" t="s">
        <v>652</v>
      </c>
      <c r="K66" s="591">
        <v>23.752507374631268</v>
      </c>
      <c r="L66" s="591">
        <v>3</v>
      </c>
      <c r="M66" s="592">
        <f t="shared" ref="M66:M68" si="3">K66-L66</f>
        <v>20.752507374631268</v>
      </c>
    </row>
    <row r="67" spans="9:13">
      <c r="I67" s="958"/>
      <c r="J67" s="590" t="s">
        <v>653</v>
      </c>
      <c r="K67" s="591">
        <v>40.415825977301388</v>
      </c>
      <c r="L67" s="591">
        <v>3</v>
      </c>
      <c r="M67" s="592">
        <f t="shared" si="3"/>
        <v>37.415825977301388</v>
      </c>
    </row>
    <row r="68" spans="9:13">
      <c r="I68" s="958"/>
      <c r="J68" s="610" t="s">
        <v>743</v>
      </c>
      <c r="K68" s="611">
        <v>7</v>
      </c>
      <c r="L68" s="611">
        <v>3</v>
      </c>
      <c r="M68" s="612">
        <f t="shared" si="3"/>
        <v>4</v>
      </c>
    </row>
    <row r="69" spans="9:13">
      <c r="I69" s="958"/>
      <c r="J69" s="610" t="s">
        <v>746</v>
      </c>
      <c r="K69" s="591">
        <v>9</v>
      </c>
      <c r="L69" s="591">
        <v>3</v>
      </c>
      <c r="M69" s="592">
        <f t="shared" si="1"/>
        <v>6</v>
      </c>
    </row>
    <row r="70" spans="9:13">
      <c r="I70" s="958"/>
      <c r="J70" s="610" t="s">
        <v>747</v>
      </c>
      <c r="K70" s="591">
        <v>6</v>
      </c>
      <c r="L70" s="591">
        <v>3</v>
      </c>
      <c r="M70" s="592">
        <f t="shared" si="1"/>
        <v>3</v>
      </c>
    </row>
    <row r="71" spans="9:13" ht="15.75" thickBot="1">
      <c r="I71" s="959"/>
      <c r="J71" s="596" t="s">
        <v>748</v>
      </c>
      <c r="K71" s="597">
        <v>8</v>
      </c>
      <c r="L71" s="597">
        <v>3</v>
      </c>
      <c r="M71" s="598">
        <f t="shared" ref="M71" si="4">K71-L71</f>
        <v>5</v>
      </c>
    </row>
  </sheetData>
  <mergeCells count="23">
    <mergeCell ref="B2:M2"/>
    <mergeCell ref="C4:D4"/>
    <mergeCell ref="E3:J3"/>
    <mergeCell ref="K3:L3"/>
    <mergeCell ref="E10:F10"/>
    <mergeCell ref="C8:F8"/>
    <mergeCell ref="B7:F7"/>
    <mergeCell ref="D10:D11"/>
    <mergeCell ref="C3:D3"/>
    <mergeCell ref="E4:J4"/>
    <mergeCell ref="K4:L4"/>
    <mergeCell ref="J8:M8"/>
    <mergeCell ref="D5:K5"/>
    <mergeCell ref="J19:M19"/>
    <mergeCell ref="B28:F28"/>
    <mergeCell ref="I28:M28"/>
    <mergeCell ref="B54:E54"/>
    <mergeCell ref="C29:F29"/>
    <mergeCell ref="J29:M29"/>
    <mergeCell ref="J30:M30"/>
    <mergeCell ref="C19:F19"/>
    <mergeCell ref="I52:I71"/>
    <mergeCell ref="I32:I51"/>
  </mergeCells>
  <phoneticPr fontId="30" type="noConversion"/>
  <conditionalFormatting sqref="D15:D16">
    <cfRule type="cellIs" dxfId="74" priority="1" stopIfTrue="1" operator="greaterThan">
      <formula>0</formula>
    </cfRule>
  </conditionalFormatting>
  <conditionalFormatting sqref="E15:E16">
    <cfRule type="cellIs" dxfId="73" priority="2" stopIfTrue="1" operator="greaterThan">
      <formula>0</formula>
    </cfRule>
  </conditionalFormatting>
  <conditionalFormatting sqref="F15:H16">
    <cfRule type="cellIs" dxfId="72" priority="3" stopIfTrue="1" operator="greaterThan">
      <formula>0</formula>
    </cfRule>
  </conditionalFormatting>
  <conditionalFormatting sqref="C4:D4">
    <cfRule type="cellIs" dxfId="71" priority="4" stopIfTrue="1" operator="equal">
      <formula>"C"</formula>
    </cfRule>
    <cfRule type="cellIs" dxfId="70" priority="5" stopIfTrue="1" operator="equal">
      <formula>"B2"</formula>
    </cfRule>
    <cfRule type="cellIs" dxfId="69" priority="6" stopIfTrue="1" operator="equal">
      <formula>"B1"</formula>
    </cfRule>
  </conditionalFormatting>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7"/>
  <sheetViews>
    <sheetView showGridLines="0" tabSelected="1" zoomScaleNormal="100" workbookViewId="0">
      <selection activeCell="R38" sqref="R38"/>
    </sheetView>
  </sheetViews>
  <sheetFormatPr defaultColWidth="11" defaultRowHeight="15"/>
  <cols>
    <col min="1" max="1" width="3.42578125" customWidth="1"/>
    <col min="2" max="2" width="11.28515625" customWidth="1"/>
    <col min="3" max="3" width="16.140625" customWidth="1"/>
    <col min="4" max="4" width="26.140625" customWidth="1"/>
    <col min="5" max="5" width="9.42578125" customWidth="1"/>
    <col min="6" max="6" width="20.7109375" customWidth="1"/>
    <col min="7" max="7" width="5.7109375" customWidth="1"/>
    <col min="8" max="8" width="6.28515625" customWidth="1"/>
    <col min="9" max="9" width="6" customWidth="1"/>
    <col min="10" max="10" width="4.140625" customWidth="1"/>
    <col min="11" max="11" width="17.85546875" customWidth="1"/>
    <col min="12" max="12" width="12" customWidth="1"/>
    <col min="13" max="13" width="5" customWidth="1"/>
    <col min="14" max="14" width="6.5703125" customWidth="1"/>
    <col min="15" max="15" width="4.140625" customWidth="1"/>
    <col min="16" max="16" width="10.7109375" customWidth="1"/>
    <col min="17" max="17" width="39.5703125" customWidth="1"/>
    <col min="18" max="18" width="87.28515625" customWidth="1"/>
    <col min="19" max="19" width="21.42578125" customWidth="1"/>
  </cols>
  <sheetData>
    <row r="1" spans="1:35" ht="26.25" customHeight="1">
      <c r="A1" s="3"/>
      <c r="B1" s="3"/>
      <c r="C1" s="3"/>
      <c r="D1" s="3"/>
      <c r="E1" s="3"/>
      <c r="F1" s="3"/>
      <c r="G1" s="3"/>
      <c r="H1" s="3"/>
      <c r="I1" s="3"/>
      <c r="J1" s="3"/>
      <c r="K1" s="3"/>
      <c r="L1" s="3"/>
      <c r="M1" s="3"/>
      <c r="N1" s="3"/>
      <c r="O1" s="3"/>
      <c r="P1" s="3"/>
    </row>
    <row r="2" spans="1:35" ht="21.75" customHeight="1">
      <c r="A2" s="3"/>
      <c r="B2" s="1046" t="str">
        <f>+"Панель показателей:  "&amp;"  "&amp;IF(+'Ввод данных'!B4="Выберите","",'Ввод данных'!B4&amp;" - ")&amp;IF('Ввод данных'!F6="Выберите","",'Ввод данных'!F6)</f>
        <v>Панель показателей:    Кыргызстан - ВИЧ/СПИД/ТБ</v>
      </c>
      <c r="C2" s="1046"/>
      <c r="D2" s="1046"/>
      <c r="E2" s="1046"/>
      <c r="F2" s="1046"/>
      <c r="G2" s="1046"/>
      <c r="H2" s="1046"/>
      <c r="I2" s="1046"/>
      <c r="J2" s="1046"/>
      <c r="K2" s="1046"/>
      <c r="L2" s="1046"/>
      <c r="M2" s="1046"/>
      <c r="N2" s="1046"/>
      <c r="O2" s="1046"/>
      <c r="P2" s="1046"/>
      <c r="Q2" s="1046"/>
    </row>
    <row r="3" spans="1:35" ht="18.75">
      <c r="A3" s="3"/>
      <c r="B3" s="117">
        <f>+IF('Ввод данных'!F8="Выберите","",'Ввод данных'!F8)</f>
        <v>0</v>
      </c>
      <c r="C3" s="937">
        <f>+IF('Ввод данных'!H8="Выберите","",'Ввод данных'!H8)</f>
        <v>0</v>
      </c>
      <c r="D3" s="937"/>
      <c r="E3" s="936"/>
      <c r="F3" s="936"/>
      <c r="G3" s="936"/>
      <c r="H3" s="936"/>
      <c r="I3" s="1047"/>
      <c r="J3" s="1047"/>
      <c r="K3" s="1047"/>
      <c r="L3" s="3"/>
      <c r="M3" s="3"/>
      <c r="O3" s="934" t="str">
        <f>+'Ввод данных'!A16</f>
        <v>Отчетный период</v>
      </c>
      <c r="P3" s="934"/>
      <c r="Q3" s="181" t="str">
        <f>+'Ввод данных'!B16</f>
        <v>P4</v>
      </c>
    </row>
    <row r="4" spans="1:35" ht="23.25">
      <c r="A4" s="3"/>
      <c r="B4" s="371" t="str">
        <f>+'Ввод данных'!A12</f>
        <v>Последняя оценка:</v>
      </c>
      <c r="C4" s="1048" t="str">
        <f>+IF('Ввод данных'!B12="Выберите","",'Ввод данных'!B12)</f>
        <v>A1</v>
      </c>
      <c r="D4" s="1048"/>
      <c r="E4" s="936" t="str">
        <f>+'Ввод данных'!B8</f>
        <v>ПРООН</v>
      </c>
      <c r="F4" s="936"/>
      <c r="G4" s="936"/>
      <c r="H4" s="936"/>
      <c r="I4" s="936"/>
      <c r="J4" s="936"/>
      <c r="K4" s="936"/>
      <c r="L4" s="936"/>
      <c r="M4" s="3"/>
      <c r="O4" s="281"/>
      <c r="P4" s="117" t="str">
        <f>+'Ввод данных'!C16</f>
        <v>с:</v>
      </c>
      <c r="Q4" s="282">
        <f>+IF(ISBLANK('Ввод данных'!D16),"",'Ввод данных'!D16)</f>
        <v>43101</v>
      </c>
      <c r="Y4" s="70"/>
      <c r="Z4" s="70"/>
      <c r="AA4" s="70"/>
      <c r="AB4" s="70"/>
      <c r="AC4" s="70"/>
    </row>
    <row r="5" spans="1:35" ht="15.75" customHeight="1">
      <c r="A5" s="3"/>
      <c r="B5" s="117"/>
      <c r="C5" s="117"/>
      <c r="D5" s="936" t="str">
        <f>+'Ввод данных'!F4</f>
        <v>«Эффективный контроль за туберкулезом и ВИЧ-инфекцией в Кыргызской Республике»</v>
      </c>
      <c r="E5" s="936"/>
      <c r="F5" s="936"/>
      <c r="G5" s="936"/>
      <c r="H5" s="936"/>
      <c r="I5" s="936"/>
      <c r="J5" s="936"/>
      <c r="K5" s="936"/>
      <c r="L5" s="936"/>
      <c r="M5" s="936"/>
      <c r="N5" s="936"/>
      <c r="P5" s="117" t="str">
        <f>+'Ввод данных'!E16</f>
        <v>до:</v>
      </c>
      <c r="Q5" s="282">
        <f>+IF(ISBLANK('Ввод данных'!F16),"",'Ввод данных'!F16)</f>
        <v>43281</v>
      </c>
      <c r="S5" s="201"/>
      <c r="T5" s="201"/>
      <c r="U5" s="201"/>
      <c r="V5" s="201"/>
      <c r="W5" s="201"/>
      <c r="X5" s="201"/>
      <c r="Y5" s="70"/>
      <c r="Z5" s="70"/>
      <c r="AA5" s="70" t="s">
        <v>23</v>
      </c>
      <c r="AB5" s="70"/>
      <c r="AC5" s="70" t="s">
        <v>74</v>
      </c>
      <c r="AD5" s="201"/>
      <c r="AE5" s="201"/>
      <c r="AF5" s="201"/>
      <c r="AG5" s="201"/>
      <c r="AH5" s="201"/>
      <c r="AI5" s="201"/>
    </row>
    <row r="6" spans="1:35" ht="15.75" customHeight="1">
      <c r="A6" s="3"/>
      <c r="B6" s="483"/>
      <c r="C6" s="483"/>
      <c r="D6" s="484"/>
      <c r="E6" s="977" t="s">
        <v>627</v>
      </c>
      <c r="F6" s="978"/>
      <c r="G6" s="978"/>
      <c r="H6" s="978"/>
      <c r="I6" s="978"/>
      <c r="J6" s="978"/>
      <c r="K6" s="978"/>
      <c r="L6" s="978"/>
      <c r="M6" s="3"/>
      <c r="N6" s="3"/>
      <c r="O6" s="183"/>
      <c r="P6" s="527"/>
      <c r="S6" s="201"/>
      <c r="T6" s="201"/>
      <c r="U6" s="201"/>
      <c r="V6" s="201"/>
      <c r="W6" s="201"/>
      <c r="X6" s="201"/>
      <c r="Y6" s="70"/>
      <c r="Z6" s="70"/>
      <c r="AA6" s="70"/>
      <c r="AB6" s="70"/>
      <c r="AC6" s="70"/>
      <c r="AD6" s="201"/>
      <c r="AE6" s="201"/>
      <c r="AF6" s="201"/>
      <c r="AG6" s="201"/>
      <c r="AH6" s="201"/>
      <c r="AI6" s="201"/>
    </row>
    <row r="7" spans="1:35" ht="3" customHeight="1">
      <c r="A7" s="3"/>
      <c r="B7" s="483"/>
      <c r="C7" s="483"/>
      <c r="D7" s="484"/>
      <c r="E7" s="484"/>
      <c r="F7" s="484"/>
      <c r="G7" s="484"/>
      <c r="H7" s="484"/>
      <c r="I7" s="484"/>
      <c r="J7" s="484"/>
      <c r="K7" s="484"/>
      <c r="L7" s="484"/>
      <c r="M7" s="3"/>
      <c r="N7" s="3"/>
      <c r="O7" s="183"/>
      <c r="P7" s="182"/>
      <c r="Q7" s="182"/>
      <c r="S7" s="201"/>
      <c r="T7" s="201"/>
      <c r="U7" s="201"/>
      <c r="V7" s="201"/>
      <c r="W7" s="201"/>
      <c r="X7" s="201"/>
      <c r="Y7" s="70"/>
      <c r="Z7" s="70"/>
      <c r="AA7" s="70"/>
      <c r="AB7" s="70"/>
      <c r="AC7" s="70"/>
      <c r="AD7" s="201"/>
      <c r="AE7" s="201"/>
      <c r="AF7" s="201"/>
      <c r="AG7" s="201"/>
      <c r="AH7" s="201"/>
      <c r="AI7" s="201"/>
    </row>
    <row r="8" spans="1:35" ht="18.75" customHeight="1" thickBot="1">
      <c r="A8" s="3"/>
      <c r="B8" s="984" t="e">
        <f>+#REF!</f>
        <v>#REF!</v>
      </c>
      <c r="C8" s="984"/>
      <c r="D8" s="984"/>
      <c r="E8" s="984"/>
      <c r="F8" s="984" t="e">
        <f>+#REF!</f>
        <v>#REF!</v>
      </c>
      <c r="G8" s="984"/>
      <c r="H8" s="984"/>
      <c r="I8" s="984"/>
      <c r="J8" s="984"/>
      <c r="K8" s="984"/>
      <c r="L8" s="984" t="e">
        <f>+#REF!</f>
        <v>#REF!</v>
      </c>
      <c r="M8" s="984"/>
      <c r="N8" s="984"/>
      <c r="O8" s="984"/>
      <c r="P8" s="984"/>
      <c r="Q8" s="984"/>
      <c r="S8" s="201"/>
      <c r="T8" s="201"/>
      <c r="U8" s="201"/>
      <c r="V8" s="201"/>
      <c r="W8" s="201"/>
      <c r="X8" s="201"/>
      <c r="Y8" s="70"/>
      <c r="Z8" s="70"/>
      <c r="AA8" s="70"/>
      <c r="AB8" s="70"/>
      <c r="AC8" s="70"/>
      <c r="AD8" s="201"/>
      <c r="AE8" s="201"/>
      <c r="AF8" s="201"/>
      <c r="AG8" s="201"/>
      <c r="AH8" s="201"/>
      <c r="AI8" s="201"/>
    </row>
    <row r="9" spans="1:35" ht="119.25" customHeight="1" thickBot="1">
      <c r="A9" s="3"/>
      <c r="B9" s="584" t="s">
        <v>613</v>
      </c>
      <c r="C9" s="1049" t="s">
        <v>715</v>
      </c>
      <c r="D9" s="1050"/>
      <c r="E9" s="1051"/>
      <c r="F9" s="585" t="s">
        <v>613</v>
      </c>
      <c r="G9" s="1049" t="s">
        <v>716</v>
      </c>
      <c r="H9" s="1050"/>
      <c r="I9" s="1050"/>
      <c r="J9" s="1050"/>
      <c r="K9" s="1051"/>
      <c r="L9" s="585" t="s">
        <v>613</v>
      </c>
      <c r="M9" s="1049" t="s">
        <v>717</v>
      </c>
      <c r="N9" s="1050"/>
      <c r="O9" s="1050"/>
      <c r="P9" s="1050"/>
      <c r="Q9" s="1051"/>
      <c r="S9" s="608"/>
      <c r="T9" s="201"/>
      <c r="U9" s="201"/>
      <c r="V9" s="201"/>
      <c r="W9" s="201"/>
      <c r="X9" s="201"/>
      <c r="Y9" s="201"/>
      <c r="Z9" s="201"/>
      <c r="AA9" s="201"/>
      <c r="AB9" s="201"/>
      <c r="AC9" s="201"/>
      <c r="AD9" s="201"/>
      <c r="AE9" s="201"/>
      <c r="AF9" s="201"/>
      <c r="AG9" s="201"/>
      <c r="AH9" s="201"/>
      <c r="AI9" s="201"/>
    </row>
    <row r="10" spans="1:35" ht="18.75" customHeight="1">
      <c r="A10" s="3"/>
      <c r="B10" s="483"/>
      <c r="C10" s="483"/>
      <c r="D10" s="484"/>
      <c r="E10" s="484"/>
      <c r="F10" s="484"/>
      <c r="G10" s="484"/>
      <c r="H10" s="484"/>
      <c r="I10" s="484"/>
      <c r="J10" s="484"/>
      <c r="K10" s="484"/>
      <c r="L10" s="484"/>
      <c r="M10" s="3"/>
      <c r="N10" s="3"/>
      <c r="O10" s="183"/>
      <c r="P10" s="182"/>
      <c r="S10" s="201"/>
      <c r="T10" s="201"/>
      <c r="U10" s="201"/>
      <c r="V10" s="201"/>
      <c r="W10" s="201"/>
      <c r="X10" s="201"/>
      <c r="Y10" s="201"/>
      <c r="Z10" s="201"/>
      <c r="AA10" s="201"/>
      <c r="AB10" s="201"/>
      <c r="AC10" s="201"/>
      <c r="AD10" s="201"/>
      <c r="AE10" s="201"/>
      <c r="AF10" s="201"/>
      <c r="AG10" s="201"/>
      <c r="AH10" s="201"/>
      <c r="AI10" s="201"/>
    </row>
    <row r="11" spans="1:35" ht="18.75" customHeight="1">
      <c r="A11" s="3"/>
      <c r="B11" s="483"/>
      <c r="C11" s="483"/>
      <c r="D11" s="484"/>
      <c r="E11" s="484"/>
      <c r="F11" s="484"/>
      <c r="G11" s="484"/>
      <c r="H11" s="484"/>
      <c r="I11" s="484"/>
      <c r="J11" s="484"/>
      <c r="K11" s="484"/>
      <c r="L11" s="484"/>
      <c r="M11" s="3"/>
      <c r="N11" s="3"/>
      <c r="O11" s="183"/>
      <c r="P11" s="182"/>
      <c r="S11" s="201"/>
      <c r="T11" s="201"/>
      <c r="U11" s="201"/>
      <c r="V11" s="201"/>
      <c r="W11" s="201"/>
      <c r="X11" s="201"/>
      <c r="Y11" s="201"/>
      <c r="Z11" s="201"/>
      <c r="AA11" s="201"/>
      <c r="AB11" s="201"/>
      <c r="AC11" s="201"/>
      <c r="AD11" s="201"/>
      <c r="AE11" s="201"/>
      <c r="AF11" s="201"/>
      <c r="AG11" s="201"/>
      <c r="AH11" s="201"/>
      <c r="AI11" s="201"/>
    </row>
    <row r="12" spans="1:35" ht="18.75" customHeight="1">
      <c r="A12" s="3"/>
      <c r="B12" s="483"/>
      <c r="C12" s="483"/>
      <c r="D12" s="484"/>
      <c r="E12" s="484"/>
      <c r="F12" s="484"/>
      <c r="G12" s="484"/>
      <c r="H12" s="484"/>
      <c r="I12" s="484"/>
      <c r="J12" s="484"/>
      <c r="K12" s="484"/>
      <c r="L12" s="484"/>
      <c r="M12" s="3"/>
      <c r="N12" s="3"/>
      <c r="O12" s="183"/>
      <c r="P12" s="182"/>
      <c r="S12" s="201"/>
      <c r="T12" s="201"/>
      <c r="U12" s="201"/>
      <c r="V12" s="201"/>
      <c r="W12" s="201"/>
      <c r="X12" s="201"/>
      <c r="Y12" s="201"/>
      <c r="Z12" s="201"/>
      <c r="AA12" s="201"/>
      <c r="AB12" s="201"/>
      <c r="AC12" s="201"/>
      <c r="AD12" s="201"/>
      <c r="AE12" s="201"/>
      <c r="AF12" s="201"/>
      <c r="AG12" s="201"/>
      <c r="AH12" s="201"/>
      <c r="AI12" s="201"/>
    </row>
    <row r="13" spans="1:35" ht="18.75" customHeight="1">
      <c r="A13" s="3"/>
      <c r="B13" s="483"/>
      <c r="C13" s="483"/>
      <c r="D13" s="484"/>
      <c r="E13" s="484"/>
      <c r="F13" s="484"/>
      <c r="G13" s="484"/>
      <c r="H13" s="484"/>
      <c r="I13" s="484"/>
      <c r="J13" s="484"/>
      <c r="K13" s="484"/>
      <c r="L13" s="484"/>
      <c r="M13" s="3"/>
      <c r="N13" s="3"/>
      <c r="O13" s="183"/>
      <c r="P13" s="182"/>
      <c r="S13" s="201"/>
      <c r="T13" s="201"/>
      <c r="U13" s="201"/>
      <c r="V13" s="201"/>
      <c r="W13" s="201"/>
      <c r="X13" s="201"/>
      <c r="Y13" s="201"/>
      <c r="Z13" s="201"/>
      <c r="AA13" s="201"/>
      <c r="AB13" s="201"/>
      <c r="AC13" s="201"/>
      <c r="AD13" s="201"/>
      <c r="AE13" s="201"/>
      <c r="AF13" s="201"/>
      <c r="AG13" s="201"/>
      <c r="AH13" s="201"/>
      <c r="AI13" s="201"/>
    </row>
    <row r="14" spans="1:35" ht="18.75" customHeight="1">
      <c r="A14" s="3"/>
      <c r="B14" s="483"/>
      <c r="C14" s="483"/>
      <c r="D14" s="484"/>
      <c r="E14" s="484"/>
      <c r="F14" s="484"/>
      <c r="G14" s="484"/>
      <c r="H14" s="484"/>
      <c r="I14" s="484"/>
      <c r="J14" s="484"/>
      <c r="K14" s="484"/>
      <c r="L14" s="484"/>
      <c r="M14" s="3"/>
      <c r="N14" s="3"/>
      <c r="O14" s="183"/>
      <c r="P14" s="182"/>
      <c r="S14" s="201"/>
      <c r="T14" s="201"/>
      <c r="U14" s="201"/>
      <c r="V14" s="201"/>
      <c r="W14" s="201"/>
      <c r="X14" s="201"/>
      <c r="Y14" s="201"/>
      <c r="Z14" s="201"/>
      <c r="AA14" s="201"/>
      <c r="AB14" s="201"/>
      <c r="AC14" s="201"/>
      <c r="AD14" s="201"/>
      <c r="AE14" s="201"/>
      <c r="AF14" s="201"/>
      <c r="AG14" s="201"/>
      <c r="AH14" s="201"/>
      <c r="AI14" s="201"/>
    </row>
    <row r="15" spans="1:35" ht="18.75" customHeight="1">
      <c r="A15" s="3"/>
      <c r="B15" s="534"/>
      <c r="C15" s="534"/>
      <c r="D15" s="535"/>
      <c r="E15" s="535"/>
      <c r="F15" s="535"/>
      <c r="G15" s="535"/>
      <c r="H15" s="535"/>
      <c r="I15" s="535"/>
      <c r="J15" s="535"/>
      <c r="K15" s="535"/>
      <c r="L15" s="535"/>
      <c r="M15" s="3"/>
      <c r="N15" s="3"/>
      <c r="O15" s="183"/>
      <c r="P15" s="182"/>
      <c r="S15" s="201"/>
      <c r="T15" s="201"/>
      <c r="U15" s="201"/>
      <c r="V15" s="201"/>
      <c r="W15" s="201"/>
      <c r="X15" s="201"/>
      <c r="Y15" s="201"/>
      <c r="Z15" s="201"/>
      <c r="AA15" s="201"/>
      <c r="AB15" s="201"/>
      <c r="AC15" s="201"/>
      <c r="AD15" s="201"/>
      <c r="AE15" s="201"/>
      <c r="AF15" s="201"/>
      <c r="AG15" s="201"/>
      <c r="AH15" s="201"/>
      <c r="AI15" s="201"/>
    </row>
    <row r="16" spans="1:35" ht="18.75" customHeight="1">
      <c r="A16" s="3"/>
      <c r="B16" s="534"/>
      <c r="C16" s="534"/>
      <c r="D16" s="535"/>
      <c r="E16" s="535"/>
      <c r="F16" s="535"/>
      <c r="G16" s="535"/>
      <c r="H16" s="535"/>
      <c r="I16" s="535"/>
      <c r="J16" s="535"/>
      <c r="K16" s="535"/>
      <c r="L16" s="535"/>
      <c r="M16" s="3"/>
      <c r="N16" s="3"/>
      <c r="O16" s="183"/>
      <c r="P16" s="182"/>
      <c r="S16" s="201"/>
      <c r="T16" s="201"/>
      <c r="U16" s="201"/>
      <c r="V16" s="201"/>
      <c r="W16" s="201"/>
      <c r="X16" s="201"/>
      <c r="Y16" s="201"/>
      <c r="Z16" s="201"/>
      <c r="AA16" s="201"/>
      <c r="AB16" s="201"/>
      <c r="AC16" s="201"/>
      <c r="AD16" s="201"/>
      <c r="AE16" s="201"/>
      <c r="AF16" s="201"/>
      <c r="AG16" s="201"/>
      <c r="AH16" s="201"/>
      <c r="AI16" s="201"/>
    </row>
    <row r="17" spans="1:35" ht="18.75" customHeight="1">
      <c r="A17" s="3"/>
      <c r="B17" s="534"/>
      <c r="C17" s="534"/>
      <c r="D17" s="535"/>
      <c r="E17" s="535"/>
      <c r="F17" s="535"/>
      <c r="G17" s="535"/>
      <c r="H17" s="535"/>
      <c r="I17" s="535"/>
      <c r="J17" s="535"/>
      <c r="K17" s="535"/>
      <c r="L17" s="535"/>
      <c r="M17" s="3"/>
      <c r="N17" s="3"/>
      <c r="O17" s="183"/>
      <c r="P17" s="182"/>
      <c r="S17" s="201"/>
      <c r="T17" s="201"/>
      <c r="U17" s="201"/>
      <c r="V17" s="201"/>
      <c r="W17" s="201"/>
      <c r="X17" s="201"/>
      <c r="Y17" s="201"/>
      <c r="Z17" s="201"/>
      <c r="AA17" s="201"/>
      <c r="AB17" s="201"/>
      <c r="AC17" s="201"/>
      <c r="AD17" s="201"/>
      <c r="AE17" s="201"/>
      <c r="AF17" s="201"/>
      <c r="AG17" s="201"/>
      <c r="AH17" s="201"/>
      <c r="AI17" s="201"/>
    </row>
    <row r="18" spans="1:35" ht="18.75" customHeight="1">
      <c r="A18" s="3"/>
      <c r="B18" s="534"/>
      <c r="C18" s="534"/>
      <c r="D18" s="535"/>
      <c r="E18" s="535"/>
      <c r="F18" s="535"/>
      <c r="G18" s="535"/>
      <c r="H18" s="535"/>
      <c r="I18" s="535"/>
      <c r="J18" s="535"/>
      <c r="K18" s="535"/>
      <c r="L18" s="535"/>
      <c r="M18" s="3"/>
      <c r="N18" s="3"/>
      <c r="O18" s="183"/>
      <c r="P18" s="182"/>
      <c r="S18" s="201"/>
      <c r="T18" s="201"/>
      <c r="U18" s="201"/>
      <c r="V18" s="201"/>
      <c r="W18" s="201"/>
      <c r="X18" s="201"/>
      <c r="Y18" s="201"/>
      <c r="Z18" s="201"/>
      <c r="AA18" s="201"/>
      <c r="AB18" s="201"/>
      <c r="AC18" s="201"/>
      <c r="AD18" s="201"/>
      <c r="AE18" s="201"/>
      <c r="AF18" s="201"/>
      <c r="AG18" s="201"/>
      <c r="AH18" s="201"/>
      <c r="AI18" s="201"/>
    </row>
    <row r="19" spans="1:35" ht="17.25" customHeight="1">
      <c r="A19" s="3"/>
      <c r="B19" s="483"/>
      <c r="C19" s="483"/>
      <c r="D19" s="484"/>
      <c r="E19" s="484"/>
      <c r="F19" s="484"/>
      <c r="G19" s="484"/>
      <c r="H19" s="484"/>
      <c r="I19" s="484"/>
      <c r="J19" s="484"/>
      <c r="K19" s="484"/>
      <c r="L19" s="484"/>
      <c r="M19" s="3"/>
      <c r="N19" s="3"/>
      <c r="O19" s="183"/>
      <c r="P19" s="182"/>
      <c r="S19" s="201"/>
      <c r="T19" s="201"/>
      <c r="U19" s="201"/>
      <c r="V19" s="201"/>
      <c r="W19" s="201"/>
      <c r="X19" s="201"/>
      <c r="Y19" s="201"/>
      <c r="Z19" s="201"/>
      <c r="AA19" s="201"/>
      <c r="AB19" s="201"/>
      <c r="AC19" s="201"/>
      <c r="AD19" s="201"/>
      <c r="AE19" s="201"/>
      <c r="AF19" s="201"/>
      <c r="AG19" s="201"/>
      <c r="AH19" s="201"/>
      <c r="AI19" s="201"/>
    </row>
    <row r="20" spans="1:35" ht="6" customHeight="1">
      <c r="A20" s="3"/>
      <c r="B20" s="121"/>
      <c r="C20" s="483"/>
      <c r="D20" s="118"/>
      <c r="E20" s="1021"/>
      <c r="F20" s="1021"/>
      <c r="G20" s="1021"/>
      <c r="H20" s="1021"/>
      <c r="I20" s="1021"/>
      <c r="J20" s="1021"/>
      <c r="K20" s="1021"/>
      <c r="L20" s="3"/>
      <c r="M20" s="3"/>
      <c r="N20" s="3"/>
      <c r="O20" s="3"/>
      <c r="P20" s="3"/>
      <c r="S20" s="201"/>
      <c r="T20" s="201"/>
      <c r="U20" s="201"/>
      <c r="V20" s="201"/>
      <c r="W20" s="201"/>
      <c r="X20" s="201"/>
      <c r="Y20" s="201"/>
      <c r="Z20" s="201"/>
      <c r="AA20" s="201"/>
      <c r="AB20" s="201"/>
      <c r="AC20" s="201"/>
      <c r="AD20" s="201"/>
      <c r="AE20" s="201"/>
      <c r="AF20" s="201"/>
      <c r="AG20" s="201"/>
      <c r="AH20" s="201"/>
      <c r="AI20" s="201"/>
    </row>
    <row r="21" spans="1:35" ht="45" customHeight="1">
      <c r="A21" s="3"/>
      <c r="B21" s="1052" t="s">
        <v>391</v>
      </c>
      <c r="C21" s="1052"/>
      <c r="D21" s="1052"/>
      <c r="E21" s="528" t="s">
        <v>379</v>
      </c>
      <c r="F21" s="528" t="s">
        <v>271</v>
      </c>
      <c r="G21" s="979" t="s">
        <v>83</v>
      </c>
      <c r="H21" s="980"/>
      <c r="I21" s="985" t="s">
        <v>84</v>
      </c>
      <c r="J21" s="986"/>
      <c r="K21" s="529" t="s">
        <v>85</v>
      </c>
      <c r="L21" s="987" t="s">
        <v>614</v>
      </c>
      <c r="M21" s="988"/>
      <c r="N21" s="988"/>
      <c r="O21" s="988"/>
      <c r="P21" s="988"/>
      <c r="Q21" s="989"/>
      <c r="S21" s="64" t="s">
        <v>49</v>
      </c>
      <c r="T21" s="65">
        <v>0</v>
      </c>
      <c r="U21" s="66">
        <v>0.3</v>
      </c>
      <c r="V21" s="66">
        <v>0.6</v>
      </c>
      <c r="W21" s="66">
        <v>0.9</v>
      </c>
      <c r="X21" s="66">
        <v>1</v>
      </c>
      <c r="Y21" s="70"/>
      <c r="Z21" s="70"/>
      <c r="AA21" s="64" t="s">
        <v>49</v>
      </c>
      <c r="AB21" s="65">
        <v>0</v>
      </c>
      <c r="AC21" s="66">
        <v>0.2</v>
      </c>
      <c r="AD21" s="66">
        <v>0.4</v>
      </c>
      <c r="AE21" s="66">
        <v>0.6</v>
      </c>
      <c r="AF21" s="66">
        <v>0.8</v>
      </c>
      <c r="AG21" s="70"/>
      <c r="AH21" s="70"/>
      <c r="AI21" s="70"/>
    </row>
    <row r="22" spans="1:35" ht="79.5" customHeight="1">
      <c r="A22" s="3"/>
      <c r="B22" s="990" t="s">
        <v>557</v>
      </c>
      <c r="C22" s="991"/>
      <c r="D22" s="992"/>
      <c r="E22" s="609" t="s">
        <v>718</v>
      </c>
      <c r="F22" s="609" t="s">
        <v>719</v>
      </c>
      <c r="G22" s="993">
        <v>1.01</v>
      </c>
      <c r="H22" s="994"/>
      <c r="I22" s="994"/>
      <c r="J22" s="994"/>
      <c r="K22" s="995"/>
      <c r="L22" s="969" t="s">
        <v>715</v>
      </c>
      <c r="M22" s="970"/>
      <c r="N22" s="970"/>
      <c r="O22" s="970"/>
      <c r="P22" s="970"/>
      <c r="Q22" s="970"/>
      <c r="S22" s="64" t="s">
        <v>50</v>
      </c>
      <c r="T22" s="67">
        <v>0.3</v>
      </c>
      <c r="U22" s="66">
        <v>0.6</v>
      </c>
      <c r="V22" s="66">
        <v>0.9</v>
      </c>
      <c r="W22" s="66">
        <v>1</v>
      </c>
      <c r="X22" s="66">
        <v>2</v>
      </c>
      <c r="Y22" s="70"/>
      <c r="Z22" s="70"/>
      <c r="AA22" s="64" t="s">
        <v>50</v>
      </c>
      <c r="AB22" s="67">
        <v>0.2</v>
      </c>
      <c r="AC22" s="66">
        <v>0.4</v>
      </c>
      <c r="AD22" s="66">
        <v>0.6</v>
      </c>
      <c r="AE22" s="66">
        <v>0.8</v>
      </c>
      <c r="AF22" s="66">
        <v>1</v>
      </c>
      <c r="AG22" s="70"/>
      <c r="AH22" s="70"/>
      <c r="AI22" s="70"/>
    </row>
    <row r="23" spans="1:35" ht="87" customHeight="1">
      <c r="A23" s="3"/>
      <c r="B23" s="996" t="s">
        <v>561</v>
      </c>
      <c r="C23" s="996"/>
      <c r="D23" s="996"/>
      <c r="E23" s="609" t="s">
        <v>720</v>
      </c>
      <c r="F23" s="609" t="s">
        <v>721</v>
      </c>
      <c r="G23" s="993">
        <v>0.98</v>
      </c>
      <c r="H23" s="994"/>
      <c r="I23" s="994"/>
      <c r="J23" s="994"/>
      <c r="K23" s="995"/>
      <c r="L23" s="969" t="s">
        <v>716</v>
      </c>
      <c r="M23" s="970"/>
      <c r="N23" s="970"/>
      <c r="O23" s="970"/>
      <c r="P23" s="970"/>
      <c r="Q23" s="970"/>
      <c r="S23" s="68"/>
      <c r="T23" s="69" t="str">
        <f>"de "&amp;T21&amp;" a "&amp;T22</f>
        <v>de 0 a 0,3</v>
      </c>
      <c r="U23" s="69" t="str">
        <f>"de "&amp;U21&amp;" a "&amp;U22</f>
        <v>de 0,3 a 0,6</v>
      </c>
      <c r="V23" s="69" t="str">
        <f>"de "&amp;V21&amp;" a "&amp;V22</f>
        <v>de 0,6 a 0,9</v>
      </c>
      <c r="W23" s="69" t="str">
        <f>"de "&amp;W21&amp;" a "&amp;W22</f>
        <v>de 0,9 a 1</v>
      </c>
      <c r="X23" s="69" t="str">
        <f>"de "&amp;X21&amp;" a "&amp;X22</f>
        <v>de 1 a 2</v>
      </c>
      <c r="Y23" s="70"/>
      <c r="Z23" s="70" t="s">
        <v>75</v>
      </c>
      <c r="AA23" s="68" t="s">
        <v>74</v>
      </c>
      <c r="AB23" s="69" t="str">
        <f>"de "&amp;AB21&amp;" a "&amp;AB22</f>
        <v>de 0 a 0,2</v>
      </c>
      <c r="AC23" s="69" t="str">
        <f>"de "&amp;AC21&amp;" a "&amp;AC22</f>
        <v>de 0,2 a 0,4</v>
      </c>
      <c r="AD23" s="69" t="str">
        <f>"de "&amp;AD21&amp;" a "&amp;AD22</f>
        <v>de 0,4 a 0,6</v>
      </c>
      <c r="AE23" s="69" t="str">
        <f>"de "&amp;AE21&amp;" a "&amp;AE22</f>
        <v>de 0,6 a 0,8</v>
      </c>
      <c r="AF23" s="69" t="str">
        <f>"de "&amp;AF21&amp;" a "&amp;AF22</f>
        <v>de 0,8 a 1</v>
      </c>
      <c r="AG23" s="70"/>
      <c r="AH23" s="70"/>
      <c r="AI23" s="70"/>
    </row>
    <row r="24" spans="1:35" ht="92.25" customHeight="1">
      <c r="A24" s="3"/>
      <c r="B24" s="997" t="s">
        <v>493</v>
      </c>
      <c r="C24" s="998"/>
      <c r="D24" s="999"/>
      <c r="E24" s="609" t="s">
        <v>722</v>
      </c>
      <c r="F24" s="609" t="s">
        <v>723</v>
      </c>
      <c r="G24" s="993">
        <v>1.2</v>
      </c>
      <c r="H24" s="994"/>
      <c r="I24" s="994"/>
      <c r="J24" s="994"/>
      <c r="K24" s="995"/>
      <c r="L24" s="1000" t="s">
        <v>717</v>
      </c>
      <c r="M24" s="1000"/>
      <c r="N24" s="1000"/>
      <c r="O24" s="1000"/>
      <c r="P24" s="1000"/>
      <c r="Q24" s="1000"/>
      <c r="S24" s="68"/>
      <c r="T24" s="66" t="e">
        <f t="shared" ref="T24:W26" si="0">IF($K22&gt;T$21,IF($K22&lt;=T$22,$K22,NA()),NA())</f>
        <v>#N/A</v>
      </c>
      <c r="U24" s="66" t="e">
        <f t="shared" si="0"/>
        <v>#N/A</v>
      </c>
      <c r="V24" s="66" t="e">
        <f t="shared" si="0"/>
        <v>#N/A</v>
      </c>
      <c r="W24" s="66" t="e">
        <f t="shared" si="0"/>
        <v>#N/A</v>
      </c>
      <c r="X24" s="66" t="e">
        <f>IF($K22&gt;X$21,IF($K22&lt;=X$22,1,NA()),NA())</f>
        <v>#N/A</v>
      </c>
      <c r="Y24" s="70"/>
      <c r="Z24" s="179" t="e">
        <f>+'[2]Сведения о гранте'!#REF!</f>
        <v>#REF!</v>
      </c>
      <c r="AA24" s="66" t="e">
        <f>+IF(Z24="A1",1,IF(Z24="A2",0.8,IF(Z24="B1",0.6,IF(Z24="B2",0.4,0.2))))</f>
        <v>#REF!</v>
      </c>
      <c r="AB24" s="66" t="e">
        <f>IF($AA24&gt;AB$21,IF($AA24&lt;=AB$22,$AA24,NA()),NA())</f>
        <v>#REF!</v>
      </c>
      <c r="AC24" s="66" t="e">
        <f t="shared" ref="AC24:AF26" si="1">IF($AA24&gt;AC$21,IF($AA24&lt;=AC$22,$AA24,NA()),NA())</f>
        <v>#REF!</v>
      </c>
      <c r="AD24" s="66" t="e">
        <f t="shared" si="1"/>
        <v>#REF!</v>
      </c>
      <c r="AE24" s="66" t="e">
        <f t="shared" si="1"/>
        <v>#REF!</v>
      </c>
      <c r="AF24" s="66" t="e">
        <f t="shared" si="1"/>
        <v>#REF!</v>
      </c>
      <c r="AG24" s="70"/>
      <c r="AH24" s="70"/>
      <c r="AI24" s="70"/>
    </row>
    <row r="25" spans="1:35" ht="177.75" customHeight="1">
      <c r="A25" s="3"/>
      <c r="B25" s="1004" t="s">
        <v>505</v>
      </c>
      <c r="C25" s="1005"/>
      <c r="D25" s="1006"/>
      <c r="E25" s="530" t="s">
        <v>724</v>
      </c>
      <c r="F25" s="530" t="s">
        <v>688</v>
      </c>
      <c r="G25" s="993">
        <v>0.71</v>
      </c>
      <c r="H25" s="994"/>
      <c r="I25" s="994"/>
      <c r="J25" s="994"/>
      <c r="K25" s="995"/>
      <c r="L25" s="1000" t="s">
        <v>727</v>
      </c>
      <c r="M25" s="1000"/>
      <c r="N25" s="1000"/>
      <c r="O25" s="1000"/>
      <c r="P25" s="1000"/>
      <c r="Q25" s="1000"/>
      <c r="R25" s="415"/>
      <c r="S25" s="68"/>
      <c r="T25" s="66" t="e">
        <f t="shared" si="0"/>
        <v>#N/A</v>
      </c>
      <c r="U25" s="66" t="e">
        <f t="shared" si="0"/>
        <v>#N/A</v>
      </c>
      <c r="V25" s="66" t="e">
        <f t="shared" si="0"/>
        <v>#N/A</v>
      </c>
      <c r="W25" s="66" t="e">
        <f t="shared" si="0"/>
        <v>#N/A</v>
      </c>
      <c r="X25" s="66" t="e">
        <f>IF($K23&gt;X$21,IF($K23&lt;=X$22,1,1),NA())</f>
        <v>#N/A</v>
      </c>
      <c r="Y25" s="70"/>
      <c r="Z25" s="179" t="e">
        <f>+'[2]Сведения о гранте'!#REF!</f>
        <v>#REF!</v>
      </c>
      <c r="AA25" s="66" t="e">
        <f>+IF(Z25="A1",1,IF(Z25="A2",0.8,IF(Z25="B1",0.6,IF(Z25="B2",0.4,0.2))))</f>
        <v>#REF!</v>
      </c>
      <c r="AB25" s="66" t="e">
        <f>IF($AA25&gt;AB$21,IF($AA25&lt;=AB$22,$AA25,NA()),NA())</f>
        <v>#REF!</v>
      </c>
      <c r="AC25" s="66" t="e">
        <f t="shared" si="1"/>
        <v>#REF!</v>
      </c>
      <c r="AD25" s="66" t="e">
        <f t="shared" si="1"/>
        <v>#REF!</v>
      </c>
      <c r="AE25" s="66" t="e">
        <f t="shared" si="1"/>
        <v>#REF!</v>
      </c>
      <c r="AF25" s="66" t="e">
        <f t="shared" si="1"/>
        <v>#REF!</v>
      </c>
      <c r="AG25" s="70"/>
      <c r="AH25" s="70"/>
      <c r="AI25" s="70"/>
    </row>
    <row r="26" spans="1:35" ht="84.75" customHeight="1">
      <c r="A26" s="3"/>
      <c r="B26" s="990" t="s">
        <v>511</v>
      </c>
      <c r="C26" s="991"/>
      <c r="D26" s="992"/>
      <c r="E26" s="531" t="s">
        <v>690</v>
      </c>
      <c r="F26" s="531" t="s">
        <v>691</v>
      </c>
      <c r="G26" s="993">
        <v>1.1399999999999999</v>
      </c>
      <c r="H26" s="994"/>
      <c r="I26" s="994"/>
      <c r="J26" s="994"/>
      <c r="K26" s="995"/>
      <c r="L26" s="1000" t="s">
        <v>728</v>
      </c>
      <c r="M26" s="1000"/>
      <c r="N26" s="1000"/>
      <c r="O26" s="1000"/>
      <c r="P26" s="1000"/>
      <c r="Q26" s="1000"/>
      <c r="R26" s="608"/>
      <c r="S26" s="68"/>
      <c r="T26" s="66" t="e">
        <f t="shared" si="0"/>
        <v>#N/A</v>
      </c>
      <c r="U26" s="66" t="e">
        <f t="shared" si="0"/>
        <v>#N/A</v>
      </c>
      <c r="V26" s="66" t="e">
        <f t="shared" si="0"/>
        <v>#N/A</v>
      </c>
      <c r="W26" s="66" t="e">
        <f t="shared" si="0"/>
        <v>#N/A</v>
      </c>
      <c r="X26" s="66" t="e">
        <f>IF($K24&gt;X$21,IF($K24&lt;=X$22,1,NA()),NA())</f>
        <v>#N/A</v>
      </c>
      <c r="Y26" s="70"/>
      <c r="Z26" s="179" t="e">
        <f>+'[2]Сведения о гранте'!#REF!</f>
        <v>#REF!</v>
      </c>
      <c r="AA26" s="66" t="e">
        <f>+IF(Z26="A1",1,IF(Z26="A2",0.8,IF(Z26="B1",0.6,IF(Z26="B2",0.4,0.2))))</f>
        <v>#REF!</v>
      </c>
      <c r="AB26" s="66" t="e">
        <f>IF($AA26&gt;AB$21,IF($AA26&lt;=AB$22,$AA26,NA()),NA())</f>
        <v>#REF!</v>
      </c>
      <c r="AC26" s="66" t="e">
        <f t="shared" si="1"/>
        <v>#REF!</v>
      </c>
      <c r="AD26" s="66" t="e">
        <f t="shared" si="1"/>
        <v>#REF!</v>
      </c>
      <c r="AE26" s="66" t="e">
        <f t="shared" si="1"/>
        <v>#REF!</v>
      </c>
      <c r="AF26" s="66" t="e">
        <f t="shared" si="1"/>
        <v>#REF!</v>
      </c>
      <c r="AG26" s="70"/>
      <c r="AH26" s="70"/>
      <c r="AI26" s="70"/>
    </row>
    <row r="27" spans="1:35" ht="303" customHeight="1">
      <c r="A27" s="3"/>
      <c r="B27" s="990" t="s">
        <v>515</v>
      </c>
      <c r="C27" s="991"/>
      <c r="D27" s="992"/>
      <c r="E27" s="531" t="s">
        <v>693</v>
      </c>
      <c r="F27" s="531" t="s">
        <v>694</v>
      </c>
      <c r="G27" s="993">
        <v>0.79</v>
      </c>
      <c r="H27" s="994"/>
      <c r="I27" s="994"/>
      <c r="J27" s="994"/>
      <c r="K27" s="995"/>
      <c r="L27" s="1000" t="s">
        <v>729</v>
      </c>
      <c r="M27" s="1000"/>
      <c r="N27" s="1000"/>
      <c r="O27" s="1000"/>
      <c r="P27" s="1000"/>
      <c r="Q27" s="1000"/>
      <c r="R27" s="608"/>
      <c r="S27" s="68"/>
      <c r="T27" s="66"/>
      <c r="U27" s="66"/>
      <c r="V27" s="66"/>
      <c r="W27" s="66"/>
      <c r="X27" s="66"/>
      <c r="Y27" s="70"/>
      <c r="Z27" s="179"/>
      <c r="AA27" s="532"/>
      <c r="AB27" s="532"/>
      <c r="AC27" s="532"/>
      <c r="AD27" s="532"/>
      <c r="AE27" s="532"/>
      <c r="AF27" s="532"/>
      <c r="AG27" s="70"/>
      <c r="AH27" s="70"/>
      <c r="AI27" s="70"/>
    </row>
    <row r="28" spans="1:35" ht="84.75" customHeight="1">
      <c r="A28" s="3"/>
      <c r="B28" s="990" t="s">
        <v>522</v>
      </c>
      <c r="C28" s="991"/>
      <c r="D28" s="992"/>
      <c r="E28" s="531" t="s">
        <v>696</v>
      </c>
      <c r="F28" s="531" t="s">
        <v>725</v>
      </c>
      <c r="G28" s="993">
        <v>1.2</v>
      </c>
      <c r="H28" s="994"/>
      <c r="I28" s="994"/>
      <c r="J28" s="994"/>
      <c r="K28" s="995"/>
      <c r="L28" s="1001" t="s">
        <v>730</v>
      </c>
      <c r="M28" s="1002"/>
      <c r="N28" s="1002"/>
      <c r="O28" s="1002"/>
      <c r="P28" s="1002"/>
      <c r="Q28" s="1003"/>
      <c r="R28" s="608"/>
      <c r="S28" s="68"/>
      <c r="T28" s="66" t="e">
        <f t="shared" ref="T28:W29" si="2">IF($K25&gt;T$21,IF($K25&lt;=T$22,$K25,NA()),NA())</f>
        <v>#N/A</v>
      </c>
      <c r="U28" s="66" t="e">
        <f t="shared" si="2"/>
        <v>#N/A</v>
      </c>
      <c r="V28" s="66" t="e">
        <f t="shared" si="2"/>
        <v>#N/A</v>
      </c>
      <c r="W28" s="66" t="e">
        <f t="shared" si="2"/>
        <v>#N/A</v>
      </c>
      <c r="X28" s="66" t="e">
        <f>IF($K25&gt;X$21,IF($K25&lt;=X$22,1,NA()),NA())</f>
        <v>#N/A</v>
      </c>
      <c r="Y28" s="70"/>
      <c r="Z28" s="70"/>
      <c r="AA28" s="70"/>
      <c r="AB28" s="70"/>
      <c r="AC28" s="70"/>
      <c r="AD28" s="70"/>
      <c r="AE28" s="70"/>
      <c r="AF28" s="70"/>
      <c r="AG28" s="70"/>
      <c r="AH28" s="70"/>
      <c r="AI28" s="70"/>
    </row>
    <row r="29" spans="1:35" ht="93.75" customHeight="1">
      <c r="A29" s="3"/>
      <c r="B29" s="974" t="s">
        <v>508</v>
      </c>
      <c r="C29" s="1011"/>
      <c r="D29" s="1012"/>
      <c r="E29" s="533" t="s">
        <v>698</v>
      </c>
      <c r="F29" s="533" t="s">
        <v>699</v>
      </c>
      <c r="G29" s="1024">
        <v>1.1399999999999999</v>
      </c>
      <c r="H29" s="1025"/>
      <c r="I29" s="1025"/>
      <c r="J29" s="1025"/>
      <c r="K29" s="1026"/>
      <c r="L29" s="1001" t="s">
        <v>739</v>
      </c>
      <c r="M29" s="1005"/>
      <c r="N29" s="1005"/>
      <c r="O29" s="1005"/>
      <c r="P29" s="1005"/>
      <c r="Q29" s="1006"/>
      <c r="R29" s="608"/>
      <c r="S29" s="68"/>
      <c r="T29" s="66" t="e">
        <f t="shared" si="2"/>
        <v>#N/A</v>
      </c>
      <c r="U29" s="66" t="e">
        <f t="shared" si="2"/>
        <v>#N/A</v>
      </c>
      <c r="V29" s="66" t="e">
        <f t="shared" si="2"/>
        <v>#N/A</v>
      </c>
      <c r="W29" s="66" t="e">
        <f t="shared" si="2"/>
        <v>#N/A</v>
      </c>
      <c r="X29" s="66" t="e">
        <f>IF($K26&gt;X$21,IF($K26&lt;=X$22,1,NA()),NA())</f>
        <v>#N/A</v>
      </c>
      <c r="Y29" s="70"/>
      <c r="Z29" s="70"/>
      <c r="AA29" s="70"/>
      <c r="AB29" s="70"/>
      <c r="AC29" s="70"/>
      <c r="AD29" s="70"/>
      <c r="AE29" s="70"/>
      <c r="AF29" s="70"/>
      <c r="AG29" s="70"/>
      <c r="AH29" s="70"/>
      <c r="AI29" s="70"/>
    </row>
    <row r="30" spans="1:35" ht="107.25" customHeight="1">
      <c r="A30" s="3"/>
      <c r="B30" s="974" t="s">
        <v>519</v>
      </c>
      <c r="C30" s="1011"/>
      <c r="D30" s="1012"/>
      <c r="E30" s="533" t="s">
        <v>700</v>
      </c>
      <c r="F30" s="533" t="s">
        <v>701</v>
      </c>
      <c r="G30" s="1024">
        <v>0.95</v>
      </c>
      <c r="H30" s="1025"/>
      <c r="I30" s="1025"/>
      <c r="J30" s="1025"/>
      <c r="K30" s="1026"/>
      <c r="L30" s="1001" t="s">
        <v>731</v>
      </c>
      <c r="M30" s="1005"/>
      <c r="N30" s="1005"/>
      <c r="O30" s="1005"/>
      <c r="P30" s="1005"/>
      <c r="Q30" s="1006"/>
      <c r="R30" s="608"/>
      <c r="S30" s="68"/>
      <c r="T30" s="66"/>
      <c r="U30" s="66"/>
      <c r="V30" s="66"/>
      <c r="W30" s="66"/>
      <c r="X30" s="66"/>
      <c r="Y30" s="70"/>
      <c r="Z30" s="70"/>
      <c r="AA30" s="70"/>
      <c r="AB30" s="70"/>
      <c r="AC30" s="70"/>
      <c r="AD30" s="70"/>
      <c r="AE30" s="70"/>
      <c r="AF30" s="70"/>
      <c r="AG30" s="70"/>
      <c r="AH30" s="70"/>
      <c r="AI30" s="70"/>
    </row>
    <row r="31" spans="1:35" ht="88.5" customHeight="1">
      <c r="A31" s="3"/>
      <c r="B31" s="974" t="s">
        <v>525</v>
      </c>
      <c r="C31" s="975"/>
      <c r="D31" s="976"/>
      <c r="E31" s="533" t="s">
        <v>703</v>
      </c>
      <c r="F31" s="533" t="s">
        <v>704</v>
      </c>
      <c r="G31" s="1053">
        <v>1.05</v>
      </c>
      <c r="H31" s="1054"/>
      <c r="I31" s="1054"/>
      <c r="J31" s="1054"/>
      <c r="K31" s="1055"/>
      <c r="L31" s="1001" t="s">
        <v>732</v>
      </c>
      <c r="M31" s="1005"/>
      <c r="N31" s="1005"/>
      <c r="O31" s="1005"/>
      <c r="P31" s="1005"/>
      <c r="Q31" s="1006"/>
      <c r="R31" s="608"/>
      <c r="S31" s="68"/>
      <c r="T31" s="66"/>
      <c r="U31" s="66"/>
      <c r="V31" s="66"/>
      <c r="W31" s="66"/>
      <c r="X31" s="66"/>
      <c r="Y31" s="70"/>
      <c r="Z31" s="70"/>
      <c r="AA31" s="70"/>
      <c r="AB31" s="70"/>
      <c r="AC31" s="70"/>
      <c r="AD31" s="70"/>
      <c r="AE31" s="70"/>
      <c r="AF31" s="70"/>
      <c r="AG31" s="70"/>
      <c r="AH31" s="70"/>
      <c r="AI31" s="70"/>
    </row>
    <row r="32" spans="1:35" ht="70.5" customHeight="1">
      <c r="A32" s="3"/>
      <c r="B32" s="974" t="s">
        <v>528</v>
      </c>
      <c r="C32" s="975"/>
      <c r="D32" s="976"/>
      <c r="E32" s="530">
        <v>0.93</v>
      </c>
      <c r="F32" s="530">
        <v>0.97</v>
      </c>
      <c r="G32" s="971">
        <v>1.04</v>
      </c>
      <c r="H32" s="972"/>
      <c r="I32" s="972"/>
      <c r="J32" s="972"/>
      <c r="K32" s="973"/>
      <c r="L32" s="969" t="s">
        <v>733</v>
      </c>
      <c r="M32" s="970"/>
      <c r="N32" s="970"/>
      <c r="O32" s="970"/>
      <c r="P32" s="970"/>
      <c r="Q32" s="970"/>
      <c r="R32" s="608"/>
      <c r="S32" s="68"/>
      <c r="T32" s="66" t="e">
        <f t="shared" ref="T32:W33" si="3">IF($K28&gt;T$21,IF($K28&lt;=T$22,$K28,NA()),NA())</f>
        <v>#N/A</v>
      </c>
      <c r="U32" s="66" t="e">
        <f t="shared" si="3"/>
        <v>#N/A</v>
      </c>
      <c r="V32" s="66" t="e">
        <f t="shared" si="3"/>
        <v>#N/A</v>
      </c>
      <c r="W32" s="66" t="e">
        <f t="shared" si="3"/>
        <v>#N/A</v>
      </c>
      <c r="X32" s="66" t="e">
        <f>IF($K28&gt;X$21,IF($K28&lt;=X$22,1,NA()),NA())</f>
        <v>#N/A</v>
      </c>
      <c r="Y32" s="70"/>
      <c r="Z32" s="70"/>
      <c r="AA32" s="70"/>
      <c r="AB32" s="70"/>
      <c r="AC32" s="70"/>
      <c r="AD32" s="70"/>
      <c r="AE32" s="70"/>
      <c r="AF32" s="70"/>
      <c r="AG32" s="70"/>
      <c r="AH32" s="70"/>
      <c r="AI32" s="70"/>
    </row>
    <row r="33" spans="1:35" ht="89.25" customHeight="1">
      <c r="A33" s="3"/>
      <c r="B33" s="974" t="s">
        <v>532</v>
      </c>
      <c r="C33" s="975"/>
      <c r="D33" s="976"/>
      <c r="E33" s="530">
        <v>0.9</v>
      </c>
      <c r="F33" s="530">
        <v>0.93</v>
      </c>
      <c r="G33" s="971">
        <v>1.03</v>
      </c>
      <c r="H33" s="972"/>
      <c r="I33" s="972"/>
      <c r="J33" s="972"/>
      <c r="K33" s="973"/>
      <c r="L33" s="969" t="s">
        <v>734</v>
      </c>
      <c r="M33" s="970"/>
      <c r="N33" s="970"/>
      <c r="O33" s="970"/>
      <c r="P33" s="970"/>
      <c r="Q33" s="970"/>
      <c r="R33" s="608"/>
      <c r="S33" s="68"/>
      <c r="T33" s="66" t="e">
        <f t="shared" si="3"/>
        <v>#N/A</v>
      </c>
      <c r="U33" s="66" t="e">
        <f t="shared" si="3"/>
        <v>#N/A</v>
      </c>
      <c r="V33" s="66" t="e">
        <f t="shared" si="3"/>
        <v>#N/A</v>
      </c>
      <c r="W33" s="66" t="e">
        <f t="shared" si="3"/>
        <v>#N/A</v>
      </c>
      <c r="X33" s="66" t="e">
        <f>IF($K29&gt;X$21,IF($K29&lt;=X$22,1,NA()),NA())</f>
        <v>#N/A</v>
      </c>
      <c r="Y33" s="70"/>
      <c r="Z33" s="70"/>
      <c r="AA33" s="70"/>
      <c r="AB33" s="70"/>
      <c r="AC33" s="70"/>
      <c r="AD33" s="70"/>
      <c r="AE33" s="70"/>
      <c r="AF33" s="70"/>
      <c r="AG33" s="70"/>
      <c r="AH33" s="70"/>
      <c r="AI33" s="70"/>
    </row>
    <row r="34" spans="1:35" ht="89.25" customHeight="1">
      <c r="A34" s="3"/>
      <c r="B34" s="974" t="s">
        <v>536</v>
      </c>
      <c r="C34" s="975"/>
      <c r="D34" s="976"/>
      <c r="E34" s="530">
        <v>0.9</v>
      </c>
      <c r="F34" s="530">
        <v>0.86</v>
      </c>
      <c r="G34" s="971">
        <v>0.96</v>
      </c>
      <c r="H34" s="972"/>
      <c r="I34" s="972"/>
      <c r="J34" s="972"/>
      <c r="K34" s="973"/>
      <c r="L34" s="969" t="s">
        <v>735</v>
      </c>
      <c r="M34" s="970"/>
      <c r="N34" s="970"/>
      <c r="O34" s="970"/>
      <c r="P34" s="970"/>
      <c r="Q34" s="970"/>
      <c r="R34" s="608"/>
      <c r="S34" s="68"/>
      <c r="T34" s="66" t="e">
        <f>IF($K33&gt;T$21,IF($K33&lt;=T$22,$K33,NA()),NA())</f>
        <v>#N/A</v>
      </c>
      <c r="U34" s="66" t="e">
        <f>IF($K33&gt;U$21,IF($K33&lt;=U$22,$K33,NA()),NA())</f>
        <v>#N/A</v>
      </c>
      <c r="V34" s="66" t="e">
        <f>IF($K33&gt;V$21,IF($K33&lt;=V$22,$K33,NA()),NA())</f>
        <v>#N/A</v>
      </c>
      <c r="W34" s="66" t="e">
        <f>IF($K33&gt;W$21,IF($K33&lt;=W$22,$K33,NA()),NA())</f>
        <v>#N/A</v>
      </c>
      <c r="X34" s="66" t="e">
        <f>IF($K33&gt;X$21,IF($K33&lt;=X$22,1,NA()),NA())</f>
        <v>#N/A</v>
      </c>
      <c r="Y34" s="70"/>
      <c r="Z34" s="70"/>
      <c r="AA34" s="70"/>
      <c r="AB34" s="70"/>
      <c r="AC34" s="70"/>
      <c r="AD34" s="70"/>
      <c r="AE34" s="70"/>
      <c r="AF34" s="70"/>
      <c r="AG34" s="70"/>
      <c r="AH34" s="70"/>
      <c r="AI34" s="70"/>
    </row>
    <row r="35" spans="1:35" ht="63" customHeight="1">
      <c r="A35" s="3"/>
      <c r="B35" s="974" t="s">
        <v>598</v>
      </c>
      <c r="C35" s="975"/>
      <c r="D35" s="976"/>
      <c r="E35" s="533">
        <v>350</v>
      </c>
      <c r="F35" s="533">
        <v>497</v>
      </c>
      <c r="G35" s="971">
        <v>1.2</v>
      </c>
      <c r="H35" s="972"/>
      <c r="I35" s="972"/>
      <c r="J35" s="972"/>
      <c r="K35" s="973"/>
      <c r="L35" s="969" t="s">
        <v>736</v>
      </c>
      <c r="M35" s="970"/>
      <c r="N35" s="970"/>
      <c r="O35" s="970"/>
      <c r="P35" s="970"/>
      <c r="Q35" s="970"/>
      <c r="R35" s="608"/>
      <c r="S35" s="68"/>
      <c r="T35" s="66" t="e">
        <f>IF(#REF!&gt;T$21,IF(#REF!&lt;=T$22,#REF!,NA()),NA())</f>
        <v>#REF!</v>
      </c>
      <c r="U35" s="66" t="e">
        <f>IF(#REF!&gt;U$21,IF(#REF!&lt;=U$22,#REF!,NA()),NA())</f>
        <v>#REF!</v>
      </c>
      <c r="V35" s="66" t="e">
        <f>IF(#REF!&gt;V$21,IF(#REF!&lt;=V$22,#REF!,NA()),NA())</f>
        <v>#REF!</v>
      </c>
      <c r="W35" s="66" t="e">
        <f>IF(#REF!&gt;W$21,IF(#REF!&lt;=W$22,#REF!,NA()),NA())</f>
        <v>#REF!</v>
      </c>
      <c r="X35" s="66" t="e">
        <f>IF(#REF!&gt;X$21,IF(#REF!&lt;=X$22,1,NA()),NA())</f>
        <v>#REF!</v>
      </c>
      <c r="Y35" s="70"/>
      <c r="Z35" s="70"/>
      <c r="AA35" s="70"/>
      <c r="AB35" s="70"/>
      <c r="AC35" s="70"/>
      <c r="AD35" s="70"/>
      <c r="AE35" s="70"/>
      <c r="AF35" s="70"/>
      <c r="AG35" s="70"/>
      <c r="AH35" s="70"/>
      <c r="AI35" s="70"/>
    </row>
    <row r="36" spans="1:35" ht="60.75" customHeight="1">
      <c r="A36" s="3"/>
      <c r="B36" s="974" t="s">
        <v>550</v>
      </c>
      <c r="C36" s="975"/>
      <c r="D36" s="976"/>
      <c r="E36" s="533">
        <v>24</v>
      </c>
      <c r="F36" s="533">
        <v>22</v>
      </c>
      <c r="G36" s="971">
        <v>0.92</v>
      </c>
      <c r="H36" s="972"/>
      <c r="I36" s="972"/>
      <c r="J36" s="972"/>
      <c r="K36" s="973"/>
      <c r="L36" s="969" t="s">
        <v>737</v>
      </c>
      <c r="M36" s="970"/>
      <c r="N36" s="970"/>
      <c r="O36" s="970"/>
      <c r="P36" s="970"/>
      <c r="Q36" s="970"/>
      <c r="R36" s="608"/>
      <c r="S36" s="68"/>
      <c r="T36" s="66" t="e">
        <f>IF($K33&gt;T$21,IF($K33&lt;=T$22,$K33,NA()),NA())</f>
        <v>#N/A</v>
      </c>
      <c r="U36" s="66" t="e">
        <f>IF($K33&gt;U$21,IF($K33&lt;=U$22,$K33,NA()),NA())</f>
        <v>#N/A</v>
      </c>
      <c r="V36" s="66" t="e">
        <f>IF($K33&gt;V$21,IF($K33&lt;=V$22,$K33,NA()),NA())</f>
        <v>#N/A</v>
      </c>
      <c r="W36" s="66" t="e">
        <f>IF($K33&gt;W$21,IF($K33&lt;=W$22,$K33,NA()),NA())</f>
        <v>#N/A</v>
      </c>
      <c r="X36" s="66" t="e">
        <f>IF($K33&gt;X$21,IF($K33&lt;=X$22,1,NA()),NA())</f>
        <v>#N/A</v>
      </c>
      <c r="Y36" s="70"/>
      <c r="Z36" s="70"/>
      <c r="AA36" s="70"/>
      <c r="AB36" s="70"/>
      <c r="AC36" s="70"/>
      <c r="AD36" s="70"/>
      <c r="AE36" s="70"/>
      <c r="AF36" s="70"/>
      <c r="AG36" s="70"/>
      <c r="AH36" s="70"/>
      <c r="AI36" s="70"/>
    </row>
    <row r="37" spans="1:35" ht="70.5" customHeight="1">
      <c r="A37" s="3"/>
      <c r="B37" s="974" t="s">
        <v>667</v>
      </c>
      <c r="C37" s="975"/>
      <c r="D37" s="976"/>
      <c r="E37" s="533" t="s">
        <v>712</v>
      </c>
      <c r="F37" s="533" t="s">
        <v>726</v>
      </c>
      <c r="G37" s="971">
        <v>0.85</v>
      </c>
      <c r="H37" s="972"/>
      <c r="I37" s="972"/>
      <c r="J37" s="972"/>
      <c r="K37" s="973"/>
      <c r="L37" s="969" t="s">
        <v>738</v>
      </c>
      <c r="M37" s="970"/>
      <c r="N37" s="970"/>
      <c r="O37" s="970"/>
      <c r="P37" s="970"/>
      <c r="Q37" s="970"/>
      <c r="R37" s="608"/>
      <c r="S37" s="68"/>
      <c r="T37" s="66" t="e">
        <f t="shared" ref="T37:W38" si="4">IF($K35&gt;T$21,IF($K35&lt;=T$22,$K35,NA()),NA())</f>
        <v>#N/A</v>
      </c>
      <c r="U37" s="66" t="e">
        <f t="shared" si="4"/>
        <v>#N/A</v>
      </c>
      <c r="V37" s="66" t="e">
        <f t="shared" si="4"/>
        <v>#N/A</v>
      </c>
      <c r="W37" s="66" t="e">
        <f t="shared" si="4"/>
        <v>#N/A</v>
      </c>
      <c r="X37" s="66" t="e">
        <f>IF($K35&gt;X$21,IF($K35&lt;=X$22,1,NA()),NA())</f>
        <v>#N/A</v>
      </c>
      <c r="Y37" s="70"/>
      <c r="Z37" s="70"/>
      <c r="AA37" s="70"/>
      <c r="AB37" s="70"/>
      <c r="AC37" s="70"/>
      <c r="AD37" s="70"/>
      <c r="AE37" s="70"/>
      <c r="AF37" s="70"/>
      <c r="AG37" s="70"/>
      <c r="AH37" s="70"/>
      <c r="AI37" s="70"/>
    </row>
    <row r="38" spans="1:35" ht="96" customHeight="1">
      <c r="A38" s="3"/>
      <c r="B38" s="974" t="s">
        <v>668</v>
      </c>
      <c r="C38" s="975"/>
      <c r="D38" s="976"/>
      <c r="E38" s="533"/>
      <c r="F38" s="533" t="s">
        <v>711</v>
      </c>
      <c r="G38" s="971"/>
      <c r="H38" s="972"/>
      <c r="I38" s="972"/>
      <c r="J38" s="972"/>
      <c r="K38" s="973"/>
      <c r="L38" s="969" t="s">
        <v>787</v>
      </c>
      <c r="M38" s="970"/>
      <c r="N38" s="970"/>
      <c r="O38" s="970"/>
      <c r="P38" s="970"/>
      <c r="Q38" s="970"/>
      <c r="R38" s="608"/>
      <c r="S38" s="68"/>
      <c r="T38" s="66" t="e">
        <f t="shared" si="4"/>
        <v>#N/A</v>
      </c>
      <c r="U38" s="66" t="e">
        <f t="shared" si="4"/>
        <v>#N/A</v>
      </c>
      <c r="V38" s="66" t="e">
        <f t="shared" si="4"/>
        <v>#N/A</v>
      </c>
      <c r="W38" s="66" t="e">
        <f t="shared" si="4"/>
        <v>#N/A</v>
      </c>
      <c r="X38" s="66" t="e">
        <f>IF($K36&gt;X$21,IF($K36&lt;=X$22,1,NA()),NA())</f>
        <v>#N/A</v>
      </c>
      <c r="Y38" s="70"/>
      <c r="Z38" s="70"/>
      <c r="AA38" s="70"/>
      <c r="AB38" s="70"/>
      <c r="AC38" s="70"/>
      <c r="AD38" s="70"/>
      <c r="AE38" s="70"/>
      <c r="AF38" s="70"/>
      <c r="AG38" s="70"/>
      <c r="AH38" s="70"/>
      <c r="AI38" s="70"/>
    </row>
    <row r="40" spans="1:35" ht="18.75">
      <c r="E40" s="605"/>
      <c r="F40" s="977" t="s">
        <v>626</v>
      </c>
      <c r="G40" s="978"/>
      <c r="H40" s="978"/>
      <c r="I40" s="978"/>
      <c r="J40" s="978"/>
      <c r="K40" s="978"/>
      <c r="L40" s="978"/>
      <c r="M40" s="978"/>
    </row>
    <row r="41" spans="1:35" ht="18.75" customHeight="1" thickBot="1">
      <c r="A41" s="3"/>
      <c r="B41" s="984" t="str">
        <f>+'Ввод данных'!A218</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41" s="984"/>
      <c r="D41" s="984"/>
      <c r="E41" s="984"/>
      <c r="F41" s="984" t="str">
        <f>+'Ввод данных'!A220</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G41" s="984"/>
      <c r="H41" s="984"/>
      <c r="I41" s="984"/>
      <c r="J41" s="984"/>
      <c r="K41" s="984"/>
      <c r="L41" s="984" t="str">
        <f>+'Ввод данных'!A222</f>
        <v xml:space="preserve">MDR TB-1: Процент ранее леченных ТБ пациентов, прошедших ТЛЧ (только бактериологически положительные случаи) </v>
      </c>
      <c r="M41" s="984"/>
      <c r="N41" s="984"/>
      <c r="O41" s="984"/>
      <c r="P41" s="984"/>
      <c r="Q41" s="984"/>
      <c r="S41" s="201"/>
      <c r="T41" s="201"/>
      <c r="U41" s="201"/>
      <c r="V41" s="201"/>
      <c r="W41" s="201"/>
      <c r="X41" s="201"/>
      <c r="Y41" s="70"/>
      <c r="Z41" s="70"/>
      <c r="AA41" s="70"/>
      <c r="AB41" s="70"/>
      <c r="AC41" s="70"/>
      <c r="AD41" s="201"/>
      <c r="AE41" s="201"/>
      <c r="AF41" s="201"/>
      <c r="AG41" s="201"/>
      <c r="AH41" s="201"/>
      <c r="AI41" s="201"/>
    </row>
    <row r="42" spans="1:35" ht="50.25" customHeight="1" thickBot="1">
      <c r="A42" s="3"/>
      <c r="B42" s="581" t="s">
        <v>435</v>
      </c>
      <c r="C42" s="981" t="s">
        <v>469</v>
      </c>
      <c r="D42" s="982"/>
      <c r="E42" s="1013"/>
      <c r="F42" s="586" t="s">
        <v>435</v>
      </c>
      <c r="G42" s="981" t="s">
        <v>470</v>
      </c>
      <c r="H42" s="982"/>
      <c r="I42" s="982"/>
      <c r="J42" s="982"/>
      <c r="K42" s="1013"/>
      <c r="L42" s="586" t="s">
        <v>435</v>
      </c>
      <c r="M42" s="981" t="s">
        <v>471</v>
      </c>
      <c r="N42" s="982"/>
      <c r="O42" s="982"/>
      <c r="P42" s="982"/>
      <c r="Q42" s="983"/>
      <c r="S42" s="201"/>
      <c r="T42" s="201"/>
      <c r="U42" s="201"/>
      <c r="V42" s="201"/>
      <c r="W42" s="201"/>
      <c r="X42" s="201"/>
      <c r="Y42" s="201"/>
      <c r="Z42" s="201"/>
      <c r="AA42" s="201"/>
      <c r="AB42" s="201"/>
      <c r="AC42" s="201"/>
      <c r="AD42" s="201"/>
      <c r="AE42" s="201"/>
      <c r="AF42" s="201"/>
      <c r="AG42" s="201"/>
      <c r="AH42" s="201"/>
      <c r="AI42" s="201"/>
    </row>
    <row r="43" spans="1:35" ht="18.75" customHeight="1">
      <c r="A43" s="3"/>
      <c r="B43" s="117"/>
      <c r="C43" s="117"/>
      <c r="D43" s="199"/>
      <c r="E43" s="199"/>
      <c r="F43" s="199"/>
      <c r="G43" s="199"/>
      <c r="H43" s="199"/>
      <c r="I43" s="199"/>
      <c r="J43" s="199"/>
      <c r="K43" s="199"/>
      <c r="L43" s="199"/>
      <c r="M43" s="3"/>
      <c r="N43" s="3"/>
      <c r="O43" s="183"/>
      <c r="P43" s="182"/>
      <c r="S43" s="201"/>
      <c r="T43" s="201"/>
      <c r="U43" s="201"/>
      <c r="V43" s="201"/>
      <c r="W43" s="201"/>
      <c r="X43" s="201"/>
      <c r="Y43" s="201"/>
      <c r="Z43" s="201"/>
      <c r="AA43" s="201"/>
      <c r="AB43" s="201"/>
      <c r="AC43" s="201"/>
      <c r="AD43" s="201"/>
      <c r="AE43" s="201"/>
      <c r="AF43" s="201"/>
      <c r="AG43" s="201"/>
      <c r="AH43" s="201"/>
      <c r="AI43" s="201"/>
    </row>
    <row r="44" spans="1:35" ht="18.75" customHeight="1">
      <c r="A44" s="3"/>
      <c r="B44" s="117"/>
      <c r="C44" s="117"/>
      <c r="D44" s="199"/>
      <c r="E44" s="199"/>
      <c r="F44" s="199"/>
      <c r="G44" s="199"/>
      <c r="H44" s="199"/>
      <c r="I44" s="199"/>
      <c r="J44" s="199"/>
      <c r="K44" s="199"/>
      <c r="L44" s="199"/>
      <c r="M44" s="3"/>
      <c r="N44" s="3"/>
      <c r="O44" s="183"/>
      <c r="P44" s="182"/>
      <c r="S44" s="201"/>
      <c r="T44" s="201"/>
      <c r="U44" s="201"/>
      <c r="V44" s="201"/>
      <c r="W44" s="201"/>
      <c r="X44" s="201"/>
      <c r="Y44" s="201"/>
      <c r="Z44" s="201"/>
      <c r="AA44" s="201"/>
      <c r="AB44" s="201"/>
      <c r="AC44" s="201"/>
      <c r="AD44" s="201"/>
      <c r="AE44" s="201"/>
      <c r="AF44" s="201"/>
      <c r="AG44" s="201"/>
      <c r="AH44" s="201"/>
      <c r="AI44" s="201"/>
    </row>
    <row r="45" spans="1:35" ht="18.75" customHeight="1">
      <c r="A45" s="3"/>
      <c r="B45" s="534"/>
      <c r="C45" s="534"/>
      <c r="D45" s="535"/>
      <c r="E45" s="535"/>
      <c r="F45" s="535"/>
      <c r="G45" s="535"/>
      <c r="H45" s="535"/>
      <c r="I45" s="535"/>
      <c r="J45" s="535"/>
      <c r="K45" s="535"/>
      <c r="L45" s="535"/>
      <c r="M45" s="3"/>
      <c r="N45" s="3"/>
      <c r="O45" s="183"/>
      <c r="P45" s="182"/>
      <c r="S45" s="201"/>
      <c r="T45" s="201"/>
      <c r="U45" s="201"/>
      <c r="V45" s="201"/>
      <c r="W45" s="201"/>
      <c r="X45" s="201"/>
      <c r="Y45" s="201"/>
      <c r="Z45" s="201"/>
      <c r="AA45" s="201"/>
      <c r="AB45" s="201"/>
      <c r="AC45" s="201"/>
      <c r="AD45" s="201"/>
      <c r="AE45" s="201"/>
      <c r="AF45" s="201"/>
      <c r="AG45" s="201"/>
      <c r="AH45" s="201"/>
      <c r="AI45" s="201"/>
    </row>
    <row r="46" spans="1:35" ht="18.75" customHeight="1">
      <c r="A46" s="3"/>
      <c r="B46" s="534"/>
      <c r="C46" s="534"/>
      <c r="D46" s="535"/>
      <c r="E46" s="535"/>
      <c r="F46" s="535"/>
      <c r="G46" s="535"/>
      <c r="H46" s="535"/>
      <c r="I46" s="535"/>
      <c r="J46" s="535"/>
      <c r="K46" s="535"/>
      <c r="L46" s="535"/>
      <c r="M46" s="3"/>
      <c r="N46" s="3"/>
      <c r="O46" s="183"/>
      <c r="P46" s="182"/>
      <c r="S46" s="201"/>
      <c r="T46" s="201"/>
      <c r="U46" s="201"/>
      <c r="V46" s="201"/>
      <c r="W46" s="201"/>
      <c r="X46" s="201"/>
      <c r="Y46" s="201"/>
      <c r="Z46" s="201"/>
      <c r="AA46" s="201"/>
      <c r="AB46" s="201"/>
      <c r="AC46" s="201"/>
      <c r="AD46" s="201"/>
      <c r="AE46" s="201"/>
      <c r="AF46" s="201"/>
      <c r="AG46" s="201"/>
      <c r="AH46" s="201"/>
      <c r="AI46" s="201"/>
    </row>
    <row r="47" spans="1:35" ht="18.75" customHeight="1">
      <c r="A47" s="3"/>
      <c r="B47" s="117"/>
      <c r="C47" s="117"/>
      <c r="D47" s="199"/>
      <c r="E47" s="199"/>
      <c r="F47" s="199"/>
      <c r="G47" s="199"/>
      <c r="H47" s="199"/>
      <c r="I47" s="199"/>
      <c r="J47" s="199"/>
      <c r="K47" s="199"/>
      <c r="L47" s="199"/>
      <c r="M47" s="3"/>
      <c r="N47" s="3"/>
      <c r="O47" s="183"/>
      <c r="P47" s="182"/>
      <c r="S47" s="201"/>
      <c r="T47" s="201"/>
      <c r="U47" s="201"/>
      <c r="V47" s="201"/>
      <c r="W47" s="201"/>
      <c r="X47" s="201"/>
      <c r="Y47" s="201"/>
      <c r="Z47" s="201"/>
      <c r="AA47" s="201"/>
      <c r="AB47" s="201"/>
      <c r="AC47" s="201"/>
      <c r="AD47" s="201"/>
      <c r="AE47" s="201"/>
      <c r="AF47" s="201"/>
      <c r="AG47" s="201"/>
      <c r="AH47" s="201"/>
      <c r="AI47" s="201"/>
    </row>
    <row r="48" spans="1:35" ht="18.75" customHeight="1">
      <c r="A48" s="3"/>
      <c r="B48" s="117"/>
      <c r="C48" s="117"/>
      <c r="D48" s="199"/>
      <c r="E48" s="199"/>
      <c r="F48" s="199"/>
      <c r="G48" s="199"/>
      <c r="H48" s="199"/>
      <c r="I48" s="199"/>
      <c r="J48" s="199"/>
      <c r="K48" s="199"/>
      <c r="L48" s="199"/>
      <c r="M48" s="3"/>
      <c r="N48" s="3"/>
      <c r="O48" s="183"/>
      <c r="P48" s="182"/>
      <c r="S48" s="201"/>
      <c r="T48" s="201"/>
      <c r="U48" s="201"/>
      <c r="V48" s="201"/>
      <c r="W48" s="201"/>
      <c r="X48" s="201"/>
      <c r="Y48" s="201"/>
      <c r="Z48" s="201"/>
      <c r="AA48" s="201"/>
      <c r="AB48" s="201"/>
      <c r="AC48" s="201"/>
      <c r="AD48" s="201"/>
      <c r="AE48" s="201"/>
      <c r="AF48" s="201"/>
      <c r="AG48" s="201"/>
      <c r="AH48" s="201"/>
      <c r="AI48" s="201"/>
    </row>
    <row r="49" spans="1:35" ht="18.75" customHeight="1">
      <c r="A49" s="3"/>
      <c r="B49" s="117"/>
      <c r="C49" s="117"/>
      <c r="D49" s="199"/>
      <c r="E49" s="199"/>
      <c r="F49" s="199"/>
      <c r="G49" s="199"/>
      <c r="H49" s="199"/>
      <c r="I49" s="199"/>
      <c r="J49" s="199"/>
      <c r="K49" s="199"/>
      <c r="L49" s="199"/>
      <c r="M49" s="3"/>
      <c r="N49" s="3"/>
      <c r="O49" s="183"/>
      <c r="P49" s="182"/>
      <c r="S49" s="201"/>
      <c r="T49" s="201"/>
      <c r="U49" s="201"/>
      <c r="V49" s="201"/>
      <c r="W49" s="201"/>
      <c r="X49" s="201"/>
      <c r="Y49" s="201"/>
      <c r="Z49" s="201"/>
      <c r="AA49" s="201"/>
      <c r="AB49" s="201"/>
      <c r="AC49" s="201"/>
      <c r="AD49" s="201"/>
      <c r="AE49" s="201"/>
      <c r="AF49" s="201"/>
      <c r="AG49" s="201"/>
      <c r="AH49" s="201"/>
      <c r="AI49" s="201"/>
    </row>
    <row r="50" spans="1:35" ht="18.75" customHeight="1">
      <c r="A50" s="3"/>
      <c r="B50" s="117"/>
      <c r="C50" s="117"/>
      <c r="D50" s="199"/>
      <c r="E50" s="199"/>
      <c r="F50" s="199"/>
      <c r="G50" s="199"/>
      <c r="H50" s="199"/>
      <c r="I50" s="199"/>
      <c r="J50" s="199"/>
      <c r="K50" s="199"/>
      <c r="L50" s="199"/>
      <c r="M50" s="3"/>
      <c r="N50" s="3"/>
      <c r="O50" s="183"/>
      <c r="P50" s="182"/>
      <c r="S50" s="201"/>
      <c r="T50" s="201"/>
      <c r="U50" s="201"/>
      <c r="V50" s="201"/>
      <c r="W50" s="201"/>
      <c r="X50" s="201"/>
      <c r="Y50" s="201"/>
      <c r="Z50" s="201"/>
      <c r="AA50" s="201"/>
      <c r="AB50" s="201"/>
      <c r="AC50" s="201"/>
      <c r="AD50" s="201"/>
      <c r="AE50" s="201"/>
      <c r="AF50" s="201"/>
      <c r="AG50" s="201"/>
      <c r="AH50" s="201"/>
      <c r="AI50" s="201"/>
    </row>
    <row r="51" spans="1:35" ht="18.75" customHeight="1">
      <c r="A51" s="3"/>
      <c r="B51" s="117"/>
      <c r="C51" s="117"/>
      <c r="D51" s="199"/>
      <c r="E51" s="199"/>
      <c r="F51" s="199"/>
      <c r="G51" s="199"/>
      <c r="H51" s="199"/>
      <c r="I51" s="199"/>
      <c r="J51" s="199"/>
      <c r="K51" s="199"/>
      <c r="L51" s="199"/>
      <c r="M51" s="3"/>
      <c r="N51" s="3"/>
      <c r="O51" s="183"/>
      <c r="P51" s="182"/>
      <c r="S51" s="201"/>
      <c r="T51" s="201"/>
      <c r="U51" s="201"/>
      <c r="V51" s="201"/>
      <c r="W51" s="201"/>
      <c r="X51" s="201"/>
      <c r="Y51" s="201"/>
      <c r="Z51" s="201"/>
      <c r="AA51" s="201"/>
      <c r="AB51" s="201"/>
      <c r="AC51" s="201"/>
      <c r="AD51" s="201"/>
      <c r="AE51" s="201"/>
      <c r="AF51" s="201"/>
      <c r="AG51" s="201"/>
      <c r="AH51" s="201"/>
      <c r="AI51" s="201"/>
    </row>
    <row r="52" spans="1:35" ht="17.25" customHeight="1">
      <c r="A52" s="3"/>
      <c r="B52" s="117"/>
      <c r="C52" s="117"/>
      <c r="D52" s="199"/>
      <c r="E52" s="199"/>
      <c r="F52" s="199"/>
      <c r="G52" s="199"/>
      <c r="H52" s="199"/>
      <c r="I52" s="199"/>
      <c r="J52" s="199"/>
      <c r="K52" s="199"/>
      <c r="L52" s="199"/>
      <c r="M52" s="3"/>
      <c r="N52" s="3"/>
      <c r="O52" s="183"/>
      <c r="P52" s="182"/>
      <c r="S52" s="201"/>
      <c r="T52" s="201"/>
      <c r="U52" s="201"/>
      <c r="V52" s="201"/>
      <c r="W52" s="201"/>
      <c r="X52" s="201"/>
      <c r="Y52" s="201"/>
      <c r="Z52" s="201"/>
      <c r="AA52" s="201"/>
      <c r="AB52" s="201"/>
      <c r="AC52" s="201"/>
      <c r="AD52" s="201"/>
      <c r="AE52" s="201"/>
      <c r="AF52" s="201"/>
      <c r="AG52" s="201"/>
      <c r="AH52" s="201"/>
      <c r="AI52" s="201"/>
    </row>
    <row r="53" spans="1:35" ht="6" customHeight="1">
      <c r="A53" s="3"/>
      <c r="B53" s="121"/>
      <c r="C53" s="117"/>
      <c r="D53" s="118"/>
      <c r="E53" s="1021"/>
      <c r="F53" s="1021"/>
      <c r="G53" s="1021"/>
      <c r="H53" s="1021"/>
      <c r="I53" s="1021"/>
      <c r="J53" s="1021"/>
      <c r="K53" s="1021"/>
      <c r="L53" s="3"/>
      <c r="M53" s="3"/>
      <c r="N53" s="3"/>
      <c r="O53" s="3"/>
      <c r="P53" s="3"/>
      <c r="S53" s="201"/>
      <c r="T53" s="201"/>
      <c r="U53" s="201"/>
      <c r="V53" s="201"/>
      <c r="W53" s="201"/>
      <c r="X53" s="201"/>
      <c r="Y53" s="201"/>
      <c r="Z53" s="201"/>
      <c r="AA53" s="201"/>
      <c r="AB53" s="201"/>
      <c r="AC53" s="201"/>
      <c r="AD53" s="201"/>
      <c r="AE53" s="201"/>
      <c r="AF53" s="201"/>
      <c r="AG53" s="201"/>
      <c r="AH53" s="201"/>
      <c r="AI53" s="201"/>
    </row>
    <row r="54" spans="1:35" ht="24" customHeight="1">
      <c r="A54" s="3"/>
      <c r="B54" s="1022" t="s">
        <v>391</v>
      </c>
      <c r="C54" s="1022"/>
      <c r="D54" s="1022"/>
      <c r="E54" s="400" t="s">
        <v>379</v>
      </c>
      <c r="F54" s="400" t="s">
        <v>271</v>
      </c>
      <c r="G54" s="1017" t="s">
        <v>83</v>
      </c>
      <c r="H54" s="1018"/>
      <c r="I54" s="1019" t="s">
        <v>84</v>
      </c>
      <c r="J54" s="1020"/>
      <c r="K54" s="407" t="s">
        <v>85</v>
      </c>
      <c r="L54" s="987" t="s">
        <v>456</v>
      </c>
      <c r="M54" s="988"/>
      <c r="N54" s="988"/>
      <c r="O54" s="988"/>
      <c r="P54" s="988"/>
      <c r="Q54" s="989"/>
      <c r="S54" s="64" t="s">
        <v>49</v>
      </c>
      <c r="T54" s="65">
        <v>0</v>
      </c>
      <c r="U54" s="66">
        <v>0.3</v>
      </c>
      <c r="V54" s="66">
        <v>0.6</v>
      </c>
      <c r="W54" s="66">
        <v>0.9</v>
      </c>
      <c r="X54" s="66">
        <v>1</v>
      </c>
      <c r="Y54" s="70"/>
      <c r="Z54" s="70"/>
      <c r="AA54" s="64" t="s">
        <v>49</v>
      </c>
      <c r="AB54" s="65">
        <v>0</v>
      </c>
      <c r="AC54" s="66">
        <v>0.2</v>
      </c>
      <c r="AD54" s="66">
        <v>0.4</v>
      </c>
      <c r="AE54" s="66">
        <v>0.6</v>
      </c>
      <c r="AF54" s="66">
        <v>0.8</v>
      </c>
      <c r="AG54" s="70"/>
      <c r="AH54" s="70"/>
      <c r="AI54" s="70"/>
    </row>
    <row r="55" spans="1:35" ht="75.75" customHeight="1">
      <c r="A55" s="3"/>
      <c r="B55" s="1023" t="str">
        <f>+'Ввод данных'!A218</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55" s="1015"/>
      <c r="D55" s="1016"/>
      <c r="E55" s="401">
        <v>2413</v>
      </c>
      <c r="F55" s="402" t="s">
        <v>677</v>
      </c>
      <c r="G55" s="1029"/>
      <c r="H55" s="1030"/>
      <c r="I55" s="1030"/>
      <c r="J55" s="1030"/>
      <c r="K55" s="1031"/>
      <c r="L55" s="1009" t="s">
        <v>678</v>
      </c>
      <c r="M55" s="1009"/>
      <c r="N55" s="1009"/>
      <c r="O55" s="1009"/>
      <c r="P55" s="1009"/>
      <c r="Q55" s="1009"/>
      <c r="S55" s="64" t="s">
        <v>50</v>
      </c>
      <c r="T55" s="67">
        <v>0.3</v>
      </c>
      <c r="U55" s="66">
        <v>0.6</v>
      </c>
      <c r="V55" s="66">
        <v>0.9</v>
      </c>
      <c r="W55" s="66">
        <v>1</v>
      </c>
      <c r="X55" s="66">
        <v>2</v>
      </c>
      <c r="Y55" s="70"/>
      <c r="Z55" s="70"/>
      <c r="AA55" s="64" t="s">
        <v>50</v>
      </c>
      <c r="AB55" s="67">
        <v>0.2</v>
      </c>
      <c r="AC55" s="66">
        <v>0.4</v>
      </c>
      <c r="AD55" s="66">
        <v>0.6</v>
      </c>
      <c r="AE55" s="66">
        <v>0.8</v>
      </c>
      <c r="AF55" s="66">
        <v>1</v>
      </c>
      <c r="AG55" s="70"/>
      <c r="AH55" s="70"/>
      <c r="AI55" s="70"/>
    </row>
    <row r="56" spans="1:35" ht="73.5" customHeight="1">
      <c r="A56" s="3"/>
      <c r="B56" s="1023" t="str">
        <f>+'Ввод данных'!A220</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C56" s="1015"/>
      <c r="D56" s="1016"/>
      <c r="E56" s="401">
        <v>1798</v>
      </c>
      <c r="F56" s="402" t="s">
        <v>677</v>
      </c>
      <c r="G56" s="1032"/>
      <c r="H56" s="1033"/>
      <c r="I56" s="1033"/>
      <c r="J56" s="1033"/>
      <c r="K56" s="1034"/>
      <c r="L56" s="1009" t="s">
        <v>678</v>
      </c>
      <c r="M56" s="1009"/>
      <c r="N56" s="1009"/>
      <c r="O56" s="1009"/>
      <c r="P56" s="1009"/>
      <c r="Q56" s="1009"/>
      <c r="S56" s="68"/>
      <c r="T56" s="69" t="str">
        <f>"de "&amp;T54&amp;" a "&amp;T55</f>
        <v>de 0 a 0,3</v>
      </c>
      <c r="U56" s="69" t="str">
        <f>"de "&amp;U54&amp;" a "&amp;U55</f>
        <v>de 0,3 a 0,6</v>
      </c>
      <c r="AH56" s="70"/>
      <c r="AI56" s="70"/>
    </row>
    <row r="57" spans="1:35" ht="67.5" customHeight="1">
      <c r="A57" s="3"/>
      <c r="B57" s="1014" t="str">
        <f>+'Ввод данных'!A222</f>
        <v xml:space="preserve">MDR TB-1: Процент ранее леченных ТБ пациентов, прошедших ТЛЧ (только бактериологически положительные случаи) </v>
      </c>
      <c r="C57" s="1015"/>
      <c r="D57" s="1016"/>
      <c r="E57" s="477">
        <v>0.95</v>
      </c>
      <c r="F57" s="402" t="s">
        <v>679</v>
      </c>
      <c r="G57" s="1029">
        <v>1</v>
      </c>
      <c r="H57" s="1030"/>
      <c r="I57" s="1030"/>
      <c r="J57" s="1030"/>
      <c r="K57" s="1031"/>
      <c r="L57" s="1009" t="s">
        <v>683</v>
      </c>
      <c r="M57" s="1009"/>
      <c r="N57" s="1009"/>
      <c r="O57" s="1009"/>
      <c r="P57" s="1009"/>
      <c r="Q57" s="1009"/>
      <c r="S57" s="68"/>
      <c r="T57" s="66" t="e">
        <f>IF($K55&gt;T$54,IF($K55&lt;=T$55,$K55,NA()),NA())</f>
        <v>#N/A</v>
      </c>
      <c r="U57" s="66" t="e">
        <f>IF($K55&gt;U$54,IF($K55&lt;=U$55,$K55,NA()),NA())</f>
        <v>#N/A</v>
      </c>
      <c r="AH57" s="70"/>
      <c r="AI57" s="70"/>
    </row>
    <row r="58" spans="1:35" ht="66.75" customHeight="1">
      <c r="A58" s="3"/>
      <c r="B58" s="1014" t="str">
        <f>+'Ввод данных'!A224</f>
        <v>MDR TB-2: Количество бактериологически подтвержденных зарегистрированных  РУ-ТБ и/или МЛУ-ТБ случаев ТБ</v>
      </c>
      <c r="C58" s="1027"/>
      <c r="D58" s="1028"/>
      <c r="E58" s="479">
        <v>712</v>
      </c>
      <c r="F58" s="402" t="s">
        <v>740</v>
      </c>
      <c r="G58" s="1029">
        <v>0.91</v>
      </c>
      <c r="H58" s="1030"/>
      <c r="I58" s="1030"/>
      <c r="J58" s="1030"/>
      <c r="K58" s="1031"/>
      <c r="L58" s="1009" t="s">
        <v>741</v>
      </c>
      <c r="M58" s="1009"/>
      <c r="N58" s="1009"/>
      <c r="O58" s="1009"/>
      <c r="P58" s="1009"/>
      <c r="Q58" s="1009"/>
      <c r="S58" s="68"/>
      <c r="T58" s="66"/>
      <c r="U58" s="66"/>
      <c r="AH58" s="70"/>
      <c r="AI58" s="70"/>
    </row>
    <row r="59" spans="1:35" ht="119.25" customHeight="1">
      <c r="A59" s="3"/>
      <c r="B59" s="1036" t="str">
        <f>+'Ввод данных'!A226</f>
        <v>MDR TB-3: Число больных  с устойчивыми формами РУ-ТБ и/или МЛУ-ТБ ТБ, включенных в лечение препаратами второго ряда ( включая пенитенциарную службу)</v>
      </c>
      <c r="C59" s="1037"/>
      <c r="D59" s="1038"/>
      <c r="E59" s="403">
        <v>712</v>
      </c>
      <c r="F59" s="406" t="s">
        <v>680</v>
      </c>
      <c r="G59" s="1029">
        <v>0.84</v>
      </c>
      <c r="H59" s="1030"/>
      <c r="I59" s="1030"/>
      <c r="J59" s="1030"/>
      <c r="K59" s="1031"/>
      <c r="L59" s="1009" t="s">
        <v>742</v>
      </c>
      <c r="M59" s="1009"/>
      <c r="N59" s="1009"/>
      <c r="O59" s="1009"/>
      <c r="P59" s="1009"/>
      <c r="Q59" s="1009"/>
      <c r="AH59" s="70"/>
      <c r="AI59" s="70"/>
    </row>
    <row r="60" spans="1:35" ht="98.25" customHeight="1">
      <c r="A60" s="3"/>
      <c r="B60" s="1036" t="str">
        <f>+'Ввод данных'!A228</f>
        <v xml:space="preserve">Процент и количество пациентов с симптомами или подозрениями на ТБ, обследованных методом Xpert MTB/RIF и подтвержденным активным ТБ  </v>
      </c>
      <c r="C60" s="1037"/>
      <c r="D60" s="1038"/>
      <c r="E60" s="404" t="s">
        <v>681</v>
      </c>
      <c r="F60" s="405" t="s">
        <v>682</v>
      </c>
      <c r="G60" s="1039" t="s">
        <v>472</v>
      </c>
      <c r="H60" s="1040"/>
      <c r="I60" s="1040"/>
      <c r="J60" s="1040"/>
      <c r="K60" s="1041"/>
      <c r="L60" s="1009" t="s">
        <v>684</v>
      </c>
      <c r="M60" s="1009"/>
      <c r="N60" s="1009"/>
      <c r="O60" s="1009"/>
      <c r="P60" s="1009"/>
      <c r="Q60" s="1009"/>
      <c r="AH60" s="70"/>
      <c r="AI60" s="70"/>
    </row>
    <row r="61" spans="1:35" ht="22.5" customHeight="1">
      <c r="A61" s="3"/>
      <c r="B61" s="1045"/>
      <c r="C61" s="1045"/>
      <c r="D61" s="1045"/>
      <c r="E61" s="1045"/>
      <c r="F61" s="1044"/>
      <c r="G61" s="1044"/>
      <c r="H61" s="1044"/>
      <c r="I61" s="1044"/>
      <c r="J61" s="1044"/>
      <c r="K61" s="1044"/>
      <c r="L61" s="1010"/>
      <c r="M61" s="1010"/>
      <c r="N61" s="1010"/>
      <c r="O61" s="1010"/>
      <c r="P61" s="1010"/>
      <c r="AH61" s="70"/>
      <c r="AI61" s="70"/>
    </row>
    <row r="62" spans="1:35" ht="22.5" customHeight="1">
      <c r="A62" s="3"/>
      <c r="B62" s="1042"/>
      <c r="C62" s="1042"/>
      <c r="D62" s="1042"/>
      <c r="E62" s="1043"/>
      <c r="F62" s="1007"/>
      <c r="G62" s="1008"/>
      <c r="H62" s="1008"/>
      <c r="I62" s="1008"/>
      <c r="J62" s="1008"/>
      <c r="K62" s="1043"/>
      <c r="L62" s="1007"/>
      <c r="M62" s="1008"/>
      <c r="N62" s="1008"/>
      <c r="O62" s="1008"/>
      <c r="P62" s="1008"/>
      <c r="Y62" s="70"/>
      <c r="Z62" s="70"/>
      <c r="AA62" s="70"/>
      <c r="AB62" s="70"/>
      <c r="AC62" s="70"/>
      <c r="AD62" s="70"/>
      <c r="AE62" s="70"/>
      <c r="AF62" s="70"/>
      <c r="AG62" s="70"/>
      <c r="AH62" s="70"/>
      <c r="AI62" s="70"/>
    </row>
    <row r="63" spans="1:35">
      <c r="A63" s="3"/>
      <c r="B63" s="202"/>
      <c r="C63" s="202"/>
      <c r="D63" s="202"/>
      <c r="E63" s="202"/>
      <c r="F63" s="202"/>
      <c r="G63" s="202"/>
      <c r="H63" s="203"/>
      <c r="I63" s="202"/>
      <c r="J63" s="202"/>
      <c r="K63" s="202"/>
      <c r="L63" s="202"/>
      <c r="M63" s="202"/>
      <c r="N63" s="202"/>
      <c r="O63" s="202"/>
      <c r="P63" s="202"/>
      <c r="Y63" s="70"/>
      <c r="Z63" s="70"/>
      <c r="AA63" s="70"/>
      <c r="AB63" s="70"/>
      <c r="AC63" s="70"/>
      <c r="AD63" s="70"/>
      <c r="AE63" s="70"/>
      <c r="AF63" s="70"/>
      <c r="AG63" s="70"/>
      <c r="AH63" s="70"/>
      <c r="AI63" s="70"/>
    </row>
    <row r="64" spans="1:35">
      <c r="A64" s="3"/>
      <c r="B64" s="1035"/>
      <c r="C64" s="1035"/>
      <c r="D64" s="1035"/>
      <c r="E64" s="1035"/>
      <c r="F64" s="1035"/>
      <c r="G64" s="1035"/>
      <c r="H64" s="1035"/>
      <c r="I64" s="1035"/>
      <c r="J64" s="1035"/>
      <c r="K64" s="1035"/>
      <c r="L64" s="202"/>
      <c r="M64" s="202"/>
      <c r="N64" s="202"/>
      <c r="O64" s="202"/>
      <c r="P64" s="202"/>
      <c r="Y64" s="70"/>
      <c r="Z64" s="70"/>
      <c r="AA64" s="70"/>
      <c r="AB64" s="70"/>
      <c r="AC64" s="70"/>
      <c r="AD64" s="70"/>
      <c r="AE64" s="70"/>
      <c r="AF64" s="70"/>
      <c r="AG64" s="70"/>
      <c r="AH64" s="70"/>
      <c r="AI64" s="70"/>
    </row>
    <row r="65" spans="1:35">
      <c r="A65" s="3"/>
      <c r="B65" s="1035"/>
      <c r="C65" s="1035"/>
      <c r="D65" s="1035"/>
      <c r="E65" s="1035"/>
      <c r="F65" s="1035"/>
      <c r="G65" s="1035"/>
      <c r="H65" s="1035"/>
      <c r="I65" s="1035"/>
      <c r="J65" s="1035"/>
      <c r="K65" s="1035"/>
      <c r="L65" s="202"/>
      <c r="M65" s="202"/>
      <c r="N65" s="202"/>
      <c r="O65" s="202"/>
      <c r="P65" s="202"/>
      <c r="S65" s="70"/>
      <c r="T65" s="70"/>
      <c r="U65" s="70"/>
      <c r="V65" s="70"/>
      <c r="W65" s="70"/>
      <c r="X65" s="70"/>
      <c r="Y65" s="70"/>
      <c r="Z65" s="70"/>
      <c r="AA65" s="70"/>
      <c r="AB65" s="70"/>
      <c r="AC65" s="70"/>
      <c r="AD65" s="70"/>
      <c r="AE65" s="70"/>
      <c r="AF65" s="70"/>
      <c r="AG65" s="70"/>
      <c r="AH65" s="70"/>
      <c r="AI65" s="70"/>
    </row>
    <row r="66" spans="1:35">
      <c r="A66" s="3"/>
      <c r="B66" s="3"/>
      <c r="C66" s="3"/>
      <c r="D66" s="3"/>
      <c r="E66" s="3"/>
      <c r="F66" s="3"/>
      <c r="G66" s="3"/>
      <c r="H66" s="3"/>
      <c r="I66" s="97"/>
      <c r="J66" s="97"/>
      <c r="K66" s="97"/>
      <c r="L66" s="3"/>
      <c r="M66" s="3"/>
      <c r="N66" s="3"/>
      <c r="O66" s="3"/>
      <c r="P66" s="3"/>
      <c r="S66" s="70"/>
      <c r="T66" s="70"/>
      <c r="U66" s="70"/>
      <c r="V66" s="70"/>
      <c r="W66" s="70"/>
      <c r="X66" s="70"/>
      <c r="Y66" s="70"/>
      <c r="Z66" s="70"/>
      <c r="AA66" s="70"/>
      <c r="AB66" s="70"/>
      <c r="AC66" s="70"/>
      <c r="AD66" s="70"/>
      <c r="AE66" s="70"/>
      <c r="AF66" s="70"/>
      <c r="AG66" s="70"/>
      <c r="AH66" s="70"/>
      <c r="AI66" s="70"/>
    </row>
    <row r="67" spans="1:35">
      <c r="A67" s="3"/>
      <c r="B67" s="3"/>
      <c r="C67" s="3"/>
      <c r="D67" s="3"/>
      <c r="E67" s="3"/>
      <c r="F67" s="3"/>
      <c r="G67" s="3"/>
      <c r="H67" s="3"/>
      <c r="I67" s="128"/>
      <c r="J67" s="129"/>
      <c r="K67" s="129"/>
      <c r="L67" s="3"/>
      <c r="M67" s="3"/>
      <c r="N67" s="3"/>
      <c r="O67" s="3"/>
      <c r="P67" s="3"/>
      <c r="S67" s="70"/>
      <c r="T67" s="70"/>
      <c r="U67" s="70"/>
      <c r="V67" s="70"/>
      <c r="W67" s="70"/>
      <c r="X67" s="70"/>
      <c r="Y67" s="70"/>
      <c r="Z67" s="70"/>
      <c r="AA67" s="70"/>
      <c r="AB67" s="70"/>
      <c r="AC67" s="70"/>
      <c r="AD67" s="70"/>
      <c r="AE67" s="70"/>
      <c r="AF67" s="70"/>
      <c r="AG67" s="70"/>
      <c r="AH67" s="70"/>
      <c r="AI67" s="70"/>
    </row>
    <row r="68" spans="1:35">
      <c r="A68" s="3"/>
      <c r="B68" s="3"/>
      <c r="C68" s="3"/>
      <c r="D68" s="3"/>
      <c r="E68" s="3"/>
      <c r="F68" s="3"/>
      <c r="G68" s="3"/>
      <c r="H68" s="3"/>
      <c r="I68" s="130"/>
      <c r="J68" s="131"/>
      <c r="K68" s="99"/>
      <c r="L68" s="3"/>
      <c r="M68" s="3"/>
      <c r="N68" s="3"/>
      <c r="O68" s="3"/>
      <c r="P68" s="3"/>
      <c r="S68" s="70"/>
      <c r="T68" s="70"/>
      <c r="U68" s="70"/>
      <c r="V68" s="70"/>
      <c r="W68" s="70"/>
      <c r="X68" s="70"/>
      <c r="Y68" s="70"/>
      <c r="Z68" s="70"/>
      <c r="AA68" s="70"/>
      <c r="AB68" s="70"/>
      <c r="AC68" s="70"/>
      <c r="AD68" s="70"/>
      <c r="AE68" s="70"/>
      <c r="AF68" s="70"/>
      <c r="AG68" s="70"/>
      <c r="AH68" s="70"/>
      <c r="AI68" s="70"/>
    </row>
    <row r="69" spans="1:35">
      <c r="A69" s="3"/>
      <c r="B69" s="3"/>
      <c r="C69" s="3"/>
      <c r="D69" s="3"/>
      <c r="E69" s="3"/>
      <c r="F69" s="3"/>
      <c r="G69" s="3"/>
      <c r="H69" s="3"/>
      <c r="I69" s="132"/>
      <c r="J69" s="131"/>
      <c r="K69" s="99"/>
      <c r="L69" s="3"/>
      <c r="M69" s="3"/>
      <c r="N69" s="3"/>
      <c r="O69" s="3"/>
      <c r="P69" s="3"/>
      <c r="S69" s="70"/>
      <c r="T69" s="70"/>
      <c r="U69" s="70"/>
      <c r="V69" s="70"/>
      <c r="W69" s="70"/>
      <c r="X69" s="70"/>
      <c r="Y69" s="70"/>
      <c r="Z69" s="70"/>
      <c r="AA69" s="70"/>
      <c r="AB69" s="70"/>
      <c r="AC69" s="70"/>
      <c r="AD69" s="70"/>
      <c r="AE69" s="70"/>
      <c r="AF69" s="70"/>
      <c r="AG69" s="70"/>
      <c r="AH69" s="70"/>
      <c r="AI69" s="70"/>
    </row>
    <row r="70" spans="1:35">
      <c r="A70" s="3"/>
      <c r="B70" s="3"/>
      <c r="C70" s="3"/>
      <c r="D70" s="3"/>
      <c r="E70" s="3"/>
      <c r="F70" s="3"/>
      <c r="G70" s="3"/>
      <c r="H70" s="3"/>
      <c r="I70" s="130"/>
      <c r="J70" s="131"/>
      <c r="K70" s="99"/>
      <c r="L70" s="3"/>
      <c r="M70" s="3"/>
      <c r="N70" s="3"/>
      <c r="O70" s="3"/>
      <c r="P70" s="3"/>
      <c r="S70" s="70"/>
      <c r="T70" s="70"/>
      <c r="U70" s="70"/>
      <c r="V70" s="70"/>
      <c r="W70" s="70"/>
      <c r="X70" s="70"/>
      <c r="Y70" s="70"/>
      <c r="Z70" s="70"/>
      <c r="AA70" s="70"/>
      <c r="AB70" s="70"/>
      <c r="AC70" s="70"/>
      <c r="AD70" s="70"/>
      <c r="AE70" s="70"/>
      <c r="AF70" s="70"/>
      <c r="AG70" s="70"/>
      <c r="AH70" s="70"/>
      <c r="AI70" s="70"/>
    </row>
    <row r="71" spans="1:35">
      <c r="A71" s="3"/>
      <c r="B71" s="3"/>
      <c r="C71" s="3"/>
      <c r="D71" s="3"/>
      <c r="E71" s="3"/>
      <c r="F71" s="3"/>
      <c r="G71" s="3"/>
      <c r="H71" s="3"/>
      <c r="I71" s="3"/>
      <c r="J71" s="3"/>
      <c r="K71" s="3"/>
      <c r="L71" s="3"/>
      <c r="M71" s="3"/>
      <c r="N71" s="3"/>
      <c r="O71" s="3"/>
      <c r="P71" s="3"/>
      <c r="S71" s="70"/>
      <c r="T71" s="70"/>
      <c r="U71" s="70"/>
      <c r="V71" s="70"/>
      <c r="W71" s="70"/>
      <c r="X71" s="70"/>
      <c r="Y71" s="70"/>
      <c r="Z71" s="70"/>
      <c r="AA71" s="70"/>
      <c r="AB71" s="70"/>
      <c r="AC71" s="70"/>
      <c r="AD71" s="70"/>
      <c r="AE71" s="70"/>
      <c r="AF71" s="70"/>
      <c r="AG71" s="70"/>
      <c r="AH71" s="70"/>
      <c r="AI71" s="70"/>
    </row>
    <row r="72" spans="1:35">
      <c r="A72" s="3"/>
      <c r="B72" s="3"/>
      <c r="C72" s="3"/>
      <c r="D72" s="3"/>
      <c r="E72" s="3"/>
      <c r="F72" s="3"/>
      <c r="G72" s="3"/>
      <c r="H72" s="3"/>
      <c r="I72" s="3"/>
      <c r="J72" s="3"/>
      <c r="K72" s="3"/>
      <c r="L72" s="3"/>
      <c r="M72" s="3"/>
      <c r="N72" s="3"/>
      <c r="O72" s="3"/>
      <c r="P72" s="3"/>
      <c r="S72" s="70"/>
      <c r="T72" s="70"/>
      <c r="U72" s="70"/>
      <c r="V72" s="70"/>
      <c r="W72" s="70"/>
      <c r="X72" s="70"/>
      <c r="Y72" s="70"/>
      <c r="Z72" s="70"/>
      <c r="AA72" s="70"/>
      <c r="AB72" s="70"/>
      <c r="AC72" s="70"/>
      <c r="AD72" s="70"/>
      <c r="AE72" s="70"/>
      <c r="AF72" s="70"/>
      <c r="AG72" s="70"/>
      <c r="AH72" s="70"/>
      <c r="AI72" s="70"/>
    </row>
    <row r="73" spans="1:35">
      <c r="A73" s="3"/>
      <c r="B73" s="3"/>
      <c r="C73" s="3"/>
      <c r="D73" s="3"/>
      <c r="E73" s="3"/>
      <c r="F73" s="3"/>
      <c r="G73" s="3"/>
      <c r="H73" s="3"/>
      <c r="I73" s="3"/>
      <c r="J73" s="3"/>
      <c r="K73" s="3"/>
      <c r="L73" s="3"/>
      <c r="M73" s="3"/>
      <c r="N73" s="3"/>
      <c r="O73" s="3"/>
      <c r="P73" s="3"/>
      <c r="S73" s="63"/>
      <c r="T73" s="63"/>
      <c r="U73" s="63"/>
      <c r="V73" s="63"/>
      <c r="W73" s="63"/>
      <c r="X73" s="63"/>
      <c r="Y73" s="63"/>
      <c r="Z73" s="63"/>
      <c r="AA73" s="63"/>
      <c r="AB73" s="63"/>
    </row>
    <row r="74" spans="1:35">
      <c r="S74" s="63"/>
      <c r="T74" s="63"/>
      <c r="U74" s="63"/>
      <c r="V74" s="63"/>
      <c r="W74" s="63"/>
      <c r="X74" s="63"/>
      <c r="Y74" s="63"/>
      <c r="Z74" s="63"/>
      <c r="AA74" s="63"/>
      <c r="AB74" s="63"/>
    </row>
    <row r="75" spans="1:35">
      <c r="S75" s="63"/>
      <c r="T75" s="63"/>
      <c r="U75" s="63"/>
      <c r="V75" s="63"/>
      <c r="W75" s="63"/>
      <c r="X75" s="63"/>
      <c r="Y75" s="63"/>
      <c r="Z75" s="63"/>
      <c r="AA75" s="63"/>
      <c r="AB75" s="63"/>
    </row>
    <row r="76" spans="1:35">
      <c r="S76" s="63"/>
      <c r="T76" s="63"/>
      <c r="U76" s="63"/>
      <c r="V76" s="63"/>
      <c r="W76" s="63"/>
      <c r="X76" s="63"/>
      <c r="Y76" s="63"/>
      <c r="Z76" s="63"/>
      <c r="AA76" s="63"/>
      <c r="AB76" s="63"/>
    </row>
    <row r="77" spans="1:35">
      <c r="S77" s="63"/>
      <c r="T77" s="63"/>
      <c r="U77" s="63"/>
      <c r="V77" s="63"/>
      <c r="W77" s="63"/>
      <c r="X77" s="63"/>
      <c r="Y77" s="63"/>
      <c r="Z77" s="63"/>
      <c r="AA77" s="63"/>
      <c r="AB77" s="63"/>
    </row>
  </sheetData>
  <mergeCells count="109">
    <mergeCell ref="B37:D37"/>
    <mergeCell ref="G37:K37"/>
    <mergeCell ref="L37:Q37"/>
    <mergeCell ref="B34:D34"/>
    <mergeCell ref="G34:K34"/>
    <mergeCell ref="L34:Q34"/>
    <mergeCell ref="B35:D35"/>
    <mergeCell ref="G35:K35"/>
    <mergeCell ref="L35:Q35"/>
    <mergeCell ref="G33:K33"/>
    <mergeCell ref="L33:Q33"/>
    <mergeCell ref="L29:Q29"/>
    <mergeCell ref="G30:K30"/>
    <mergeCell ref="L30:Q30"/>
    <mergeCell ref="G31:K31"/>
    <mergeCell ref="L31:Q31"/>
    <mergeCell ref="B36:D36"/>
    <mergeCell ref="G36:K36"/>
    <mergeCell ref="L36:Q36"/>
    <mergeCell ref="B2:Q2"/>
    <mergeCell ref="O3:P3"/>
    <mergeCell ref="D5:N5"/>
    <mergeCell ref="L41:Q41"/>
    <mergeCell ref="E3:K3"/>
    <mergeCell ref="C4:D4"/>
    <mergeCell ref="E6:L6"/>
    <mergeCell ref="B8:E8"/>
    <mergeCell ref="F8:K8"/>
    <mergeCell ref="L8:Q8"/>
    <mergeCell ref="C9:E9"/>
    <mergeCell ref="G9:K9"/>
    <mergeCell ref="M9:Q9"/>
    <mergeCell ref="E20:K20"/>
    <mergeCell ref="B21:D21"/>
    <mergeCell ref="G28:K28"/>
    <mergeCell ref="B27:D27"/>
    <mergeCell ref="G27:K27"/>
    <mergeCell ref="L27:Q27"/>
    <mergeCell ref="B28:D28"/>
    <mergeCell ref="B32:D32"/>
    <mergeCell ref="G32:K32"/>
    <mergeCell ref="L32:Q32"/>
    <mergeCell ref="B33:D33"/>
    <mergeCell ref="L54:Q54"/>
    <mergeCell ref="L60:Q60"/>
    <mergeCell ref="G55:K55"/>
    <mergeCell ref="G56:K56"/>
    <mergeCell ref="B64:D65"/>
    <mergeCell ref="E64:G65"/>
    <mergeCell ref="H64:K65"/>
    <mergeCell ref="B59:D59"/>
    <mergeCell ref="B60:D60"/>
    <mergeCell ref="G59:K59"/>
    <mergeCell ref="G60:K60"/>
    <mergeCell ref="B62:E62"/>
    <mergeCell ref="F62:K62"/>
    <mergeCell ref="F61:K61"/>
    <mergeCell ref="B61:E61"/>
    <mergeCell ref="G57:K57"/>
    <mergeCell ref="L58:Q58"/>
    <mergeCell ref="G58:K58"/>
    <mergeCell ref="L25:Q25"/>
    <mergeCell ref="B26:D26"/>
    <mergeCell ref="G26:K26"/>
    <mergeCell ref="L26:Q26"/>
    <mergeCell ref="L62:P62"/>
    <mergeCell ref="L55:Q55"/>
    <mergeCell ref="L56:Q56"/>
    <mergeCell ref="L57:Q57"/>
    <mergeCell ref="L61:P61"/>
    <mergeCell ref="L59:Q59"/>
    <mergeCell ref="B29:D29"/>
    <mergeCell ref="B31:D31"/>
    <mergeCell ref="C42:E42"/>
    <mergeCell ref="G42:K42"/>
    <mergeCell ref="B57:D57"/>
    <mergeCell ref="G54:H54"/>
    <mergeCell ref="I54:J54"/>
    <mergeCell ref="E53:K53"/>
    <mergeCell ref="B54:D54"/>
    <mergeCell ref="B55:D55"/>
    <mergeCell ref="B56:D56"/>
    <mergeCell ref="G29:K29"/>
    <mergeCell ref="B30:D30"/>
    <mergeCell ref="B58:D58"/>
    <mergeCell ref="L38:Q38"/>
    <mergeCell ref="G38:K38"/>
    <mergeCell ref="B38:D38"/>
    <mergeCell ref="F40:M40"/>
    <mergeCell ref="G21:H21"/>
    <mergeCell ref="M42:Q42"/>
    <mergeCell ref="C3:D3"/>
    <mergeCell ref="E4:L4"/>
    <mergeCell ref="B41:E41"/>
    <mergeCell ref="F41:K41"/>
    <mergeCell ref="I21:J21"/>
    <mergeCell ref="L21:Q21"/>
    <mergeCell ref="B22:D22"/>
    <mergeCell ref="G22:K22"/>
    <mergeCell ref="L22:Q22"/>
    <mergeCell ref="B23:D23"/>
    <mergeCell ref="G23:K23"/>
    <mergeCell ref="L23:Q23"/>
    <mergeCell ref="B24:D24"/>
    <mergeCell ref="G24:K24"/>
    <mergeCell ref="L24:Q24"/>
    <mergeCell ref="L28:Q28"/>
    <mergeCell ref="B25:D25"/>
    <mergeCell ref="G25:K25"/>
  </mergeCells>
  <phoneticPr fontId="30" type="noConversion"/>
  <conditionalFormatting sqref="C4:D4">
    <cfRule type="cellIs" dxfId="68" priority="239" stopIfTrue="1" operator="equal">
      <formula>"C"</formula>
    </cfRule>
    <cfRule type="cellIs" dxfId="67" priority="240" stopIfTrue="1" operator="equal">
      <formula>"B2"</formula>
    </cfRule>
    <cfRule type="cellIs" dxfId="66" priority="241" stopIfTrue="1" operator="equal">
      <formula>"B1"</formula>
    </cfRule>
  </conditionalFormatting>
  <conditionalFormatting sqref="G56:G60">
    <cfRule type="cellIs" dxfId="65" priority="67" stopIfTrue="1" operator="between">
      <formula>0</formula>
      <formula>0.599</formula>
    </cfRule>
    <cfRule type="cellIs" dxfId="64" priority="68" stopIfTrue="1" operator="between">
      <formula>0.6</formula>
      <formula>0.899</formula>
    </cfRule>
    <cfRule type="cellIs" dxfId="63" priority="69" stopIfTrue="1" operator="greaterThanOrEqual">
      <formula>0.9</formula>
    </cfRule>
  </conditionalFormatting>
  <conditionalFormatting sqref="G55">
    <cfRule type="cellIs" dxfId="62" priority="61" stopIfTrue="1" operator="between">
      <formula>0</formula>
      <formula>0.599</formula>
    </cfRule>
    <cfRule type="cellIs" dxfId="61" priority="62" stopIfTrue="1" operator="between">
      <formula>0.6</formula>
      <formula>0.899</formula>
    </cfRule>
    <cfRule type="cellIs" dxfId="60" priority="63" stopIfTrue="1" operator="greaterThanOrEqual">
      <formula>0.9</formula>
    </cfRule>
  </conditionalFormatting>
  <conditionalFormatting sqref="G55:K55">
    <cfRule type="cellIs" dxfId="59" priority="58" stopIfTrue="1" operator="greaterThan">
      <formula>0.9</formula>
    </cfRule>
    <cfRule type="cellIs" dxfId="58" priority="59" stopIfTrue="1" operator="between">
      <formula>0.6</formula>
      <formula>0.89</formula>
    </cfRule>
    <cfRule type="cellIs" dxfId="57" priority="60" stopIfTrue="1" operator="lessThan">
      <formula>0.59</formula>
    </cfRule>
  </conditionalFormatting>
  <conditionalFormatting sqref="G56:K60">
    <cfRule type="cellIs" dxfId="56" priority="64" stopIfTrue="1" operator="greaterThan">
      <formula>0.9</formula>
    </cfRule>
    <cfRule type="cellIs" dxfId="55" priority="65" stopIfTrue="1" operator="between">
      <formula>0.6</formula>
      <formula>0.89</formula>
    </cfRule>
    <cfRule type="cellIs" dxfId="54" priority="66" stopIfTrue="1" operator="lessThan">
      <formula>0.59</formula>
    </cfRule>
  </conditionalFormatting>
  <conditionalFormatting sqref="G22 G25">
    <cfRule type="cellIs" dxfId="53" priority="55" stopIfTrue="1" operator="between">
      <formula>0</formula>
      <formula>0.599</formula>
    </cfRule>
    <cfRule type="cellIs" dxfId="52" priority="56" stopIfTrue="1" operator="between">
      <formula>0.6</formula>
      <formula>0.899</formula>
    </cfRule>
    <cfRule type="cellIs" dxfId="51" priority="57" stopIfTrue="1" operator="greaterThanOrEqual">
      <formula>0.9</formula>
    </cfRule>
  </conditionalFormatting>
  <conditionalFormatting sqref="G33">
    <cfRule type="cellIs" dxfId="50" priority="52" stopIfTrue="1" operator="between">
      <formula>0</formula>
      <formula>0.599</formula>
    </cfRule>
    <cfRule type="cellIs" dxfId="49" priority="53" stopIfTrue="1" operator="between">
      <formula>0.6</formula>
      <formula>0.899</formula>
    </cfRule>
    <cfRule type="cellIs" dxfId="48" priority="54" stopIfTrue="1" operator="greaterThanOrEqual">
      <formula>0.9</formula>
    </cfRule>
  </conditionalFormatting>
  <conditionalFormatting sqref="G34">
    <cfRule type="cellIs" dxfId="47" priority="49" stopIfTrue="1" operator="between">
      <formula>0</formula>
      <formula>0.599</formula>
    </cfRule>
    <cfRule type="cellIs" dxfId="46" priority="50" stopIfTrue="1" operator="between">
      <formula>0.6</formula>
      <formula>0.899</formula>
    </cfRule>
    <cfRule type="cellIs" dxfId="45" priority="51" stopIfTrue="1" operator="greaterThanOrEqual">
      <formula>0.9</formula>
    </cfRule>
  </conditionalFormatting>
  <conditionalFormatting sqref="G23">
    <cfRule type="cellIs" dxfId="44" priority="46" stopIfTrue="1" operator="between">
      <formula>0</formula>
      <formula>0.599</formula>
    </cfRule>
    <cfRule type="cellIs" dxfId="43" priority="47" stopIfTrue="1" operator="between">
      <formula>0.6</formula>
      <formula>0.899</formula>
    </cfRule>
    <cfRule type="cellIs" dxfId="42" priority="48" stopIfTrue="1" operator="greaterThanOrEqual">
      <formula>0.9</formula>
    </cfRule>
  </conditionalFormatting>
  <conditionalFormatting sqref="G24">
    <cfRule type="cellIs" dxfId="41" priority="43" stopIfTrue="1" operator="between">
      <formula>0</formula>
      <formula>0.599</formula>
    </cfRule>
    <cfRule type="cellIs" dxfId="40" priority="44" stopIfTrue="1" operator="between">
      <formula>0.6</formula>
      <formula>0.899</formula>
    </cfRule>
    <cfRule type="cellIs" dxfId="39" priority="45" stopIfTrue="1" operator="greaterThanOrEqual">
      <formula>0.9</formula>
    </cfRule>
  </conditionalFormatting>
  <conditionalFormatting sqref="G26">
    <cfRule type="cellIs" dxfId="38" priority="40" stopIfTrue="1" operator="between">
      <formula>0</formula>
      <formula>0.599</formula>
    </cfRule>
    <cfRule type="cellIs" dxfId="37" priority="41" stopIfTrue="1" operator="between">
      <formula>0.6</formula>
      <formula>0.899</formula>
    </cfRule>
    <cfRule type="cellIs" dxfId="36" priority="42" stopIfTrue="1" operator="greaterThanOrEqual">
      <formula>0.9</formula>
    </cfRule>
  </conditionalFormatting>
  <conditionalFormatting sqref="G27">
    <cfRule type="cellIs" dxfId="35" priority="37" stopIfTrue="1" operator="between">
      <formula>0</formula>
      <formula>0.599</formula>
    </cfRule>
    <cfRule type="cellIs" dxfId="34" priority="38" stopIfTrue="1" operator="between">
      <formula>0.6</formula>
      <formula>0.899</formula>
    </cfRule>
    <cfRule type="cellIs" dxfId="33" priority="39" stopIfTrue="1" operator="greaterThanOrEqual">
      <formula>0.9</formula>
    </cfRule>
  </conditionalFormatting>
  <conditionalFormatting sqref="G28">
    <cfRule type="cellIs" dxfId="32" priority="34" stopIfTrue="1" operator="between">
      <formula>0</formula>
      <formula>0.599</formula>
    </cfRule>
    <cfRule type="cellIs" dxfId="31" priority="35" stopIfTrue="1" operator="between">
      <formula>0.6</formula>
      <formula>0.899</formula>
    </cfRule>
    <cfRule type="cellIs" dxfId="30" priority="36" stopIfTrue="1" operator="greaterThanOrEqual">
      <formula>0.9</formula>
    </cfRule>
  </conditionalFormatting>
  <conditionalFormatting sqref="G29">
    <cfRule type="cellIs" dxfId="29" priority="31" stopIfTrue="1" operator="between">
      <formula>0</formula>
      <formula>0.599</formula>
    </cfRule>
    <cfRule type="cellIs" dxfId="28" priority="32" stopIfTrue="1" operator="between">
      <formula>0.6</formula>
      <formula>0.899</formula>
    </cfRule>
    <cfRule type="cellIs" dxfId="27" priority="33" stopIfTrue="1" operator="greaterThanOrEqual">
      <formula>0.9</formula>
    </cfRule>
  </conditionalFormatting>
  <conditionalFormatting sqref="G31">
    <cfRule type="cellIs" dxfId="26" priority="28" stopIfTrue="1" operator="between">
      <formula>0</formula>
      <formula>0.599</formula>
    </cfRule>
    <cfRule type="cellIs" dxfId="25" priority="29" stopIfTrue="1" operator="between">
      <formula>0.6</formula>
      <formula>0.899</formula>
    </cfRule>
    <cfRule type="cellIs" dxfId="24" priority="30" stopIfTrue="1" operator="greaterThanOrEqual">
      <formula>0.9</formula>
    </cfRule>
  </conditionalFormatting>
  <conditionalFormatting sqref="G32">
    <cfRule type="cellIs" dxfId="23" priority="25" stopIfTrue="1" operator="between">
      <formula>0</formula>
      <formula>0.599</formula>
    </cfRule>
    <cfRule type="cellIs" dxfId="22" priority="26" stopIfTrue="1" operator="between">
      <formula>0.6</formula>
      <formula>0.899</formula>
    </cfRule>
    <cfRule type="cellIs" dxfId="21" priority="27" stopIfTrue="1" operator="greaterThanOrEqual">
      <formula>0.9</formula>
    </cfRule>
  </conditionalFormatting>
  <conditionalFormatting sqref="G35">
    <cfRule type="cellIs" dxfId="20" priority="22" stopIfTrue="1" operator="between">
      <formula>0</formula>
      <formula>0.599</formula>
    </cfRule>
    <cfRule type="cellIs" dxfId="19" priority="23" stopIfTrue="1" operator="between">
      <formula>0.6</formula>
      <formula>0.899</formula>
    </cfRule>
    <cfRule type="cellIs" dxfId="18" priority="24" stopIfTrue="1" operator="greaterThanOrEqual">
      <formula>0.9</formula>
    </cfRule>
  </conditionalFormatting>
  <conditionalFormatting sqref="G30">
    <cfRule type="cellIs" dxfId="17" priority="19" stopIfTrue="1" operator="between">
      <formula>0</formula>
      <formula>0.599</formula>
    </cfRule>
    <cfRule type="cellIs" dxfId="16" priority="20" stopIfTrue="1" operator="between">
      <formula>0.6</formula>
      <formula>0.899</formula>
    </cfRule>
    <cfRule type="cellIs" dxfId="15" priority="21" stopIfTrue="1" operator="greaterThanOrEqual">
      <formula>0.9</formula>
    </cfRule>
  </conditionalFormatting>
  <conditionalFormatting sqref="G36">
    <cfRule type="cellIs" dxfId="14" priority="16" stopIfTrue="1" operator="between">
      <formula>0</formula>
      <formula>0.599</formula>
    </cfRule>
    <cfRule type="cellIs" dxfId="13" priority="17" stopIfTrue="1" operator="between">
      <formula>0.6</formula>
      <formula>0.899</formula>
    </cfRule>
    <cfRule type="cellIs" dxfId="12" priority="18" stopIfTrue="1" operator="greaterThanOrEqual">
      <formula>0.9</formula>
    </cfRule>
  </conditionalFormatting>
  <conditionalFormatting sqref="G37">
    <cfRule type="cellIs" dxfId="11" priority="13" stopIfTrue="1" operator="between">
      <formula>0</formula>
      <formula>0.599</formula>
    </cfRule>
    <cfRule type="cellIs" dxfId="10" priority="14" stopIfTrue="1" operator="between">
      <formula>0.6</formula>
      <formula>0.899</formula>
    </cfRule>
    <cfRule type="cellIs" dxfId="9" priority="15" stopIfTrue="1" operator="greaterThanOrEqual">
      <formula>0.9</formula>
    </cfRule>
  </conditionalFormatting>
  <conditionalFormatting sqref="G38">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topLeftCell="A18" zoomScale="90" zoomScaleNormal="90" workbookViewId="0">
      <selection activeCell="D23" sqref="D23:G23"/>
    </sheetView>
  </sheetViews>
  <sheetFormatPr defaultColWidth="9.140625"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6.7109375" style="30" customWidth="1"/>
    <col min="13" max="13" width="12" style="30" customWidth="1"/>
    <col min="14" max="14" width="5.42578125" style="30" customWidth="1"/>
    <col min="15" max="15" width="2.5703125" style="30" customWidth="1"/>
    <col min="16" max="16384" width="9.140625" style="30"/>
  </cols>
  <sheetData>
    <row r="1" spans="1:17" ht="38.25" customHeight="1">
      <c r="A1" s="133"/>
      <c r="B1" s="133"/>
      <c r="C1" s="133"/>
      <c r="D1" s="133"/>
      <c r="E1" s="133"/>
      <c r="F1" s="133"/>
      <c r="G1" s="133"/>
      <c r="H1" s="133"/>
      <c r="I1" s="133"/>
      <c r="J1" s="133"/>
      <c r="K1" s="134"/>
      <c r="L1" s="133"/>
      <c r="M1" s="133"/>
      <c r="N1" s="133"/>
    </row>
    <row r="2" spans="1:17" customFormat="1" ht="27.75" customHeight="1">
      <c r="A2" s="3"/>
      <c r="B2" s="1046" t="str">
        <f>+"Панель показателей:  "&amp;"  "&amp;IF(+'Ввод данных'!B4="Выберите","",'Ввод данных'!B4&amp;" - ")&amp;IF('Ввод данных'!F6="Выберите","",'Ввод данных'!F6)</f>
        <v>Панель показателей:    Кыргызстан - ВИЧ/СПИД/ТБ</v>
      </c>
      <c r="C2" s="1046"/>
      <c r="D2" s="1046"/>
      <c r="E2" s="1046"/>
      <c r="F2" s="1046"/>
      <c r="G2" s="1046"/>
      <c r="H2" s="1046"/>
      <c r="I2" s="1046"/>
      <c r="J2" s="1046"/>
      <c r="K2" s="1046"/>
      <c r="L2" s="1046"/>
      <c r="M2" s="1046"/>
      <c r="N2" s="1046"/>
      <c r="O2" s="1046"/>
      <c r="P2" s="1046"/>
      <c r="Q2" s="1046"/>
    </row>
    <row r="3" spans="1:17" customFormat="1" ht="18.75">
      <c r="A3" s="3"/>
      <c r="B3" s="117">
        <f>+IF('Ввод данных'!F8="Выберите","",'Ввод данных'!F8)</f>
        <v>0</v>
      </c>
      <c r="C3" s="937"/>
      <c r="D3" s="937"/>
      <c r="E3" s="1047"/>
      <c r="F3" s="1047"/>
      <c r="G3" s="1047"/>
      <c r="H3" s="1047"/>
      <c r="I3" s="1047"/>
      <c r="J3" s="1047"/>
      <c r="K3" s="1047"/>
      <c r="L3" s="117" t="str">
        <f>+'Ввод данных'!A16</f>
        <v>Отчетный период</v>
      </c>
      <c r="M3" s="181" t="str">
        <f>+'Ввод данных'!B16</f>
        <v>P4</v>
      </c>
      <c r="N3" s="181"/>
      <c r="O3" s="30"/>
    </row>
    <row r="4" spans="1:17" customFormat="1" ht="15">
      <c r="A4" s="3"/>
      <c r="B4" s="368" t="str">
        <f>+'Ввод данных'!A12</f>
        <v>Последняя оценка:</v>
      </c>
      <c r="C4" s="1048" t="str">
        <f>+IF('Ввод данных'!B12="Выберите","",'Ввод данных'!B12)</f>
        <v>A1</v>
      </c>
      <c r="D4" s="1048"/>
      <c r="E4" s="936" t="str">
        <f>+'Ввод данных'!B8</f>
        <v>ПРООН</v>
      </c>
      <c r="F4" s="936"/>
      <c r="G4" s="936"/>
      <c r="H4" s="936"/>
      <c r="I4" s="936"/>
      <c r="J4" s="936"/>
      <c r="K4" s="936"/>
      <c r="L4" s="117" t="str">
        <f>+'Ввод данных'!C16</f>
        <v>с:</v>
      </c>
      <c r="M4" s="182">
        <f>+IF(ISBLANK('Ввод данных'!D16),"",'Ввод данных'!D16)</f>
        <v>43101</v>
      </c>
      <c r="N4" s="182"/>
      <c r="O4" s="30"/>
    </row>
    <row r="5" spans="1:17" customFormat="1" ht="18.75" customHeight="1">
      <c r="A5" s="3"/>
      <c r="B5" s="117"/>
      <c r="C5" s="117"/>
      <c r="D5" s="118"/>
      <c r="E5" s="964"/>
      <c r="F5" s="964"/>
      <c r="G5" s="964"/>
      <c r="H5" s="964"/>
      <c r="I5" s="964"/>
      <c r="J5" s="964"/>
      <c r="K5" s="964"/>
      <c r="L5" s="117" t="str">
        <f>+'Ввод данных'!E16</f>
        <v>до:</v>
      </c>
      <c r="M5" s="182">
        <f>+IF(ISBLANK('Ввод данных'!F16),"",'Ввод данных'!F16)</f>
        <v>43281</v>
      </c>
      <c r="N5" s="182"/>
    </row>
    <row r="6" spans="1:17" customFormat="1" ht="22.5" customHeight="1">
      <c r="A6" s="3"/>
      <c r="B6" s="122"/>
      <c r="C6" s="123"/>
      <c r="D6" s="124"/>
      <c r="E6" s="1091" t="s">
        <v>276</v>
      </c>
      <c r="F6" s="1092"/>
      <c r="G6" s="1092"/>
      <c r="H6" s="1092"/>
      <c r="I6" s="1092"/>
      <c r="J6" s="1092"/>
      <c r="K6" s="1092"/>
      <c r="L6" s="2"/>
      <c r="M6" s="2"/>
      <c r="N6" s="2"/>
    </row>
    <row r="7" spans="1:17" s="32" customFormat="1" ht="4.5" customHeight="1">
      <c r="A7" s="135"/>
      <c r="B7" s="136"/>
      <c r="C7" s="136"/>
      <c r="D7" s="136"/>
      <c r="E7" s="136"/>
      <c r="F7" s="136"/>
      <c r="G7" s="136"/>
      <c r="H7" s="136"/>
      <c r="I7" s="136"/>
      <c r="J7" s="136"/>
      <c r="K7" s="136"/>
      <c r="L7" s="137"/>
      <c r="M7" s="137"/>
      <c r="N7" s="138"/>
    </row>
    <row r="8" spans="1:17" s="32" customFormat="1" ht="21" customHeight="1" thickBot="1">
      <c r="A8" s="135"/>
      <c r="B8" s="1081" t="s">
        <v>362</v>
      </c>
      <c r="C8" s="1081"/>
      <c r="D8" s="1081"/>
      <c r="E8" s="1081"/>
      <c r="F8" s="1081"/>
      <c r="G8" s="1081"/>
      <c r="H8" s="1081"/>
      <c r="I8" s="1081"/>
      <c r="J8" s="1081"/>
      <c r="K8" s="1081"/>
      <c r="L8" s="1081"/>
      <c r="M8" s="1081"/>
      <c r="N8" s="1081"/>
    </row>
    <row r="9" spans="1:17" s="32" customFormat="1" ht="3.75" customHeight="1" thickBot="1">
      <c r="A9" s="135"/>
      <c r="B9" s="136"/>
      <c r="C9" s="136"/>
      <c r="D9" s="136"/>
      <c r="E9" s="136"/>
      <c r="F9" s="136"/>
      <c r="G9" s="136"/>
      <c r="H9" s="136"/>
      <c r="I9" s="136"/>
      <c r="J9" s="136"/>
      <c r="K9" s="136"/>
      <c r="L9" s="137"/>
      <c r="M9" s="137"/>
      <c r="N9" s="138"/>
    </row>
    <row r="10" spans="1:17" s="33" customFormat="1" ht="25.5" customHeight="1" thickBot="1">
      <c r="A10" s="139"/>
      <c r="B10" s="1104" t="s">
        <v>313</v>
      </c>
      <c r="C10" s="1105"/>
      <c r="D10" s="1093" t="s">
        <v>354</v>
      </c>
      <c r="E10" s="1094"/>
      <c r="F10" s="1094"/>
      <c r="G10" s="1095"/>
      <c r="H10" s="142"/>
      <c r="I10" s="1093" t="s">
        <v>276</v>
      </c>
      <c r="J10" s="1094"/>
      <c r="K10" s="1094"/>
      <c r="L10" s="1094"/>
      <c r="M10" s="1094"/>
      <c r="N10" s="1095"/>
    </row>
    <row r="11" spans="1:17" s="33" customFormat="1" ht="28.5" customHeight="1">
      <c r="A11" s="139"/>
      <c r="B11" s="330" t="s">
        <v>51</v>
      </c>
      <c r="C11" s="159"/>
      <c r="D11" s="1098" t="str">
        <f>IF(ISBLANK(Финансирование!C9),"",(Финансирование!C9))</f>
        <v>ГФ в феврале 2018 г. произвел выплату в полном размере, равного бюджету отчетного периода в сумме 3 509 263 $. Итого, сумма выплат ГФ за весь период гранта с июля 2016 по июнь 2018 составила 24 099 630$, включая неиспользованный остаток на 30 июня 2016 с прошлых грантов в размере 2 214 860$. Общая сумма выплат за весь период гранта меньше бюджета на  241 948$, которая была вычтена из текущего гранта в счет взыскания задолженности страны в двойном размере на основании решения СКК от 10.01.17 и письма от МЗКР в ГФ от 18.01.17. В январе 2018г. ПРООН произвел возврат 70 000$ в ГФ из полученных средств на основании письма от ГФ в декабре 2017, что ГФ не произвел выплаты в КЗС за период с июля 2016 по декабрь 2017 г. и ошибочно перечислил данную сумму в ПРООН, которая была включена в общие суммы выплат по гранту.</v>
      </c>
      <c r="E11" s="1099"/>
      <c r="F11" s="1099"/>
      <c r="G11" s="1100"/>
      <c r="H11" s="165"/>
      <c r="I11" s="1106"/>
      <c r="J11" s="1107"/>
      <c r="K11" s="1107"/>
      <c r="L11" s="1107"/>
      <c r="M11" s="1107"/>
      <c r="N11" s="1108"/>
    </row>
    <row r="12" spans="1:17" s="33" customFormat="1" ht="27.75" customHeight="1">
      <c r="A12" s="139"/>
      <c r="B12" s="331" t="s">
        <v>52</v>
      </c>
      <c r="C12" s="160"/>
      <c r="D12" s="1117"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117"/>
      <c r="F12" s="1117"/>
      <c r="G12" s="1118"/>
      <c r="H12" s="165"/>
      <c r="I12" s="1114"/>
      <c r="J12" s="1115"/>
      <c r="K12" s="1115"/>
      <c r="L12" s="1115"/>
      <c r="M12" s="1115"/>
      <c r="N12" s="1116"/>
    </row>
    <row r="13" spans="1:17" s="33" customFormat="1" ht="26.25" customHeight="1">
      <c r="A13" s="139"/>
      <c r="B13" s="331" t="s">
        <v>53</v>
      </c>
      <c r="C13" s="160"/>
      <c r="D13" s="1082" t="str">
        <f>IF(ISBLANK(Финансирование!K9),"",(Финансирование!K9))</f>
        <v>В отчетном периоде ГФ произвел выплату в полном объеме бюджета периода в феврале 2018.  Расходы ОП составили 2 141 677$, включая оплату финансовых обязательств за 2017 в  458 965$. Итого за весь период гранта было освоено 89% выделлных средств на ОП. При этом имеются обязательства у ОП на 30.06.18 в 260 158$, с учетом которых освоение достигнет   91 %. В текущем периоде ПРООН произвел выплаты 28 СП  в срок в полном объеме по запросу от СП. Неиспользованный остатьк бюджета также включает в себя невыплаченную сумму взноса в КЗС в размере 70 000$, которая должна будет выплачена ГФ.</v>
      </c>
      <c r="E13" s="1083"/>
      <c r="F13" s="1083"/>
      <c r="G13" s="1113"/>
      <c r="H13" s="165"/>
      <c r="I13" s="1114"/>
      <c r="J13" s="1115"/>
      <c r="K13" s="1115"/>
      <c r="L13" s="1115"/>
      <c r="M13" s="1115"/>
      <c r="N13" s="1116"/>
    </row>
    <row r="14" spans="1:17" s="33" customFormat="1" ht="28.5" customHeight="1" thickBot="1">
      <c r="A14" s="139"/>
      <c r="B14" s="332" t="s">
        <v>54</v>
      </c>
      <c r="C14" s="161"/>
      <c r="D14" s="1096" t="str">
        <f>IF(ISBLANK(Финансирование!K23),"",(Финансирование!K23))</f>
        <v xml:space="preserve">В отчетном периоде ОП подготовил и направил ИОР/ЗПС в ГФ и офис МАФ в установленные сроки. Платеж от ГФ на отчетный период был получен  в феврале 2018. Последующих выплат по данному гранту не предусмотрено, т.к. грант завершился 30 июня 2018.
</v>
      </c>
      <c r="E14" s="1096"/>
      <c r="F14" s="1096"/>
      <c r="G14" s="1097"/>
      <c r="H14" s="165"/>
      <c r="I14" s="1101"/>
      <c r="J14" s="1102"/>
      <c r="K14" s="1102"/>
      <c r="L14" s="1102"/>
      <c r="M14" s="1102"/>
      <c r="N14" s="1103"/>
    </row>
    <row r="15" spans="1:17" s="33" customFormat="1" ht="4.5" customHeight="1">
      <c r="A15" s="139"/>
      <c r="B15" s="162"/>
      <c r="C15" s="163"/>
      <c r="D15" s="164"/>
      <c r="E15" s="164"/>
      <c r="F15" s="164"/>
      <c r="G15" s="164"/>
      <c r="H15" s="165"/>
      <c r="I15" s="166"/>
      <c r="J15" s="166"/>
      <c r="K15" s="166"/>
      <c r="L15" s="166"/>
      <c r="M15" s="166"/>
      <c r="N15" s="166"/>
      <c r="O15" s="73"/>
    </row>
    <row r="16" spans="1:17" s="32" customFormat="1" ht="21" customHeight="1" thickBot="1">
      <c r="A16" s="135"/>
      <c r="B16" s="1081" t="s">
        <v>350</v>
      </c>
      <c r="C16" s="1081"/>
      <c r="D16" s="1081"/>
      <c r="E16" s="1081"/>
      <c r="F16" s="1081"/>
      <c r="G16" s="1081"/>
      <c r="H16" s="1081"/>
      <c r="I16" s="1081"/>
      <c r="J16" s="1081"/>
      <c r="K16" s="1081"/>
      <c r="L16" s="1081"/>
      <c r="M16" s="1081"/>
      <c r="N16" s="1081"/>
    </row>
    <row r="17" spans="1:15" s="33" customFormat="1" ht="3.75" customHeight="1" thickBot="1">
      <c r="A17" s="139"/>
      <c r="B17" s="148"/>
      <c r="C17" s="149"/>
      <c r="D17" s="150"/>
      <c r="E17" s="151"/>
      <c r="F17" s="152"/>
      <c r="G17" s="152"/>
      <c r="H17" s="153"/>
      <c r="I17" s="154"/>
      <c r="J17" s="155"/>
      <c r="K17" s="144"/>
      <c r="L17" s="145"/>
      <c r="M17" s="146"/>
      <c r="N17" s="147"/>
    </row>
    <row r="18" spans="1:15" s="33" customFormat="1" ht="22.5" customHeight="1" thickBot="1">
      <c r="A18" s="139"/>
      <c r="B18" s="1105" t="s">
        <v>277</v>
      </c>
      <c r="C18" s="1109"/>
      <c r="D18" s="1123" t="s">
        <v>354</v>
      </c>
      <c r="E18" s="1124"/>
      <c r="F18" s="1124"/>
      <c r="G18" s="1125"/>
      <c r="H18" s="142"/>
      <c r="I18" s="1119" t="s">
        <v>276</v>
      </c>
      <c r="J18" s="1120"/>
      <c r="K18" s="1120"/>
      <c r="L18" s="1120"/>
      <c r="M18" s="1121"/>
      <c r="N18" s="1122"/>
    </row>
    <row r="19" spans="1:15" s="33" customFormat="1" ht="48.75" customHeight="1">
      <c r="A19" s="139"/>
      <c r="B19" s="333" t="s">
        <v>59</v>
      </c>
      <c r="C19" s="167"/>
      <c r="D19" s="1126" t="str">
        <f>IF(ISBLANK(Управление!C8),"",(Управление!C8))</f>
        <v>По компоненту ВИЧ - Предварительных условий (ПУ) нет, согласно письму от ГФ по результатам работы за 1-е полугодие 2017 года было включено 1 Действие с установленным сроком исполнения (ДУС) - срок исполнения 30 июня 2018 года (по программе ПТМ). Предваритиельное условие выполнено в срок, все подтверждающие документы направлены в ГФ.</v>
      </c>
      <c r="E19" s="1127"/>
      <c r="F19" s="1127"/>
      <c r="G19" s="1128"/>
      <c r="H19" s="168"/>
      <c r="I19" s="1129"/>
      <c r="J19" s="1130"/>
      <c r="K19" s="1130"/>
      <c r="L19" s="1130"/>
      <c r="M19" s="1130"/>
      <c r="N19" s="1131"/>
    </row>
    <row r="20" spans="1:15" ht="30.75" customHeight="1">
      <c r="A20" s="133"/>
      <c r="B20" s="334" t="s">
        <v>60</v>
      </c>
      <c r="C20" s="169"/>
      <c r="D20" s="1082" t="str">
        <f>IF(ISBLANK(Управление!J8),"",(Управление!J8))</f>
        <v>По компоненту ВИЧ - С начала августа 2018 года все 6 штатных позиций в программном отделе (координатор, программные специалисты и МиО специалист) были заняты.  
По компоненту ТБ - Координатор гранта ТБ, Финансовый специалист, специалист по амбулаторному лечению и специалист МиО гранта ТБ</v>
      </c>
      <c r="E20" s="1083"/>
      <c r="F20" s="1083"/>
      <c r="G20" s="1084"/>
      <c r="H20" s="168"/>
      <c r="I20" s="1085"/>
      <c r="J20" s="1086"/>
      <c r="K20" s="1086"/>
      <c r="L20" s="1086"/>
      <c r="M20" s="1086"/>
      <c r="N20" s="1087"/>
      <c r="O20" s="34"/>
    </row>
    <row r="21" spans="1:15" ht="31.5" customHeight="1">
      <c r="A21" s="133"/>
      <c r="B21" s="335" t="s">
        <v>61</v>
      </c>
      <c r="C21" s="169"/>
      <c r="D21" s="1082" t="e">
        <f>IF(ISBLANK(Управление!#REF!),"",(Управление!#REF!))</f>
        <v>#REF!</v>
      </c>
      <c r="E21" s="1083"/>
      <c r="F21" s="1083"/>
      <c r="G21" s="1084"/>
      <c r="H21" s="168"/>
      <c r="I21" s="1085"/>
      <c r="J21" s="1086"/>
      <c r="K21" s="1086"/>
      <c r="L21" s="1086"/>
      <c r="M21" s="1086"/>
      <c r="N21" s="1087"/>
      <c r="O21" s="34"/>
    </row>
    <row r="22" spans="1:15" ht="34.5" customHeight="1">
      <c r="A22" s="133"/>
      <c r="B22" s="335" t="s">
        <v>62</v>
      </c>
      <c r="C22" s="169"/>
      <c r="D22" s="1082" t="e">
        <f>IF(ISBLANK(Управление!#REF!),"",(Управление!#REF!))</f>
        <v>#REF!</v>
      </c>
      <c r="E22" s="1083"/>
      <c r="F22" s="1083"/>
      <c r="G22" s="1084"/>
      <c r="H22" s="168"/>
      <c r="I22" s="1085"/>
      <c r="J22" s="1086"/>
      <c r="K22" s="1086"/>
      <c r="L22" s="1086"/>
      <c r="M22" s="1086"/>
      <c r="N22" s="1087"/>
      <c r="O22" s="34"/>
    </row>
    <row r="23" spans="1:15" ht="33.75" customHeight="1">
      <c r="A23" s="133"/>
      <c r="B23" s="335" t="s">
        <v>63</v>
      </c>
      <c r="C23" s="169"/>
      <c r="D23" s="1082" t="str">
        <f>IF(ISBLANK(Управление!C29),"",(Управление!C29))</f>
        <v>Медикаменты и ИМН закуплены согласно потребности на 2018 год. В расчетах потребности учтены текущий запас, ожидаемые поставки и наличие бюджета</v>
      </c>
      <c r="E23" s="1083"/>
      <c r="F23" s="1083"/>
      <c r="G23" s="1084"/>
      <c r="H23" s="168"/>
      <c r="I23" s="1085"/>
      <c r="J23" s="1086"/>
      <c r="K23" s="1086"/>
      <c r="L23" s="1086"/>
      <c r="M23" s="1086"/>
      <c r="N23" s="1087"/>
      <c r="O23" s="34"/>
    </row>
    <row r="24" spans="1:15" ht="39.75" customHeight="1" thickBot="1">
      <c r="A24" s="133"/>
      <c r="B24" s="336" t="s">
        <v>64</v>
      </c>
      <c r="C24" s="170"/>
      <c r="D24" s="1078" t="str">
        <f>IF(ISBLANK(Управление!J29),"",(Управление!J29))</f>
        <v>Запас ПТП 2-го ряда составляет  в среднем от 6-20 месяцев, за исключением Амоксиклава(со сроком годности 30.04.2020г), ситуация большого запаса  сложилась в результате изменений схем лечения согласно рекомендациям ВОЗ, препарат выбыл из схем  так как доказано, что не эффективен как отдельный препарат, а только в сочетании с Имипенемом/Циластатином.   В связи с этим, препарат будет распределен в другие лечебные учреждения, так как Амоксиклав входит в ПЖВЛС   как не противотуберкулезный препарат. А также согласно остаткам в  запасе больше 20 месяцев имеются Бедаквилин, Линезолид и Моксифлоксацин, однако препараты израсходуются до истечения срока годности, так как в настоящее время идет внедрение новых препаратов соответственно количество набранных больных будет увеличиваться и кроме этого согласно последним рекомендациям ВОЗ (август 2018) данные препараты классифицированы в группу А (препараты, используемые в первоочередном порядке).</v>
      </c>
      <c r="E24" s="1079"/>
      <c r="F24" s="1079"/>
      <c r="G24" s="1080"/>
      <c r="H24" s="168"/>
      <c r="I24" s="1110"/>
      <c r="J24" s="1111"/>
      <c r="K24" s="1111"/>
      <c r="L24" s="1111"/>
      <c r="M24" s="1111"/>
      <c r="N24" s="1112"/>
      <c r="O24" s="34"/>
    </row>
    <row r="25" spans="1:15" ht="4.5" customHeight="1">
      <c r="A25" s="135"/>
      <c r="B25" s="140"/>
      <c r="C25" s="141"/>
      <c r="D25" s="156"/>
      <c r="E25" s="157"/>
      <c r="F25" s="158"/>
      <c r="G25" s="158"/>
      <c r="H25" s="142"/>
      <c r="I25" s="157"/>
      <c r="J25" s="143"/>
      <c r="K25" s="144"/>
      <c r="L25" s="145"/>
      <c r="M25" s="146"/>
      <c r="N25" s="147"/>
      <c r="O25" s="34"/>
    </row>
    <row r="26" spans="1:15" s="32" customFormat="1" ht="21" customHeight="1" thickBot="1">
      <c r="A26" s="135"/>
      <c r="B26" s="1081" t="s">
        <v>390</v>
      </c>
      <c r="C26" s="1081"/>
      <c r="D26" s="1081"/>
      <c r="E26" s="1081"/>
      <c r="F26" s="1081"/>
      <c r="G26" s="1081"/>
      <c r="H26" s="1081"/>
      <c r="I26" s="1081"/>
      <c r="J26" s="1081"/>
      <c r="K26" s="1081"/>
      <c r="L26" s="1081"/>
      <c r="M26" s="1081"/>
      <c r="N26" s="1081"/>
    </row>
    <row r="27" spans="1:15" ht="3.75" customHeight="1" thickBot="1">
      <c r="A27" s="135"/>
      <c r="B27" s="140"/>
      <c r="C27" s="141"/>
      <c r="D27" s="156"/>
      <c r="E27" s="157"/>
      <c r="F27" s="158"/>
      <c r="G27" s="158"/>
      <c r="H27" s="142"/>
      <c r="I27" s="157"/>
      <c r="J27" s="143"/>
      <c r="K27" s="144"/>
      <c r="L27" s="145"/>
      <c r="M27" s="146"/>
      <c r="N27" s="147"/>
      <c r="O27" s="34"/>
    </row>
    <row r="28" spans="1:15" ht="21.75" customHeight="1" thickBot="1">
      <c r="A28" s="133"/>
      <c r="B28" s="1104" t="s">
        <v>361</v>
      </c>
      <c r="C28" s="1109"/>
      <c r="D28" s="1059" t="s">
        <v>354</v>
      </c>
      <c r="E28" s="1060"/>
      <c r="F28" s="1060"/>
      <c r="G28" s="1061"/>
      <c r="H28" s="142"/>
      <c r="I28" s="1059" t="s">
        <v>276</v>
      </c>
      <c r="J28" s="1060"/>
      <c r="K28" s="1060"/>
      <c r="L28" s="1060"/>
      <c r="M28" s="1060"/>
      <c r="N28" s="1061"/>
      <c r="O28" s="34"/>
    </row>
    <row r="29" spans="1:15" ht="29.25" customHeight="1">
      <c r="A29" s="133"/>
      <c r="B29" s="337" t="s">
        <v>278</v>
      </c>
      <c r="C29" s="171"/>
      <c r="D29" s="1065" t="str">
        <f>IF(ISBLANK(Программа!C42),"",(Программа!C42))</f>
        <v>Мотивационной поддержкой были охвачены все больные ЛУ-ТБ, которые не прерывали лечение более  5 дней.</v>
      </c>
      <c r="E29" s="1066"/>
      <c r="F29" s="1066"/>
      <c r="G29" s="1067"/>
      <c r="H29" s="168"/>
      <c r="I29" s="1088"/>
      <c r="J29" s="1089"/>
      <c r="K29" s="1089"/>
      <c r="L29" s="1089"/>
      <c r="M29" s="1089"/>
      <c r="N29" s="1090"/>
      <c r="O29" s="34"/>
    </row>
    <row r="30" spans="1:15" ht="21.95" customHeight="1">
      <c r="A30" s="133"/>
      <c r="B30" s="338" t="s">
        <v>279</v>
      </c>
      <c r="C30" s="172"/>
      <c r="D30" s="1077" t="str">
        <f>IF(ISBLANK(Программа!G42),"",(Программа!G42))</f>
        <v>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v>
      </c>
      <c r="E30" s="1063"/>
      <c r="F30" s="1063"/>
      <c r="G30" s="1064"/>
      <c r="H30" s="168"/>
      <c r="I30" s="1068"/>
      <c r="J30" s="1069"/>
      <c r="K30" s="1069"/>
      <c r="L30" s="1069"/>
      <c r="M30" s="1069"/>
      <c r="N30" s="1070"/>
      <c r="O30" s="34"/>
    </row>
    <row r="31" spans="1:15" ht="21.95" customHeight="1">
      <c r="A31" s="133"/>
      <c r="B31" s="338" t="s">
        <v>280</v>
      </c>
      <c r="C31" s="172"/>
      <c r="D31" s="1077" t="str">
        <f>IF(ISBLANK(Программа!M42),"",(Программа!M42))</f>
        <v>Данный индикатор показывает охват ранее леченных тестом на лекарственную чувствительность.</v>
      </c>
      <c r="E31" s="1063"/>
      <c r="F31" s="1063"/>
      <c r="G31" s="1064"/>
      <c r="H31" s="168"/>
      <c r="I31" s="1068"/>
      <c r="J31" s="1069"/>
      <c r="K31" s="1069"/>
      <c r="L31" s="1069"/>
      <c r="M31" s="1069"/>
      <c r="N31" s="1070"/>
      <c r="O31" s="34"/>
    </row>
    <row r="32" spans="1:15" ht="21.95" customHeight="1">
      <c r="A32" s="133"/>
      <c r="B32" s="339" t="s">
        <v>55</v>
      </c>
      <c r="C32" s="172"/>
      <c r="D32" s="1062" t="str">
        <f>IF(ISBLANK(Программа!L55),"",(Программа!L55))</f>
        <v>В текущем отчетном периоде данная активность не выполнялась</v>
      </c>
      <c r="E32" s="1063"/>
      <c r="F32" s="1063"/>
      <c r="G32" s="1064"/>
      <c r="H32" s="168"/>
      <c r="I32" s="1068"/>
      <c r="J32" s="1069"/>
      <c r="K32" s="1069"/>
      <c r="L32" s="1069"/>
      <c r="M32" s="1069"/>
      <c r="N32" s="1070"/>
      <c r="O32" s="34"/>
    </row>
    <row r="33" spans="1:15" ht="42.75" customHeight="1">
      <c r="A33" s="133"/>
      <c r="B33" s="339" t="s">
        <v>56</v>
      </c>
      <c r="C33" s="172"/>
      <c r="D33" s="1062" t="str">
        <f>IF(ISBLANK(Программа!L56),"",(Программа!L56))</f>
        <v>В текущем отчетном периоде данная активность не выполнялась</v>
      </c>
      <c r="E33" s="1063"/>
      <c r="F33" s="1063"/>
      <c r="G33" s="1064"/>
      <c r="H33" s="168"/>
      <c r="I33" s="1074"/>
      <c r="J33" s="1075"/>
      <c r="K33" s="1075"/>
      <c r="L33" s="1075"/>
      <c r="M33" s="1075"/>
      <c r="N33" s="1076"/>
      <c r="O33" s="34"/>
    </row>
    <row r="34" spans="1:15" ht="21.95" customHeight="1">
      <c r="A34" s="133"/>
      <c r="B34" s="339" t="s">
        <v>57</v>
      </c>
      <c r="C34" s="172"/>
      <c r="D34" s="1062" t="str">
        <f>IF(ISBLANK(Программа!L57),"",(Программа!L57))</f>
        <v xml:space="preserve"> (1) В течение отчетного перода Q4-2017-Q1-2018, было зарегистрировано  1174 ранее леченных случаев ТБ, включая 539 положительных по культуре (2)  Из 539 положительных по культуре случаев ТБ, 511 имели ТЛЧ результаты к H и R (3) Выполнение индикатора процент ранее леченнных случаев ТБ, охваченных ТЛЧ, составил 100% </v>
      </c>
      <c r="E34" s="1063"/>
      <c r="F34" s="1063"/>
      <c r="G34" s="1064"/>
      <c r="H34" s="168"/>
      <c r="I34" s="1068"/>
      <c r="J34" s="1069"/>
      <c r="K34" s="1069"/>
      <c r="L34" s="1069"/>
      <c r="M34" s="1069"/>
      <c r="N34" s="1070"/>
      <c r="O34" s="34"/>
    </row>
    <row r="35" spans="1:15" ht="27.75" customHeight="1">
      <c r="A35" s="133"/>
      <c r="B35" s="339" t="s">
        <v>58</v>
      </c>
      <c r="C35" s="208"/>
      <c r="D35" s="1062" t="e">
        <f>IF(ISBLANK(Программа!#REF!),"",(Программа!#REF!))</f>
        <v>#REF!</v>
      </c>
      <c r="E35" s="1063"/>
      <c r="F35" s="1063"/>
      <c r="G35" s="1064"/>
      <c r="H35" s="168"/>
      <c r="I35" s="1068"/>
      <c r="J35" s="1069"/>
      <c r="K35" s="1069"/>
      <c r="L35" s="1069"/>
      <c r="M35" s="1069"/>
      <c r="N35" s="1070"/>
      <c r="O35" s="34"/>
    </row>
    <row r="36" spans="1:15" ht="21.95" customHeight="1">
      <c r="A36" s="133"/>
      <c r="B36" s="339" t="s">
        <v>65</v>
      </c>
      <c r="C36" s="208"/>
      <c r="D36" s="1062" t="str">
        <f>IF(ISBLANK(Программа!L59),"",(Программа!L59))</f>
        <v xml:space="preserve">За отчетный период 4Q 2017-1Q2018, национальная ТБ программа включила в лечение  598 RR/MDR TB  случаев ТБ против 712 запланированных.  Выполнение индикатора составило 84%   По отношению к зарегистрированным случаям  РУ- МЛУ ТБ  выполнение индикатора составило  92%  ( 598 из 646). </v>
      </c>
      <c r="E36" s="1063"/>
      <c r="F36" s="1063"/>
      <c r="G36" s="1064"/>
      <c r="H36" s="168"/>
      <c r="I36" s="1068"/>
      <c r="J36" s="1069"/>
      <c r="K36" s="1069"/>
      <c r="L36" s="1069"/>
      <c r="M36" s="1069"/>
      <c r="N36" s="1070"/>
      <c r="O36" s="34"/>
    </row>
    <row r="37" spans="1:15" ht="21.95" customHeight="1">
      <c r="A37" s="133"/>
      <c r="B37" s="339" t="s">
        <v>66</v>
      </c>
      <c r="C37" s="208"/>
      <c r="D37" s="1062" t="str">
        <f>IF(ISBLANK(Программа!L60),"",(Программа!L60))</f>
        <v xml:space="preserve">Согласно отчету НЦФ, среди 7295пациентов с симптомами ТБ, обследованных методом     Xpert, 1205 были положительными  на ДНК  (16,5%). </v>
      </c>
      <c r="E37" s="1063"/>
      <c r="F37" s="1063"/>
      <c r="G37" s="1064"/>
      <c r="H37" s="168"/>
      <c r="I37" s="1068"/>
      <c r="J37" s="1069"/>
      <c r="K37" s="1069"/>
      <c r="L37" s="1069"/>
      <c r="M37" s="1069"/>
      <c r="N37" s="1070"/>
      <c r="O37" s="34"/>
    </row>
    <row r="38" spans="1:15" ht="21.95" customHeight="1">
      <c r="A38" s="133"/>
      <c r="B38" s="339" t="s">
        <v>67</v>
      </c>
      <c r="C38" s="208"/>
      <c r="D38" s="1062" t="e">
        <f>IF(ISBLANK(Программа!#REF!),"",(Программа!#REF!))</f>
        <v>#REF!</v>
      </c>
      <c r="E38" s="1063"/>
      <c r="F38" s="1063"/>
      <c r="G38" s="1064"/>
      <c r="H38" s="168"/>
      <c r="I38" s="1068"/>
      <c r="J38" s="1069"/>
      <c r="K38" s="1069"/>
      <c r="L38" s="1069"/>
      <c r="M38" s="1069"/>
      <c r="N38" s="1070"/>
      <c r="O38" s="34"/>
    </row>
    <row r="39" spans="1:15" ht="21.95" customHeight="1">
      <c r="A39" s="133"/>
      <c r="B39" s="339" t="s">
        <v>68</v>
      </c>
      <c r="C39" s="208"/>
      <c r="D39" s="1062" t="e">
        <f>IF(ISBLANK(Программа!#REF!),"",(Программа!#REF!))</f>
        <v>#REF!</v>
      </c>
      <c r="E39" s="1063"/>
      <c r="F39" s="1063"/>
      <c r="G39" s="1064"/>
      <c r="H39" s="168"/>
      <c r="I39" s="1068"/>
      <c r="J39" s="1069"/>
      <c r="K39" s="1069"/>
      <c r="L39" s="1069"/>
      <c r="M39" s="1069"/>
      <c r="N39" s="1070"/>
      <c r="O39" s="34"/>
    </row>
    <row r="40" spans="1:15" ht="21.95" customHeight="1">
      <c r="A40" s="133"/>
      <c r="B40" s="339" t="s">
        <v>69</v>
      </c>
      <c r="C40" s="208"/>
      <c r="D40" s="1062" t="e">
        <f>IF(ISBLANK(Программа!#REF!),"",(Программа!#REF!))</f>
        <v>#REF!</v>
      </c>
      <c r="E40" s="1063"/>
      <c r="F40" s="1063"/>
      <c r="G40" s="1064"/>
      <c r="H40" s="168"/>
      <c r="I40" s="1068"/>
      <c r="J40" s="1069"/>
      <c r="K40" s="1069"/>
      <c r="L40" s="1069"/>
      <c r="M40" s="1069"/>
      <c r="N40" s="1070"/>
      <c r="O40" s="34"/>
    </row>
    <row r="41" spans="1:15" ht="21.95" customHeight="1" thickBot="1">
      <c r="A41" s="133"/>
      <c r="B41" s="398" t="s">
        <v>70</v>
      </c>
      <c r="C41" s="173"/>
      <c r="D41" s="1056" t="e">
        <f>IF(ISBLANK(Программа!#REF!),"",(Программа!#REF!))</f>
        <v>#REF!</v>
      </c>
      <c r="E41" s="1057"/>
      <c r="F41" s="1057"/>
      <c r="G41" s="1058"/>
      <c r="H41" s="168"/>
      <c r="I41" s="1071"/>
      <c r="J41" s="1072"/>
      <c r="K41" s="1072"/>
      <c r="L41" s="1072"/>
      <c r="M41" s="1072"/>
      <c r="N41" s="1073"/>
      <c r="O41" s="34"/>
    </row>
    <row r="42" spans="1:15" ht="14.25">
      <c r="A42" s="133"/>
      <c r="B42" s="174"/>
      <c r="C42" s="174"/>
      <c r="D42" s="175"/>
      <c r="E42" s="133"/>
      <c r="F42" s="174"/>
      <c r="G42" s="174"/>
      <c r="H42" s="133"/>
      <c r="I42" s="176"/>
      <c r="J42" s="133"/>
      <c r="K42" s="177"/>
      <c r="L42" s="177"/>
      <c r="M42" s="177"/>
      <c r="N42" s="177"/>
      <c r="O42" s="34"/>
    </row>
  </sheetData>
  <sheetProtection password="CFC9" sheet="1"/>
  <mergeCells count="65">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B2:Q2"/>
    <mergeCell ref="E5:K5"/>
    <mergeCell ref="E3:K3"/>
    <mergeCell ref="C4:D4"/>
    <mergeCell ref="E4:K4"/>
    <mergeCell ref="C3:D3"/>
    <mergeCell ref="D23:G23"/>
    <mergeCell ref="I21:N21"/>
    <mergeCell ref="I22:N22"/>
    <mergeCell ref="I23:N23"/>
    <mergeCell ref="I29:N29"/>
    <mergeCell ref="D30:G30"/>
    <mergeCell ref="D32:G32"/>
    <mergeCell ref="D24:G24"/>
    <mergeCell ref="I30:N30"/>
    <mergeCell ref="I31:N31"/>
    <mergeCell ref="B26:N26"/>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8" zoomScaleNormal="110" zoomScaleSheetLayoutView="100" workbookViewId="0">
      <selection activeCell="B14" sqref="B14:E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32" t="str">
        <f>+"Панель показателей:  "&amp;"  "&amp;IF(+'Ввод данных'!B4="Выберите","",'Ввод данных'!B4&amp;" - ")&amp;IF('Ввод данных'!F6="Выберите","",'Ввод данных'!F6)</f>
        <v>Панель показателей:    Кыргызстан - ВИЧ/СПИД/ТБ</v>
      </c>
      <c r="C2" s="932"/>
      <c r="D2" s="932"/>
      <c r="E2" s="932"/>
      <c r="F2" s="932"/>
      <c r="G2" s="932"/>
      <c r="H2" s="932"/>
      <c r="I2" s="932"/>
      <c r="J2" s="932"/>
      <c r="K2" s="932"/>
      <c r="L2" s="932"/>
    </row>
    <row r="3" spans="1:13">
      <c r="B3" s="23">
        <f>+IF('Ввод данных'!F8="Выберите","",'Ввод данных'!F8)</f>
        <v>0</v>
      </c>
      <c r="C3" s="1162"/>
      <c r="D3" s="1162"/>
      <c r="E3" s="964"/>
      <c r="F3" s="964"/>
      <c r="G3" s="964"/>
      <c r="H3" s="964"/>
      <c r="I3" s="964"/>
      <c r="J3" s="965" t="str">
        <f>+'Ввод данных'!A16</f>
        <v>Отчетный период</v>
      </c>
      <c r="K3" s="965"/>
      <c r="L3" s="181" t="str">
        <f>+'Ввод данных'!B16</f>
        <v>P4</v>
      </c>
      <c r="M3" s="83"/>
    </row>
    <row r="4" spans="1:13">
      <c r="B4" s="369" t="str">
        <f>+'Ввод данных'!A12</f>
        <v>Последняя оценка:</v>
      </c>
      <c r="C4" s="1156" t="str">
        <f>+IF('Ввод данных'!B12="Выберите","",'Ввод данных'!B12)</f>
        <v>A1</v>
      </c>
      <c r="D4" s="1156"/>
      <c r="E4" s="964" t="str">
        <f>+'Ввод данных'!B8</f>
        <v>ПРООН</v>
      </c>
      <c r="F4" s="964"/>
      <c r="G4" s="964"/>
      <c r="H4" s="964"/>
      <c r="I4" s="964"/>
      <c r="J4" s="965" t="str">
        <f>+'Ввод данных'!C16</f>
        <v>с:</v>
      </c>
      <c r="K4" s="1159"/>
      <c r="L4" s="182">
        <f>+IF(ISBLANK('Ввод данных'!D16),"",'Ввод данных'!D16)</f>
        <v>43101</v>
      </c>
    </row>
    <row r="5" spans="1:13" ht="18.75" customHeight="1">
      <c r="B5" s="23"/>
      <c r="C5" s="23"/>
      <c r="D5" s="964"/>
      <c r="E5" s="964"/>
      <c r="F5" s="964"/>
      <c r="G5" s="964"/>
      <c r="H5" s="964"/>
      <c r="I5" s="964"/>
      <c r="J5" s="964"/>
      <c r="K5" s="23" t="str">
        <f>+'Ввод данных'!E16</f>
        <v>до:</v>
      </c>
      <c r="L5" s="182">
        <f>+IF(ISBLANK('Ввод данных'!F16),"",'Ввод данных'!F16)</f>
        <v>43281</v>
      </c>
    </row>
    <row r="6" spans="1:13" ht="18.75">
      <c r="B6" s="22"/>
      <c r="C6" s="23"/>
      <c r="D6" s="24"/>
      <c r="E6" s="1160" t="s">
        <v>347</v>
      </c>
      <c r="F6" s="1161"/>
      <c r="G6" s="1161"/>
      <c r="H6" s="1161"/>
      <c r="I6" s="1161"/>
    </row>
    <row r="7" spans="1:13" ht="18.75">
      <c r="E7" s="71"/>
      <c r="F7" s="71"/>
      <c r="G7" s="71"/>
      <c r="H7" s="71"/>
      <c r="I7" s="71"/>
    </row>
    <row r="8" spans="1:13" s="32" customFormat="1" ht="21" customHeight="1" thickBot="1">
      <c r="B8" s="74" t="s">
        <v>387</v>
      </c>
      <c r="C8" s="74"/>
      <c r="D8" s="74"/>
      <c r="E8" s="74"/>
      <c r="F8" s="74"/>
      <c r="G8" s="74"/>
      <c r="H8" s="74"/>
      <c r="I8" s="74"/>
      <c r="J8" s="74"/>
      <c r="K8" s="74"/>
      <c r="L8" s="74"/>
    </row>
    <row r="9" spans="1:13" ht="6" customHeight="1">
      <c r="B9" s="72"/>
    </row>
    <row r="10" spans="1:13">
      <c r="B10" s="1167"/>
      <c r="C10" s="1168"/>
      <c r="D10" s="1168"/>
      <c r="E10" s="1168"/>
      <c r="F10" s="1168"/>
      <c r="G10" s="1168"/>
      <c r="H10" s="1168"/>
      <c r="I10" s="1168"/>
      <c r="J10" s="1168"/>
      <c r="K10" s="1168"/>
      <c r="L10" s="1169"/>
    </row>
    <row r="11" spans="1:13">
      <c r="B11" s="1170"/>
      <c r="C11" s="1171"/>
      <c r="D11" s="1171"/>
      <c r="E11" s="1171"/>
      <c r="F11" s="1171"/>
      <c r="G11" s="1171"/>
      <c r="H11" s="1171"/>
      <c r="I11" s="1171"/>
      <c r="J11" s="1171"/>
      <c r="K11" s="1171"/>
      <c r="L11" s="1172"/>
    </row>
    <row r="12" spans="1:13" ht="15.75" thickBot="1"/>
    <row r="13" spans="1:13" ht="26.25" customHeight="1" thickBot="1">
      <c r="B13" s="1163" t="s">
        <v>386</v>
      </c>
      <c r="C13" s="1164"/>
      <c r="D13" s="1164"/>
      <c r="E13" s="1137"/>
      <c r="F13" s="75"/>
      <c r="G13" s="1233" t="s">
        <v>338</v>
      </c>
      <c r="H13" s="1173"/>
      <c r="I13" s="1173"/>
      <c r="J13" s="76" t="s">
        <v>281</v>
      </c>
      <c r="K13" s="1173" t="s">
        <v>282</v>
      </c>
      <c r="L13" s="1174"/>
    </row>
    <row r="14" spans="1:13">
      <c r="A14" s="1224" t="s">
        <v>259</v>
      </c>
      <c r="B14" s="1165"/>
      <c r="C14" s="1165"/>
      <c r="D14" s="1165"/>
      <c r="E14" s="1166"/>
      <c r="F14" s="45"/>
      <c r="G14" s="1227"/>
      <c r="H14" s="1228"/>
      <c r="I14" s="1228"/>
      <c r="J14" s="1236"/>
      <c r="K14" s="1152"/>
      <c r="L14" s="1153"/>
    </row>
    <row r="15" spans="1:13" ht="32.25" customHeight="1">
      <c r="A15" s="1225"/>
      <c r="B15" s="1165"/>
      <c r="C15" s="1165"/>
      <c r="D15" s="1165"/>
      <c r="E15" s="1166"/>
      <c r="F15" s="45"/>
      <c r="G15" s="1204"/>
      <c r="H15" s="1205"/>
      <c r="I15" s="1205"/>
      <c r="J15" s="1176"/>
      <c r="K15" s="1154"/>
      <c r="L15" s="1155"/>
    </row>
    <row r="16" spans="1:13">
      <c r="A16" s="1225"/>
      <c r="B16" s="1165"/>
      <c r="C16" s="1165"/>
      <c r="D16" s="1165"/>
      <c r="E16" s="1166"/>
      <c r="F16" s="45"/>
      <c r="G16" s="1204"/>
      <c r="H16" s="1205"/>
      <c r="I16" s="1205"/>
      <c r="J16" s="1175"/>
      <c r="K16" s="1157"/>
      <c r="L16" s="1158"/>
    </row>
    <row r="17" spans="1:12" ht="78.75" customHeight="1">
      <c r="A17" s="1225"/>
      <c r="B17" s="1165"/>
      <c r="C17" s="1165"/>
      <c r="D17" s="1165"/>
      <c r="E17" s="1166"/>
      <c r="F17" s="45"/>
      <c r="G17" s="1204"/>
      <c r="H17" s="1205"/>
      <c r="I17" s="1205"/>
      <c r="J17" s="1176"/>
      <c r="K17" s="1154"/>
      <c r="L17" s="1155"/>
    </row>
    <row r="18" spans="1:12">
      <c r="A18" s="1225"/>
      <c r="B18" s="1165"/>
      <c r="C18" s="1165"/>
      <c r="D18" s="1165"/>
      <c r="E18" s="1166"/>
      <c r="F18" s="45"/>
      <c r="G18" s="1229"/>
      <c r="H18" s="1230"/>
      <c r="I18" s="1231"/>
      <c r="J18" s="1175"/>
      <c r="K18" s="1157"/>
      <c r="L18" s="1158"/>
    </row>
    <row r="19" spans="1:12" ht="30.75" customHeight="1">
      <c r="A19" s="1225"/>
      <c r="B19" s="1165"/>
      <c r="C19" s="1165"/>
      <c r="D19" s="1165"/>
      <c r="E19" s="1166"/>
      <c r="F19" s="45"/>
      <c r="G19" s="1211"/>
      <c r="H19" s="1212"/>
      <c r="I19" s="1232"/>
      <c r="J19" s="1176"/>
      <c r="K19" s="1154"/>
      <c r="L19" s="1155"/>
    </row>
    <row r="20" spans="1:12">
      <c r="A20" s="1225"/>
      <c r="B20" s="1165"/>
      <c r="C20" s="1165"/>
      <c r="D20" s="1165"/>
      <c r="E20" s="1166"/>
      <c r="F20" s="45"/>
      <c r="G20" s="1204"/>
      <c r="H20" s="1205"/>
      <c r="I20" s="1205"/>
      <c r="J20" s="1175"/>
      <c r="K20" s="1157"/>
      <c r="L20" s="1158"/>
    </row>
    <row r="21" spans="1:12" ht="45.75" customHeight="1">
      <c r="A21" s="1225"/>
      <c r="B21" s="1165"/>
      <c r="C21" s="1165"/>
      <c r="D21" s="1165"/>
      <c r="E21" s="1166"/>
      <c r="F21" s="45"/>
      <c r="G21" s="1204"/>
      <c r="H21" s="1205"/>
      <c r="I21" s="1205"/>
      <c r="J21" s="1176"/>
      <c r="K21" s="1154"/>
      <c r="L21" s="1155"/>
    </row>
    <row r="22" spans="1:12">
      <c r="A22" s="1225"/>
      <c r="B22" s="1165"/>
      <c r="C22" s="1165"/>
      <c r="D22" s="1165"/>
      <c r="E22" s="1166"/>
      <c r="F22" s="45"/>
      <c r="G22" s="1204"/>
      <c r="H22" s="1205"/>
      <c r="I22" s="1205"/>
      <c r="J22" s="1235"/>
      <c r="K22" s="1176"/>
      <c r="L22" s="1234"/>
    </row>
    <row r="23" spans="1:12" ht="34.5" customHeight="1">
      <c r="A23" s="1225"/>
      <c r="B23" s="1165"/>
      <c r="C23" s="1165"/>
      <c r="D23" s="1165"/>
      <c r="E23" s="1166"/>
      <c r="F23" s="45"/>
      <c r="G23" s="1204"/>
      <c r="H23" s="1205"/>
      <c r="I23" s="1205"/>
      <c r="J23" s="1228"/>
      <c r="K23" s="1176"/>
      <c r="L23" s="1234"/>
    </row>
    <row r="24" spans="1:12" ht="15" customHeight="1">
      <c r="A24" s="1225"/>
      <c r="B24" s="1165"/>
      <c r="C24" s="1165"/>
      <c r="D24" s="1165"/>
      <c r="E24" s="1166"/>
      <c r="F24" s="45"/>
      <c r="G24" s="1204"/>
      <c r="H24" s="1205"/>
      <c r="I24" s="1205"/>
      <c r="J24" s="1175"/>
      <c r="K24" s="1138"/>
      <c r="L24" s="1139"/>
    </row>
    <row r="25" spans="1:12" ht="30" customHeight="1" thickBot="1">
      <c r="A25" s="1226"/>
      <c r="B25" s="1219"/>
      <c r="C25" s="1219"/>
      <c r="D25" s="1219"/>
      <c r="E25" s="1220"/>
      <c r="F25" s="45"/>
      <c r="G25" s="1206"/>
      <c r="H25" s="1207"/>
      <c r="I25" s="1207"/>
      <c r="J25" s="1199"/>
      <c r="K25" s="1140"/>
      <c r="L25" s="1141"/>
    </row>
    <row r="27" spans="1:12" ht="18.75" customHeight="1">
      <c r="D27" s="356"/>
      <c r="E27" s="362" t="s">
        <v>388</v>
      </c>
      <c r="F27" s="362"/>
      <c r="G27" s="362"/>
      <c r="H27" s="362"/>
      <c r="I27" s="362"/>
    </row>
    <row r="28" spans="1:12" ht="6" customHeight="1">
      <c r="E28" s="71"/>
      <c r="F28" s="71"/>
      <c r="G28" s="71"/>
      <c r="H28" s="71"/>
      <c r="I28" s="71"/>
    </row>
    <row r="29" spans="1:12" s="32" customFormat="1" ht="21" customHeight="1" thickBot="1">
      <c r="B29" s="74" t="s">
        <v>389</v>
      </c>
      <c r="C29" s="74"/>
      <c r="D29" s="74"/>
      <c r="E29" s="74"/>
      <c r="F29" s="74"/>
      <c r="G29" s="74"/>
      <c r="H29" s="74"/>
      <c r="I29" s="74"/>
      <c r="J29" s="74"/>
      <c r="K29" s="74"/>
      <c r="L29" s="74"/>
    </row>
    <row r="30" spans="1:12" ht="6" customHeight="1" thickBot="1">
      <c r="B30" s="72"/>
    </row>
    <row r="31" spans="1:12" ht="21.75" customHeight="1" thickBot="1">
      <c r="B31" s="1163" t="s">
        <v>338</v>
      </c>
      <c r="C31" s="1164"/>
      <c r="D31" s="1164"/>
      <c r="E31" s="1137"/>
      <c r="F31" s="75"/>
      <c r="G31" s="1163" t="s">
        <v>339</v>
      </c>
      <c r="H31" s="1164"/>
      <c r="I31" s="1203"/>
      <c r="J31" s="76" t="s">
        <v>283</v>
      </c>
      <c r="K31" s="1136" t="s">
        <v>282</v>
      </c>
      <c r="L31" s="1137"/>
    </row>
    <row r="32" spans="1:12" ht="14.25" customHeight="1">
      <c r="A32" s="1200" t="s">
        <v>340</v>
      </c>
      <c r="B32" s="1208"/>
      <c r="C32" s="1209"/>
      <c r="D32" s="1209"/>
      <c r="E32" s="1210"/>
      <c r="F32" s="45"/>
      <c r="G32" s="1221"/>
      <c r="H32" s="1222"/>
      <c r="I32" s="1223"/>
      <c r="J32" s="1134"/>
      <c r="K32" s="1152"/>
      <c r="L32" s="1153"/>
    </row>
    <row r="33" spans="1:12" ht="30" customHeight="1">
      <c r="A33" s="1201"/>
      <c r="B33" s="1211"/>
      <c r="C33" s="1212"/>
      <c r="D33" s="1212"/>
      <c r="E33" s="1213"/>
      <c r="F33" s="45"/>
      <c r="G33" s="1195"/>
      <c r="H33" s="1196"/>
      <c r="I33" s="1197"/>
      <c r="J33" s="1135"/>
      <c r="K33" s="1154"/>
      <c r="L33" s="1155"/>
    </row>
    <row r="34" spans="1:12">
      <c r="A34" s="1201"/>
      <c r="B34" s="1188"/>
      <c r="C34" s="1189"/>
      <c r="D34" s="1189"/>
      <c r="E34" s="1158"/>
      <c r="F34" s="45"/>
      <c r="G34" s="1192"/>
      <c r="H34" s="1193"/>
      <c r="I34" s="1194"/>
      <c r="J34" s="1198"/>
      <c r="K34" s="1142"/>
      <c r="L34" s="1143"/>
    </row>
    <row r="35" spans="1:12" ht="30" customHeight="1">
      <c r="A35" s="1201"/>
      <c r="B35" s="1190"/>
      <c r="C35" s="1191"/>
      <c r="D35" s="1191"/>
      <c r="E35" s="1155"/>
      <c r="F35" s="45"/>
      <c r="G35" s="1195"/>
      <c r="H35" s="1196"/>
      <c r="I35" s="1197"/>
      <c r="J35" s="1135"/>
      <c r="K35" s="1144"/>
      <c r="L35" s="1145"/>
    </row>
    <row r="36" spans="1:12">
      <c r="A36" s="1201"/>
      <c r="B36" s="1183"/>
      <c r="C36" s="1184"/>
      <c r="D36" s="1184"/>
      <c r="E36" s="1139"/>
      <c r="F36" s="45"/>
      <c r="G36" s="1192"/>
      <c r="H36" s="1193"/>
      <c r="I36" s="1194"/>
      <c r="J36" s="1132"/>
      <c r="K36" s="1142"/>
      <c r="L36" s="1143"/>
    </row>
    <row r="37" spans="1:12" ht="45" customHeight="1">
      <c r="A37" s="1201"/>
      <c r="B37" s="1185"/>
      <c r="C37" s="1186"/>
      <c r="D37" s="1186"/>
      <c r="E37" s="1187"/>
      <c r="F37" s="45"/>
      <c r="G37" s="1195"/>
      <c r="H37" s="1196"/>
      <c r="I37" s="1197"/>
      <c r="J37" s="1135"/>
      <c r="K37" s="1144"/>
      <c r="L37" s="1145"/>
    </row>
    <row r="38" spans="1:12">
      <c r="A38" s="1201"/>
      <c r="B38" s="1183"/>
      <c r="C38" s="1184"/>
      <c r="D38" s="1184"/>
      <c r="E38" s="1139"/>
      <c r="F38" s="45"/>
      <c r="G38" s="1177"/>
      <c r="H38" s="1178"/>
      <c r="I38" s="1179"/>
      <c r="J38" s="1132"/>
      <c r="K38" s="1146"/>
      <c r="L38" s="1147"/>
    </row>
    <row r="39" spans="1:12">
      <c r="A39" s="1201"/>
      <c r="B39" s="1185"/>
      <c r="C39" s="1186"/>
      <c r="D39" s="1186"/>
      <c r="E39" s="1187"/>
      <c r="F39" s="45"/>
      <c r="G39" s="1180"/>
      <c r="H39" s="1181"/>
      <c r="I39" s="1182"/>
      <c r="J39" s="1135"/>
      <c r="K39" s="1148"/>
      <c r="L39" s="1149"/>
    </row>
    <row r="40" spans="1:12">
      <c r="A40" s="1201"/>
      <c r="B40" s="1183"/>
      <c r="C40" s="1184"/>
      <c r="D40" s="1184"/>
      <c r="E40" s="1139"/>
      <c r="F40" s="45"/>
      <c r="G40" s="1177"/>
      <c r="H40" s="1178"/>
      <c r="I40" s="1179"/>
      <c r="J40" s="1132"/>
      <c r="K40" s="1146"/>
      <c r="L40" s="1147"/>
    </row>
    <row r="41" spans="1:12">
      <c r="A41" s="1201"/>
      <c r="B41" s="1185"/>
      <c r="C41" s="1186"/>
      <c r="D41" s="1186"/>
      <c r="E41" s="1187"/>
      <c r="F41" s="45"/>
      <c r="G41" s="1180"/>
      <c r="H41" s="1181"/>
      <c r="I41" s="1182"/>
      <c r="J41" s="1135"/>
      <c r="K41" s="1148"/>
      <c r="L41" s="1149"/>
    </row>
    <row r="42" spans="1:12">
      <c r="A42" s="1201"/>
      <c r="B42" s="1183"/>
      <c r="C42" s="1184"/>
      <c r="D42" s="1184"/>
      <c r="E42" s="1139"/>
      <c r="F42" s="45"/>
      <c r="G42" s="1177"/>
      <c r="H42" s="1178"/>
      <c r="I42" s="1179"/>
      <c r="J42" s="1132"/>
      <c r="K42" s="1146"/>
      <c r="L42" s="1147"/>
    </row>
    <row r="43" spans="1:12" ht="15.75" thickBot="1">
      <c r="A43" s="1202"/>
      <c r="B43" s="1214"/>
      <c r="C43" s="1215"/>
      <c r="D43" s="1215"/>
      <c r="E43" s="1141"/>
      <c r="F43" s="45"/>
      <c r="G43" s="1216"/>
      <c r="H43" s="1217"/>
      <c r="I43" s="1218"/>
      <c r="J43" s="1133"/>
      <c r="K43" s="1150"/>
      <c r="L43" s="1151"/>
    </row>
  </sheetData>
  <sheetProtection password="CFC9" sheet="1"/>
  <mergeCells count="66">
    <mergeCell ref="K18:L19"/>
    <mergeCell ref="G18:I19"/>
    <mergeCell ref="G13:I13"/>
    <mergeCell ref="K22:L23"/>
    <mergeCell ref="K20:L21"/>
    <mergeCell ref="J22:J23"/>
    <mergeCell ref="G16:I17"/>
    <mergeCell ref="J16:J17"/>
    <mergeCell ref="J14:J15"/>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J42:J43"/>
    <mergeCell ref="J32:J33"/>
    <mergeCell ref="K31:L31"/>
    <mergeCell ref="K24:L25"/>
    <mergeCell ref="K34:L35"/>
    <mergeCell ref="K40:L41"/>
    <mergeCell ref="K42:L43"/>
    <mergeCell ref="K36:L37"/>
    <mergeCell ref="K38:L39"/>
    <mergeCell ref="K32:L3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37" t="str">
        <f>'Сведения о гранте'!B3:J3</f>
        <v>Панель показателей:  Кыргызстан - ВИЧ/СПИД/ТБ</v>
      </c>
      <c r="C3" s="1237"/>
      <c r="D3" s="1237"/>
      <c r="E3" s="1237"/>
      <c r="F3" s="1237"/>
      <c r="G3" s="1237"/>
      <c r="H3" s="1237"/>
      <c r="I3" s="1"/>
    </row>
    <row r="6" spans="2:15" ht="18.75">
      <c r="B6" s="1238" t="s">
        <v>82</v>
      </c>
      <c r="C6" s="1238"/>
      <c r="D6" s="1238"/>
      <c r="E6" s="1238"/>
      <c r="F6" s="1238"/>
      <c r="G6" s="1238"/>
      <c r="H6" s="1238"/>
    </row>
    <row r="8" spans="2:15" ht="18.75">
      <c r="B8" s="61" t="s">
        <v>19</v>
      </c>
      <c r="C8" s="61" t="s">
        <v>20</v>
      </c>
      <c r="D8" s="61" t="s">
        <v>21</v>
      </c>
      <c r="E8" s="61" t="s">
        <v>22</v>
      </c>
      <c r="F8" s="61" t="s">
        <v>77</v>
      </c>
      <c r="G8" s="61" t="s">
        <v>75</v>
      </c>
      <c r="H8" s="61" t="s">
        <v>79</v>
      </c>
      <c r="I8" s="62" t="s">
        <v>48</v>
      </c>
      <c r="J8" s="62" t="s">
        <v>72</v>
      </c>
      <c r="M8" s="19"/>
      <c r="N8" s="19"/>
      <c r="O8" s="19"/>
    </row>
    <row r="9" spans="2:15">
      <c r="B9" s="341" t="s">
        <v>93</v>
      </c>
      <c r="C9" s="341" t="s">
        <v>93</v>
      </c>
      <c r="D9" s="341" t="s">
        <v>93</v>
      </c>
      <c r="E9" s="341" t="s">
        <v>93</v>
      </c>
      <c r="F9" s="341" t="s">
        <v>93</v>
      </c>
      <c r="G9" s="341" t="s">
        <v>93</v>
      </c>
      <c r="H9" s="341" t="s">
        <v>93</v>
      </c>
      <c r="I9" s="342" t="s">
        <v>93</v>
      </c>
      <c r="J9" s="341" t="s">
        <v>93</v>
      </c>
      <c r="M9" s="19"/>
      <c r="N9" s="19"/>
      <c r="O9" s="19"/>
    </row>
    <row r="10" spans="2:15">
      <c r="B10" s="56" t="s">
        <v>244</v>
      </c>
      <c r="C10" s="56" t="s">
        <v>17</v>
      </c>
      <c r="D10" s="56" t="s">
        <v>227</v>
      </c>
      <c r="E10" s="56" t="s">
        <v>237</v>
      </c>
      <c r="F10" s="56" t="s">
        <v>55</v>
      </c>
      <c r="G10" s="329" t="s">
        <v>24</v>
      </c>
      <c r="H10" s="59" t="s">
        <v>29</v>
      </c>
      <c r="I10" s="26" t="s">
        <v>239</v>
      </c>
      <c r="J10" s="341" t="s">
        <v>94</v>
      </c>
      <c r="M10" s="19"/>
      <c r="N10" s="19"/>
      <c r="O10" s="19"/>
    </row>
    <row r="11" spans="2:15">
      <c r="B11" s="56" t="s">
        <v>245</v>
      </c>
      <c r="C11" s="56" t="s">
        <v>16</v>
      </c>
      <c r="D11" s="56" t="s">
        <v>228</v>
      </c>
      <c r="E11" s="56" t="s">
        <v>238</v>
      </c>
      <c r="F11" s="56" t="s">
        <v>56</v>
      </c>
      <c r="G11" s="329" t="s">
        <v>25</v>
      </c>
      <c r="H11" s="59" t="s">
        <v>30</v>
      </c>
      <c r="I11" s="26" t="s">
        <v>240</v>
      </c>
      <c r="J11" s="341" t="s">
        <v>95</v>
      </c>
      <c r="M11" s="19"/>
      <c r="N11" s="19"/>
      <c r="O11" s="19"/>
    </row>
    <row r="12" spans="2:15">
      <c r="B12" s="56" t="s">
        <v>246</v>
      </c>
      <c r="D12" s="56" t="s">
        <v>229</v>
      </c>
      <c r="E12" s="56" t="s">
        <v>18</v>
      </c>
      <c r="F12" s="56" t="s">
        <v>57</v>
      </c>
      <c r="G12" s="329" t="s">
        <v>26</v>
      </c>
      <c r="H12" s="59" t="s">
        <v>31</v>
      </c>
      <c r="I12" s="26" t="s">
        <v>241</v>
      </c>
      <c r="J12" s="341" t="s">
        <v>96</v>
      </c>
      <c r="M12" s="178"/>
      <c r="N12" s="19"/>
      <c r="O12" s="19"/>
    </row>
    <row r="13" spans="2:15">
      <c r="B13" s="56" t="s">
        <v>247</v>
      </c>
      <c r="D13" s="56" t="s">
        <v>230</v>
      </c>
      <c r="E13" s="57"/>
      <c r="F13" s="56" t="s">
        <v>58</v>
      </c>
      <c r="G13" s="329" t="s">
        <v>27</v>
      </c>
      <c r="H13" s="59" t="s">
        <v>32</v>
      </c>
      <c r="I13" s="26" t="s">
        <v>242</v>
      </c>
      <c r="J13" s="341" t="s">
        <v>97</v>
      </c>
      <c r="M13" s="178"/>
      <c r="N13" s="19"/>
      <c r="O13" s="19"/>
    </row>
    <row r="14" spans="2:15">
      <c r="B14" s="56" t="s">
        <v>248</v>
      </c>
      <c r="D14" s="56" t="s">
        <v>231</v>
      </c>
      <c r="F14" s="56" t="s">
        <v>65</v>
      </c>
      <c r="G14" s="329" t="s">
        <v>28</v>
      </c>
      <c r="H14" s="59" t="s">
        <v>33</v>
      </c>
      <c r="I14" s="26" t="s">
        <v>76</v>
      </c>
      <c r="J14" s="341" t="s">
        <v>98</v>
      </c>
      <c r="M14" s="178"/>
      <c r="N14" s="19"/>
      <c r="O14" s="19"/>
    </row>
    <row r="15" spans="2:15">
      <c r="D15" s="56" t="s">
        <v>232</v>
      </c>
      <c r="F15" s="56" t="s">
        <v>66</v>
      </c>
      <c r="H15" s="59" t="s">
        <v>34</v>
      </c>
      <c r="I15" s="26" t="s">
        <v>39</v>
      </c>
      <c r="J15" s="341" t="s">
        <v>99</v>
      </c>
      <c r="M15" s="178"/>
      <c r="N15" s="19"/>
      <c r="O15" s="19"/>
    </row>
    <row r="16" spans="2:15">
      <c r="D16" s="56" t="s">
        <v>233</v>
      </c>
      <c r="F16" s="56" t="s">
        <v>67</v>
      </c>
      <c r="H16" s="59" t="s">
        <v>35</v>
      </c>
      <c r="I16" s="26" t="s">
        <v>40</v>
      </c>
      <c r="J16" s="341" t="s">
        <v>100</v>
      </c>
      <c r="M16" s="178"/>
      <c r="N16" s="19"/>
      <c r="O16" s="19"/>
    </row>
    <row r="17" spans="4:15">
      <c r="D17" s="56" t="s">
        <v>234</v>
      </c>
      <c r="F17" s="56" t="s">
        <v>68</v>
      </c>
      <c r="H17" s="59" t="s">
        <v>36</v>
      </c>
      <c r="I17" s="26" t="s">
        <v>41</v>
      </c>
      <c r="J17" s="341" t="s">
        <v>101</v>
      </c>
      <c r="M17" s="178"/>
      <c r="N17" s="19"/>
      <c r="O17" s="19"/>
    </row>
    <row r="18" spans="4:15">
      <c r="D18" s="56" t="s">
        <v>235</v>
      </c>
      <c r="F18" s="56" t="s">
        <v>69</v>
      </c>
      <c r="H18" s="59" t="s">
        <v>37</v>
      </c>
      <c r="I18" s="26" t="s">
        <v>42</v>
      </c>
      <c r="J18" s="341" t="s">
        <v>102</v>
      </c>
      <c r="M18" s="178"/>
      <c r="N18" s="19"/>
      <c r="O18" s="19"/>
    </row>
    <row r="19" spans="4:15">
      <c r="D19" s="56" t="s">
        <v>236</v>
      </c>
      <c r="F19" s="56" t="s">
        <v>70</v>
      </c>
      <c r="H19" s="59" t="s">
        <v>38</v>
      </c>
      <c r="I19" s="26" t="s">
        <v>43</v>
      </c>
      <c r="J19" s="341" t="s">
        <v>103</v>
      </c>
      <c r="M19" s="178"/>
      <c r="N19" s="19"/>
      <c r="O19" s="19"/>
    </row>
    <row r="20" spans="4:15">
      <c r="D20" s="58"/>
      <c r="F20" s="56" t="s">
        <v>71</v>
      </c>
      <c r="H20" s="59" t="s">
        <v>73</v>
      </c>
      <c r="I20" s="26" t="s">
        <v>44</v>
      </c>
      <c r="J20" s="341" t="s">
        <v>104</v>
      </c>
      <c r="M20" s="19"/>
      <c r="N20" s="19"/>
      <c r="O20" s="19"/>
    </row>
    <row r="21" spans="4:15">
      <c r="D21" s="60"/>
      <c r="F21" s="56" t="s">
        <v>78</v>
      </c>
      <c r="H21" s="60"/>
      <c r="I21" s="26" t="s">
        <v>46</v>
      </c>
      <c r="J21" s="341" t="s">
        <v>105</v>
      </c>
      <c r="M21" s="19"/>
      <c r="N21" s="19"/>
      <c r="O21" s="19"/>
    </row>
    <row r="22" spans="4:15">
      <c r="H22" s="60"/>
      <c r="I22" s="26" t="s">
        <v>47</v>
      </c>
      <c r="J22" s="341" t="s">
        <v>106</v>
      </c>
      <c r="M22" s="19"/>
      <c r="N22" s="19"/>
      <c r="O22" s="19"/>
    </row>
    <row r="23" spans="4:15">
      <c r="I23" s="26" t="s">
        <v>45</v>
      </c>
      <c r="J23" s="341" t="s">
        <v>107</v>
      </c>
      <c r="M23" s="19"/>
      <c r="N23" s="19"/>
      <c r="O23" s="19"/>
    </row>
    <row r="24" spans="4:15">
      <c r="I24" s="26" t="s">
        <v>81</v>
      </c>
      <c r="J24" s="341" t="s">
        <v>108</v>
      </c>
      <c r="M24" s="19"/>
      <c r="N24" s="19"/>
      <c r="O24" s="19"/>
    </row>
    <row r="25" spans="4:15">
      <c r="I25" s="44"/>
      <c r="J25" s="341" t="s">
        <v>109</v>
      </c>
    </row>
    <row r="26" spans="4:15">
      <c r="I26" s="26" t="s">
        <v>243</v>
      </c>
      <c r="J26" s="341" t="s">
        <v>110</v>
      </c>
    </row>
    <row r="27" spans="4:15">
      <c r="I27" s="26" t="s">
        <v>80</v>
      </c>
      <c r="J27" s="341" t="s">
        <v>111</v>
      </c>
    </row>
    <row r="28" spans="4:15">
      <c r="I28" s="44" t="s">
        <v>428</v>
      </c>
      <c r="J28" s="341" t="s">
        <v>112</v>
      </c>
    </row>
    <row r="29" spans="4:15">
      <c r="I29" s="44" t="s">
        <v>429</v>
      </c>
      <c r="J29" s="341" t="s">
        <v>113</v>
      </c>
    </row>
    <row r="30" spans="4:15">
      <c r="I30" s="44" t="s">
        <v>44</v>
      </c>
      <c r="J30" s="341" t="s">
        <v>114</v>
      </c>
    </row>
    <row r="31" spans="4:15">
      <c r="J31" s="341" t="s">
        <v>115</v>
      </c>
    </row>
    <row r="32" spans="4:15">
      <c r="J32" s="341" t="s">
        <v>116</v>
      </c>
    </row>
    <row r="33" spans="10:10">
      <c r="J33" s="341" t="s">
        <v>117</v>
      </c>
    </row>
    <row r="34" spans="10:10">
      <c r="J34" s="341" t="s">
        <v>118</v>
      </c>
    </row>
    <row r="35" spans="10:10">
      <c r="J35" s="341" t="s">
        <v>119</v>
      </c>
    </row>
    <row r="36" spans="10:10">
      <c r="J36" s="341" t="s">
        <v>119</v>
      </c>
    </row>
    <row r="37" spans="10:10">
      <c r="J37" s="341" t="s">
        <v>120</v>
      </c>
    </row>
    <row r="38" spans="10:10">
      <c r="J38" s="341" t="s">
        <v>121</v>
      </c>
    </row>
    <row r="39" spans="10:10">
      <c r="J39" s="341" t="s">
        <v>122</v>
      </c>
    </row>
    <row r="40" spans="10:10">
      <c r="J40" s="341" t="s">
        <v>123</v>
      </c>
    </row>
    <row r="41" spans="10:10">
      <c r="J41" s="341" t="s">
        <v>124</v>
      </c>
    </row>
    <row r="42" spans="10:10">
      <c r="J42" s="341" t="s">
        <v>125</v>
      </c>
    </row>
    <row r="43" spans="10:10">
      <c r="J43" s="341" t="s">
        <v>126</v>
      </c>
    </row>
    <row r="44" spans="10:10">
      <c r="J44" s="341" t="s">
        <v>127</v>
      </c>
    </row>
    <row r="45" spans="10:10">
      <c r="J45" s="341" t="s">
        <v>128</v>
      </c>
    </row>
    <row r="46" spans="10:10">
      <c r="J46" s="341" t="s">
        <v>129</v>
      </c>
    </row>
    <row r="47" spans="10:10">
      <c r="J47" s="341" t="s">
        <v>130</v>
      </c>
    </row>
    <row r="48" spans="10:10">
      <c r="J48" s="341" t="s">
        <v>131</v>
      </c>
    </row>
    <row r="49" spans="10:10">
      <c r="J49" s="341" t="s">
        <v>132</v>
      </c>
    </row>
    <row r="50" spans="10:10">
      <c r="J50" s="341" t="s">
        <v>133</v>
      </c>
    </row>
    <row r="51" spans="10:10">
      <c r="J51" s="341" t="s">
        <v>134</v>
      </c>
    </row>
    <row r="52" spans="10:10">
      <c r="J52" s="341" t="s">
        <v>135</v>
      </c>
    </row>
    <row r="53" spans="10:10">
      <c r="J53" s="341" t="s">
        <v>136</v>
      </c>
    </row>
    <row r="54" spans="10:10">
      <c r="J54" s="341" t="s">
        <v>137</v>
      </c>
    </row>
    <row r="55" spans="10:10">
      <c r="J55" s="341" t="s">
        <v>138</v>
      </c>
    </row>
    <row r="56" spans="10:10">
      <c r="J56" s="341" t="s">
        <v>139</v>
      </c>
    </row>
    <row r="57" spans="10:10">
      <c r="J57" s="341" t="s">
        <v>140</v>
      </c>
    </row>
    <row r="58" spans="10:10">
      <c r="J58" s="341" t="s">
        <v>141</v>
      </c>
    </row>
    <row r="59" spans="10:10">
      <c r="J59" s="341" t="s">
        <v>174</v>
      </c>
    </row>
    <row r="60" spans="10:10">
      <c r="J60" s="341" t="s">
        <v>142</v>
      </c>
    </row>
    <row r="61" spans="10:10">
      <c r="J61" s="341" t="s">
        <v>143</v>
      </c>
    </row>
    <row r="62" spans="10:10">
      <c r="J62" s="341" t="s">
        <v>144</v>
      </c>
    </row>
    <row r="63" spans="10:10">
      <c r="J63" s="341" t="s">
        <v>145</v>
      </c>
    </row>
    <row r="64" spans="10:10">
      <c r="J64" s="341" t="s">
        <v>146</v>
      </c>
    </row>
    <row r="65" spans="10:10">
      <c r="J65" s="341" t="s">
        <v>147</v>
      </c>
    </row>
    <row r="66" spans="10:10">
      <c r="J66" s="341" t="s">
        <v>148</v>
      </c>
    </row>
    <row r="67" spans="10:10">
      <c r="J67" s="341" t="s">
        <v>149</v>
      </c>
    </row>
    <row r="68" spans="10:10">
      <c r="J68" s="341" t="s">
        <v>150</v>
      </c>
    </row>
    <row r="69" spans="10:10">
      <c r="J69" s="341" t="s">
        <v>151</v>
      </c>
    </row>
    <row r="70" spans="10:10">
      <c r="J70" s="341" t="s">
        <v>152</v>
      </c>
    </row>
    <row r="71" spans="10:10">
      <c r="J71" s="341" t="s">
        <v>153</v>
      </c>
    </row>
    <row r="72" spans="10:10">
      <c r="J72" s="341" t="s">
        <v>154</v>
      </c>
    </row>
    <row r="73" spans="10:10">
      <c r="J73" s="341" t="s">
        <v>155</v>
      </c>
    </row>
    <row r="74" spans="10:10">
      <c r="J74" s="341" t="s">
        <v>156</v>
      </c>
    </row>
    <row r="75" spans="10:10">
      <c r="J75" s="341" t="s">
        <v>157</v>
      </c>
    </row>
    <row r="76" spans="10:10">
      <c r="J76" s="341" t="s">
        <v>158</v>
      </c>
    </row>
    <row r="77" spans="10:10">
      <c r="J77" s="341" t="s">
        <v>159</v>
      </c>
    </row>
    <row r="78" spans="10:10">
      <c r="J78" s="341" t="s">
        <v>160</v>
      </c>
    </row>
    <row r="79" spans="10:10">
      <c r="J79" s="341" t="s">
        <v>161</v>
      </c>
    </row>
    <row r="80" spans="10:10">
      <c r="J80" s="341" t="s">
        <v>162</v>
      </c>
    </row>
    <row r="81" spans="10:10">
      <c r="J81" s="341" t="s">
        <v>163</v>
      </c>
    </row>
    <row r="82" spans="10:10">
      <c r="J82" s="341" t="s">
        <v>164</v>
      </c>
    </row>
    <row r="83" spans="10:10">
      <c r="J83" s="341" t="s">
        <v>165</v>
      </c>
    </row>
    <row r="84" spans="10:10">
      <c r="J84" s="341" t="s">
        <v>166</v>
      </c>
    </row>
    <row r="85" spans="10:10">
      <c r="J85" s="341" t="s">
        <v>167</v>
      </c>
    </row>
    <row r="86" spans="10:10">
      <c r="J86" s="341" t="s">
        <v>168</v>
      </c>
    </row>
    <row r="87" spans="10:10">
      <c r="J87" s="341" t="s">
        <v>169</v>
      </c>
    </row>
    <row r="88" spans="10:10">
      <c r="J88" s="341" t="s">
        <v>170</v>
      </c>
    </row>
    <row r="89" spans="10:10">
      <c r="J89" s="341" t="s">
        <v>171</v>
      </c>
    </row>
    <row r="90" spans="10:10">
      <c r="J90" s="341" t="s">
        <v>172</v>
      </c>
    </row>
    <row r="91" spans="10:10">
      <c r="J91" s="341" t="s">
        <v>173</v>
      </c>
    </row>
    <row r="92" spans="10:10">
      <c r="J92" s="341" t="s">
        <v>175</v>
      </c>
    </row>
    <row r="93" spans="10:10">
      <c r="J93" s="341" t="s">
        <v>176</v>
      </c>
    </row>
    <row r="94" spans="10:10">
      <c r="J94" s="341" t="s">
        <v>177</v>
      </c>
    </row>
    <row r="95" spans="10:10">
      <c r="J95" s="341" t="s">
        <v>178</v>
      </c>
    </row>
    <row r="96" spans="10:10">
      <c r="J96" s="341" t="s">
        <v>179</v>
      </c>
    </row>
    <row r="97" spans="10:10">
      <c r="J97" s="341" t="s">
        <v>180</v>
      </c>
    </row>
    <row r="98" spans="10:10">
      <c r="J98" s="341" t="s">
        <v>181</v>
      </c>
    </row>
    <row r="99" spans="10:10">
      <c r="J99" s="341" t="s">
        <v>182</v>
      </c>
    </row>
    <row r="100" spans="10:10">
      <c r="J100" s="341" t="s">
        <v>183</v>
      </c>
    </row>
    <row r="101" spans="10:10">
      <c r="J101" s="341" t="s">
        <v>184</v>
      </c>
    </row>
    <row r="102" spans="10:10">
      <c r="J102" s="341" t="s">
        <v>185</v>
      </c>
    </row>
    <row r="103" spans="10:10">
      <c r="J103" s="341" t="s">
        <v>186</v>
      </c>
    </row>
    <row r="104" spans="10:10">
      <c r="J104" s="341" t="s">
        <v>187</v>
      </c>
    </row>
    <row r="105" spans="10:10">
      <c r="J105" s="341" t="s">
        <v>188</v>
      </c>
    </row>
    <row r="106" spans="10:10">
      <c r="J106" s="341" t="s">
        <v>189</v>
      </c>
    </row>
    <row r="107" spans="10:10">
      <c r="J107" s="341" t="s">
        <v>190</v>
      </c>
    </row>
    <row r="108" spans="10:10">
      <c r="J108" s="341" t="s">
        <v>191</v>
      </c>
    </row>
    <row r="109" spans="10:10">
      <c r="J109" s="341" t="s">
        <v>192</v>
      </c>
    </row>
    <row r="110" spans="10:10">
      <c r="J110" s="341" t="s">
        <v>193</v>
      </c>
    </row>
    <row r="111" spans="10:10">
      <c r="J111" s="341" t="s">
        <v>194</v>
      </c>
    </row>
    <row r="112" spans="10:10">
      <c r="J112" s="341" t="s">
        <v>195</v>
      </c>
    </row>
    <row r="113" spans="10:10">
      <c r="J113" s="341" t="s">
        <v>196</v>
      </c>
    </row>
    <row r="114" spans="10:10">
      <c r="J114" s="341" t="s">
        <v>197</v>
      </c>
    </row>
    <row r="115" spans="10:10">
      <c r="J115" s="341" t="s">
        <v>198</v>
      </c>
    </row>
    <row r="116" spans="10:10">
      <c r="J116" s="341" t="s">
        <v>199</v>
      </c>
    </row>
    <row r="117" spans="10:10">
      <c r="J117" s="341" t="s">
        <v>200</v>
      </c>
    </row>
    <row r="118" spans="10:10">
      <c r="J118" s="341" t="s">
        <v>201</v>
      </c>
    </row>
    <row r="119" spans="10:10">
      <c r="J119" s="341" t="s">
        <v>202</v>
      </c>
    </row>
    <row r="120" spans="10:10">
      <c r="J120" s="341" t="s">
        <v>203</v>
      </c>
    </row>
    <row r="121" spans="10:10">
      <c r="J121" s="341" t="s">
        <v>204</v>
      </c>
    </row>
    <row r="122" spans="10:10">
      <c r="J122" s="341" t="s">
        <v>205</v>
      </c>
    </row>
    <row r="123" spans="10:10">
      <c r="J123" s="341" t="s">
        <v>206</v>
      </c>
    </row>
    <row r="124" spans="10:10">
      <c r="J124" s="341" t="s">
        <v>207</v>
      </c>
    </row>
    <row r="125" spans="10:10">
      <c r="J125" s="341" t="s">
        <v>208</v>
      </c>
    </row>
    <row r="126" spans="10:10">
      <c r="J126" s="341" t="s">
        <v>209</v>
      </c>
    </row>
    <row r="127" spans="10:10">
      <c r="J127" s="341" t="s">
        <v>210</v>
      </c>
    </row>
    <row r="128" spans="10:10">
      <c r="J128" s="341" t="s">
        <v>211</v>
      </c>
    </row>
    <row r="129" spans="10:10">
      <c r="J129" s="341" t="s">
        <v>212</v>
      </c>
    </row>
    <row r="130" spans="10:10">
      <c r="J130" s="341" t="s">
        <v>213</v>
      </c>
    </row>
    <row r="131" spans="10:10">
      <c r="J131" s="341" t="s">
        <v>214</v>
      </c>
    </row>
    <row r="132" spans="10:10">
      <c r="J132" s="341" t="s">
        <v>215</v>
      </c>
    </row>
    <row r="133" spans="10:10">
      <c r="J133" s="341" t="s">
        <v>216</v>
      </c>
    </row>
    <row r="134" spans="10:10">
      <c r="J134" s="341" t="s">
        <v>217</v>
      </c>
    </row>
    <row r="135" spans="10:10">
      <c r="J135" s="341" t="s">
        <v>218</v>
      </c>
    </row>
    <row r="136" spans="10:10">
      <c r="J136" s="341" t="s">
        <v>219</v>
      </c>
    </row>
    <row r="137" spans="10:10">
      <c r="J137" s="341" t="s">
        <v>220</v>
      </c>
    </row>
    <row r="138" spans="10:10">
      <c r="J138" s="341" t="s">
        <v>221</v>
      </c>
    </row>
    <row r="139" spans="10:10">
      <c r="J139" s="341" t="s">
        <v>222</v>
      </c>
    </row>
    <row r="140" spans="10:10">
      <c r="J140" s="341" t="s">
        <v>223</v>
      </c>
    </row>
    <row r="141" spans="10:10">
      <c r="J141" s="341" t="s">
        <v>224</v>
      </c>
    </row>
    <row r="142" spans="10:10">
      <c r="J142" s="341" t="s">
        <v>225</v>
      </c>
    </row>
    <row r="143" spans="10:10">
      <c r="J143" s="341" t="s">
        <v>226</v>
      </c>
    </row>
    <row r="144" spans="10:10">
      <c r="J144" s="325"/>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364" t="s">
        <v>284</v>
      </c>
      <c r="B1" t="s">
        <v>285</v>
      </c>
    </row>
    <row r="2" spans="1:2">
      <c r="A2" s="364" t="s">
        <v>286</v>
      </c>
      <c r="B2" t="s">
        <v>287</v>
      </c>
    </row>
    <row r="3" spans="1:2">
      <c r="A3" s="364" t="s">
        <v>288</v>
      </c>
      <c r="B3" t="s">
        <v>289</v>
      </c>
    </row>
    <row r="4" spans="1:2">
      <c r="A4" s="364" t="s">
        <v>290</v>
      </c>
      <c r="B4" t="s">
        <v>291</v>
      </c>
    </row>
    <row r="5" spans="1:2">
      <c r="A5" s="364" t="s">
        <v>292</v>
      </c>
      <c r="B5" t="s">
        <v>293</v>
      </c>
    </row>
    <row r="6" spans="1:2">
      <c r="A6" s="364" t="s">
        <v>294</v>
      </c>
      <c r="B6" t="s">
        <v>295</v>
      </c>
    </row>
    <row r="7" spans="1:2">
      <c r="A7" s="364" t="s">
        <v>296</v>
      </c>
      <c r="B7" t="s">
        <v>297</v>
      </c>
    </row>
    <row r="8" spans="1:2">
      <c r="A8" s="364" t="s">
        <v>298</v>
      </c>
      <c r="B8" t="s">
        <v>299</v>
      </c>
    </row>
    <row r="9" spans="1:2">
      <c r="A9" s="364" t="s">
        <v>300</v>
      </c>
      <c r="B9" t="s">
        <v>311</v>
      </c>
    </row>
    <row r="10" spans="1:2">
      <c r="A10" s="364" t="s">
        <v>301</v>
      </c>
      <c r="B10" t="s">
        <v>302</v>
      </c>
    </row>
    <row r="11" spans="1:2">
      <c r="A11" s="364" t="s">
        <v>303</v>
      </c>
      <c r="B11" t="s">
        <v>304</v>
      </c>
    </row>
    <row r="12" spans="1:2">
      <c r="A12" s="364" t="s">
        <v>265</v>
      </c>
      <c r="B12" t="s">
        <v>305</v>
      </c>
    </row>
    <row r="13" spans="1:2">
      <c r="A13" s="364" t="s">
        <v>306</v>
      </c>
      <c r="B13" t="s">
        <v>307</v>
      </c>
    </row>
    <row r="14" spans="1:2">
      <c r="A14" s="364" t="s">
        <v>308</v>
      </c>
      <c r="B14" t="s">
        <v>309</v>
      </c>
    </row>
    <row r="15" spans="1:2">
      <c r="A15" s="364" t="s">
        <v>310</v>
      </c>
      <c r="B15" t="s">
        <v>312</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414"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411" t="s">
        <v>432</v>
      </c>
      <c r="C3" s="316">
        <v>196425</v>
      </c>
      <c r="D3" s="319">
        <v>10086.190000000002</v>
      </c>
      <c r="I3" s="416"/>
      <c r="J3" s="417"/>
      <c r="K3" s="417"/>
      <c r="L3" s="417"/>
    </row>
    <row r="4" spans="2:12" ht="34.5">
      <c r="B4" s="411" t="s">
        <v>433</v>
      </c>
      <c r="C4" s="316">
        <v>2920215</v>
      </c>
      <c r="D4" s="319">
        <v>1283202.9400000002</v>
      </c>
      <c r="I4" s="418"/>
      <c r="J4" s="419"/>
      <c r="K4" s="419"/>
      <c r="L4" s="419"/>
    </row>
    <row r="5" spans="2:12">
      <c r="B5" s="412" t="s">
        <v>434</v>
      </c>
      <c r="C5" s="317">
        <v>343499</v>
      </c>
      <c r="D5" s="319">
        <v>304251.71999999997</v>
      </c>
    </row>
    <row r="6" spans="2:12" ht="15.75" thickBot="1">
      <c r="B6" s="413" t="s">
        <v>343</v>
      </c>
      <c r="C6" s="322">
        <f>SUM(C3:C5)</f>
        <v>3460139</v>
      </c>
      <c r="D6" s="323">
        <f>SUM(D3:D5)</f>
        <v>1597540.85</v>
      </c>
      <c r="I6" s="422"/>
      <c r="L6" s="423"/>
    </row>
    <row r="7" spans="2:12" ht="57">
      <c r="I7" s="420" t="s">
        <v>443</v>
      </c>
      <c r="L7" s="421"/>
    </row>
    <row r="8" spans="2:12" ht="34.5">
      <c r="I8" s="422" t="s">
        <v>444</v>
      </c>
      <c r="L8" s="427"/>
    </row>
    <row r="9" spans="2:12">
      <c r="I9" s="422" t="s">
        <v>445</v>
      </c>
      <c r="L9" s="423"/>
    </row>
    <row r="10" spans="2:12" ht="15.75" thickBot="1">
      <c r="B10" s="417"/>
      <c r="C10" s="44" t="s">
        <v>448</v>
      </c>
      <c r="D10" s="44" t="s">
        <v>449</v>
      </c>
      <c r="E10" s="44" t="s">
        <v>446</v>
      </c>
      <c r="F10" s="44" t="s">
        <v>447</v>
      </c>
      <c r="G10" s="44"/>
      <c r="I10" s="424"/>
      <c r="J10" s="425">
        <f>SUM(J6:J9)</f>
        <v>0</v>
      </c>
      <c r="K10" s="425">
        <f>SUM(K6:K9)</f>
        <v>0</v>
      </c>
      <c r="L10" s="426"/>
    </row>
    <row r="11" spans="2:12" ht="26.25">
      <c r="B11" s="433" t="s">
        <v>432</v>
      </c>
      <c r="C11" s="429">
        <v>78211</v>
      </c>
      <c r="D11" s="430">
        <f>445269.08+4207.73</f>
        <v>449476.81</v>
      </c>
      <c r="E11" s="431">
        <v>554706</v>
      </c>
      <c r="F11" s="431">
        <v>459562.80000000005</v>
      </c>
      <c r="G11" s="432"/>
    </row>
    <row r="12" spans="2:12" ht="39">
      <c r="B12" s="433" t="s">
        <v>433</v>
      </c>
      <c r="C12" s="429">
        <v>797425.72399999993</v>
      </c>
      <c r="D12" s="430">
        <f>1328985.16+10597.9</f>
        <v>1339583.0599999998</v>
      </c>
      <c r="E12" s="431">
        <v>4906100</v>
      </c>
      <c r="F12" s="431">
        <v>2622785.89</v>
      </c>
      <c r="G12" s="432"/>
    </row>
    <row r="13" spans="2:12">
      <c r="B13" s="434" t="s">
        <v>434</v>
      </c>
      <c r="C13" s="430">
        <v>282670.70082999999</v>
      </c>
      <c r="D13" s="430">
        <f>116992.65-1717</f>
        <v>115275.65</v>
      </c>
      <c r="E13" s="431">
        <v>659696</v>
      </c>
      <c r="F13" s="431">
        <v>419527.37</v>
      </c>
      <c r="G13" s="432"/>
    </row>
    <row r="14" spans="2:12">
      <c r="B14" s="435" t="s">
        <v>343</v>
      </c>
      <c r="C14" s="436">
        <f>SUM(C11:C13)</f>
        <v>1158307.4248299999</v>
      </c>
      <c r="D14" s="436">
        <f>SUM(D11:D13)</f>
        <v>1904335.5199999998</v>
      </c>
      <c r="E14" s="437">
        <f>SUM(E11:E13)</f>
        <v>6120502</v>
      </c>
      <c r="F14" s="437">
        <f>SUM(F11:F13)</f>
        <v>3501876.0600000005</v>
      </c>
      <c r="G14" s="437"/>
    </row>
    <row r="17" spans="2:9">
      <c r="D17" s="428"/>
    </row>
    <row r="18" spans="2:9">
      <c r="B18" s="414" t="s">
        <v>450</v>
      </c>
      <c r="C18">
        <v>1854771.0908137045</v>
      </c>
      <c r="D18">
        <v>1486069.9447738212</v>
      </c>
      <c r="E18">
        <f>SUM(C18:D18)</f>
        <v>3340841.0355875259</v>
      </c>
      <c r="F18">
        <v>1515782.6800000002</v>
      </c>
      <c r="G18">
        <f>F18-D18</f>
        <v>29712.735226179007</v>
      </c>
    </row>
    <row r="19" spans="2:9">
      <c r="B19" s="414" t="s">
        <v>451</v>
      </c>
      <c r="C19">
        <v>64356.800000000003</v>
      </c>
      <c r="D19">
        <v>96678.23</v>
      </c>
      <c r="E19">
        <f t="shared" ref="E19:E20" si="0">SUM(C19:D19)</f>
        <v>161035.03</v>
      </c>
      <c r="F19">
        <v>87839.17</v>
      </c>
      <c r="G19">
        <f>F19-D19</f>
        <v>-8839.0599999999977</v>
      </c>
    </row>
    <row r="20" spans="2:9">
      <c r="B20" s="414" t="s">
        <v>452</v>
      </c>
      <c r="C20">
        <v>1919127.8908137046</v>
      </c>
      <c r="D20">
        <v>1582748.1747738211</v>
      </c>
      <c r="E20">
        <f t="shared" si="0"/>
        <v>3501876.0655875257</v>
      </c>
      <c r="F20">
        <f>SUM(F18:F19)</f>
        <v>1603621.85</v>
      </c>
    </row>
    <row r="21" spans="2:9">
      <c r="D21">
        <v>1603622</v>
      </c>
    </row>
    <row r="22" spans="2:9">
      <c r="D22" s="438">
        <f>D21-D20</f>
        <v>20873.825226178858</v>
      </c>
      <c r="F22" s="428">
        <f>D14+F20</f>
        <v>3507957.37</v>
      </c>
    </row>
    <row r="25" spans="2:9" ht="45">
      <c r="E25" s="415" t="s">
        <v>453</v>
      </c>
      <c r="F25" t="s">
        <v>454</v>
      </c>
      <c r="H25" t="s">
        <v>455</v>
      </c>
    </row>
    <row r="26" spans="2:9">
      <c r="B26" s="414" t="s">
        <v>325</v>
      </c>
      <c r="C26">
        <v>5365504</v>
      </c>
      <c r="D26">
        <v>4274978</v>
      </c>
      <c r="E26">
        <v>9640482</v>
      </c>
      <c r="F26">
        <v>5365504</v>
      </c>
      <c r="G26">
        <f>E26-F26</f>
        <v>4274978</v>
      </c>
      <c r="H26">
        <v>4274978</v>
      </c>
    </row>
    <row r="27" spans="2:9">
      <c r="B27" s="414" t="s">
        <v>326</v>
      </c>
      <c r="C27">
        <v>2778659</v>
      </c>
      <c r="D27">
        <v>1515782.6</v>
      </c>
      <c r="E27">
        <v>4302570</v>
      </c>
      <c r="F27">
        <v>2778659</v>
      </c>
      <c r="G27">
        <f t="shared" ref="G27:G28" si="1">E27-F27</f>
        <v>1523911</v>
      </c>
      <c r="H27">
        <v>1515783</v>
      </c>
      <c r="I27">
        <f>E27-H27</f>
        <v>2786787</v>
      </c>
    </row>
    <row r="28" spans="2:9">
      <c r="B28" s="414" t="s">
        <v>327</v>
      </c>
      <c r="C28">
        <v>146899</v>
      </c>
      <c r="D28">
        <v>87839</v>
      </c>
      <c r="E28">
        <v>228574</v>
      </c>
      <c r="F28">
        <v>146899</v>
      </c>
      <c r="G28">
        <f t="shared" si="1"/>
        <v>81675</v>
      </c>
      <c r="H28">
        <v>87839</v>
      </c>
      <c r="I28">
        <f>E28-H28</f>
        <v>140735</v>
      </c>
    </row>
    <row r="29" spans="2:9">
      <c r="B29" s="414" t="s">
        <v>355</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D7FC6D-C8A1-4CF9-9C6D-60A318F43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3.xml><?xml version="1.0" encoding="utf-8"?>
<ds:datastoreItem xmlns:ds="http://schemas.openxmlformats.org/officeDocument/2006/customXml" ds:itemID="{78DFA6C9-3F96-4413-B912-D348D4E4188B}">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f127e3a1-6a43-4b35-8211-dfdf2a8cacea"/>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subject>
  <dc:creator>Genc Kastrati</dc:creator>
  <dc:description>&amp;lt;p&amp;gt;Акронимы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description>
  <cp:lastModifiedBy>Meerim Bolotbaeva</cp:lastModifiedBy>
  <cp:lastPrinted>2013-09-18T04:23:50Z</cp:lastPrinted>
  <dcterms:created xsi:type="dcterms:W3CDTF">2008-11-20T16:06:13Z</dcterms:created>
  <dcterms:modified xsi:type="dcterms:W3CDTF">2018-10-31T02:55:38Z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ies>
</file>