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15.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codeName="ThisWorkbook"/>
  <mc:AlternateContent xmlns:mc="http://schemas.openxmlformats.org/markup-compatibility/2006">
    <mc:Choice Requires="x15">
      <x15ac:absPath xmlns:x15ac="http://schemas.microsoft.com/office/spreadsheetml/2010/11/ac" url="https://undp.sharepoint.com/sites/GF-UNDPKyrgyzRepublic/Shared Documents/General/CCM Dashboard/HIV-TB/"/>
    </mc:Choice>
  </mc:AlternateContent>
  <xr:revisionPtr revIDLastSave="26" documentId="13_ncr:1_{45768A93-CAB4-4617-BBDA-A89000B7B9E1}" xr6:coauthVersionLast="46" xr6:coauthVersionMax="46" xr10:uidLastSave="{8120AF78-642A-4668-8746-CF9560226391}"/>
  <bookViews>
    <workbookView xWindow="-110" yWindow="-110" windowWidth="19420" windowHeight="10420" tabRatio="793" firstSheet="2" activeTab="8" xr2:uid="{00000000-000D-0000-FFFF-FFFF00000000}"/>
  </bookViews>
  <sheets>
    <sheet name="Меню" sheetId="1" r:id="rId1"/>
    <sheet name="Показатели" sheetId="45" r:id="rId2"/>
    <sheet name="Ввод данных" sheetId="29" r:id="rId3"/>
    <sheet name="Сведения о гранте" sheetId="27" r:id="rId4"/>
    <sheet name="Финансирование" sheetId="30" r:id="rId5"/>
    <sheet name="Управление" sheetId="35" r:id="rId6"/>
    <sheet name="Программа" sheetId="37" r:id="rId7"/>
    <sheet name="Рекомендации" sheetId="42" r:id="rId8"/>
    <sheet name="Действия" sheetId="39" r:id="rId9"/>
    <sheet name="Установки" sheetId="32" state="hidden" r:id="rId10"/>
    <sheet name="Акронимы" sheetId="46" state="hidden" r:id="rId11"/>
  </sheets>
  <definedNames>
    <definedName name="Component">Установки!$B$9:$B$14</definedName>
    <definedName name="Countries">Установки!$J$9:$J$143</definedName>
    <definedName name="Currency">Установки!$C$9:$C$11</definedName>
    <definedName name="LFA">Установки!$H$9:$H$22</definedName>
    <definedName name="Medicaments">Установки!$I$9:$I$30</definedName>
    <definedName name="PERIOD">Установки!$F$9:$F$21</definedName>
    <definedName name="Phase">Установки!$E$9:$E$13</definedName>
    <definedName name="PrintA">Действия!$A$2:$L$34</definedName>
    <definedName name="PrintDataF">'Ввод данных'!$A$25:$I$74</definedName>
    <definedName name="PrintDataM">'Ввод данных'!$A$76:$G$164</definedName>
    <definedName name="PrintF">Финансирование!$A$2:$M$31</definedName>
    <definedName name="PrintGD">'Сведения о гранте'!$A$2:$J$13</definedName>
    <definedName name="PrintM" localSheetId="8">Действия!$A$2:$L$6</definedName>
    <definedName name="PrintM">Управление!$A$2:$M$70</definedName>
    <definedName name="PrintP">Программа!$A$2:$P$56</definedName>
    <definedName name="PrintR">Рекомендации!$A$2:$N$41</definedName>
    <definedName name="Rating">Установки!$G$9:$G$14</definedName>
    <definedName name="Round">Установки!$D$9:$D$21</definedName>
    <definedName name="мва">Установки!$I$9:$I$30</definedName>
    <definedName name="_xlnm.Print_Area" localSheetId="8">Действия!$A$1:$L$43</definedName>
    <definedName name="_xlnm.Print_Area" localSheetId="6">Программа!$A$1:$Q$55</definedName>
    <definedName name="_xlnm.Print_Area" localSheetId="5">Управление!$A$1:$M$56</definedName>
    <definedName name="_xlnm.Print_Area" localSheetId="4">Финансирование!$A$2:$M$31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29" i="29" l="1"/>
  <c r="A227" i="29"/>
  <c r="A225" i="29"/>
  <c r="G54" i="37"/>
  <c r="E55" i="37"/>
  <c r="G55" i="37" s="1"/>
  <c r="E54" i="37"/>
  <c r="E53" i="37"/>
  <c r="G53" i="37" s="1"/>
  <c r="E52" i="37"/>
  <c r="G52" i="37" s="1"/>
  <c r="E51" i="37"/>
  <c r="G51" i="37" s="1"/>
  <c r="E50" i="37"/>
  <c r="G50" i="37" s="1"/>
  <c r="B55" i="37"/>
  <c r="M74" i="35"/>
  <c r="M73" i="35"/>
  <c r="M72" i="35"/>
  <c r="M71" i="35"/>
  <c r="M70" i="35"/>
  <c r="M69" i="35"/>
  <c r="M68" i="35"/>
  <c r="M67" i="35"/>
  <c r="M66" i="35"/>
  <c r="M65" i="35"/>
  <c r="M64" i="35"/>
  <c r="M63" i="35"/>
  <c r="M62" i="35"/>
  <c r="M61" i="35"/>
  <c r="M60" i="35"/>
  <c r="M59" i="35"/>
  <c r="M58" i="35"/>
  <c r="M57" i="35"/>
  <c r="M56" i="35"/>
  <c r="I161" i="29"/>
  <c r="K161" i="29" s="1"/>
  <c r="F161" i="29"/>
  <c r="F160" i="29"/>
  <c r="I160" i="29" s="1"/>
  <c r="K160" i="29" s="1"/>
  <c r="F159" i="29"/>
  <c r="I159" i="29" s="1"/>
  <c r="K159" i="29" s="1"/>
  <c r="F158" i="29"/>
  <c r="I158" i="29" s="1"/>
  <c r="K158" i="29" s="1"/>
  <c r="F157" i="29"/>
  <c r="I157" i="29" s="1"/>
  <c r="K157" i="29" s="1"/>
  <c r="F156" i="29"/>
  <c r="I156" i="29" s="1"/>
  <c r="K156" i="29" s="1"/>
  <c r="F155" i="29"/>
  <c r="I155" i="29" s="1"/>
  <c r="K155" i="29" s="1"/>
  <c r="F154" i="29"/>
  <c r="I154" i="29" s="1"/>
  <c r="K154" i="29" s="1"/>
  <c r="F153" i="29"/>
  <c r="I153" i="29" s="1"/>
  <c r="K153" i="29" s="1"/>
  <c r="F152" i="29"/>
  <c r="I152" i="29" s="1"/>
  <c r="K152" i="29" s="1"/>
  <c r="F151" i="29"/>
  <c r="I151" i="29" s="1"/>
  <c r="K151" i="29" s="1"/>
  <c r="F150" i="29"/>
  <c r="I150" i="29" s="1"/>
  <c r="K150" i="29" s="1"/>
  <c r="I149" i="29"/>
  <c r="K149" i="29" s="1"/>
  <c r="F149" i="29"/>
  <c r="F148" i="29"/>
  <c r="I148" i="29" s="1"/>
  <c r="K148" i="29" s="1"/>
  <c r="F147" i="29"/>
  <c r="I147" i="29" s="1"/>
  <c r="K147" i="29" s="1"/>
  <c r="F146" i="29"/>
  <c r="I146" i="29" s="1"/>
  <c r="K146" i="29" s="1"/>
  <c r="F145" i="29"/>
  <c r="I145" i="29" s="1"/>
  <c r="K145" i="29" s="1"/>
  <c r="F144" i="29"/>
  <c r="I144" i="29" s="1"/>
  <c r="K144" i="29" s="1"/>
  <c r="K54" i="35"/>
  <c r="M54" i="35" s="1"/>
  <c r="K53" i="35"/>
  <c r="K55" i="35" l="1"/>
  <c r="M50" i="35" l="1"/>
  <c r="M49" i="35"/>
  <c r="M44" i="35"/>
  <c r="M42" i="35"/>
  <c r="M41" i="35"/>
  <c r="M35" i="35"/>
  <c r="M33" i="35"/>
  <c r="M32" i="35"/>
  <c r="M34" i="35"/>
  <c r="M36" i="35"/>
  <c r="M37" i="35"/>
  <c r="M38" i="35"/>
  <c r="M39" i="35"/>
  <c r="M40" i="35"/>
  <c r="M43" i="35"/>
  <c r="M45" i="35"/>
  <c r="M46" i="35"/>
  <c r="M47" i="35"/>
  <c r="M48" i="35"/>
  <c r="M51" i="35"/>
  <c r="F143" i="29"/>
  <c r="F142" i="29"/>
  <c r="D141" i="29"/>
  <c r="F141" i="29" s="1"/>
  <c r="F140" i="29"/>
  <c r="F139" i="29"/>
  <c r="D139" i="29"/>
  <c r="D138" i="29"/>
  <c r="F138" i="29" s="1"/>
  <c r="F137" i="29"/>
  <c r="F136" i="29"/>
  <c r="E136" i="29"/>
  <c r="D136" i="29"/>
  <c r="F135" i="29"/>
  <c r="D135" i="29"/>
  <c r="D134" i="29"/>
  <c r="F134" i="29" s="1"/>
  <c r="D133" i="29"/>
  <c r="F133" i="29" s="1"/>
  <c r="G132" i="29"/>
  <c r="F132" i="29"/>
  <c r="D132" i="29"/>
  <c r="D131" i="29"/>
  <c r="F131" i="29" s="1"/>
  <c r="D130" i="29"/>
  <c r="F130" i="29" s="1"/>
  <c r="F129" i="29"/>
  <c r="D129" i="29"/>
  <c r="F128" i="29"/>
  <c r="D128" i="29"/>
  <c r="F127" i="29"/>
  <c r="E127" i="29"/>
  <c r="D127" i="29"/>
  <c r="D126" i="29"/>
  <c r="F126" i="29" s="1"/>
  <c r="D125" i="29"/>
  <c r="F125" i="29" s="1"/>
  <c r="D124" i="29"/>
  <c r="F124" i="29" s="1"/>
  <c r="F116" i="29"/>
  <c r="E116" i="29"/>
  <c r="D116" i="29"/>
  <c r="C116" i="29"/>
  <c r="F114" i="29"/>
  <c r="E114" i="29"/>
  <c r="F34" i="29"/>
  <c r="F33" i="29"/>
  <c r="B50" i="37" l="1"/>
  <c r="E115" i="29" l="1"/>
  <c r="K52" i="35" l="1"/>
  <c r="M55" i="35" l="1"/>
  <c r="M53" i="35" l="1"/>
  <c r="I143" i="29" l="1"/>
  <c r="K143" i="29" s="1"/>
  <c r="I142" i="29"/>
  <c r="K142" i="29" s="1"/>
  <c r="I141" i="29"/>
  <c r="K141" i="29" s="1"/>
  <c r="I140" i="29"/>
  <c r="K140" i="29" s="1"/>
  <c r="I139" i="29"/>
  <c r="K139" i="29" s="1"/>
  <c r="I137" i="29"/>
  <c r="K137" i="29" s="1"/>
  <c r="I136" i="29"/>
  <c r="K136" i="29" s="1"/>
  <c r="I135" i="29"/>
  <c r="K135" i="29" s="1"/>
  <c r="I134" i="29"/>
  <c r="K134" i="29" s="1"/>
  <c r="I133" i="29"/>
  <c r="K133" i="29" s="1"/>
  <c r="I132" i="29"/>
  <c r="K132" i="29" s="1"/>
  <c r="K131" i="29"/>
  <c r="I130" i="29"/>
  <c r="K130" i="29" s="1"/>
  <c r="I128" i="29"/>
  <c r="K128" i="29" s="1"/>
  <c r="I127" i="29"/>
  <c r="K127" i="29" s="1"/>
  <c r="I126" i="29"/>
  <c r="K126" i="29" s="1"/>
  <c r="I125" i="29"/>
  <c r="K125" i="29" s="1"/>
  <c r="I124" i="29"/>
  <c r="K124" i="29" s="1"/>
  <c r="I129" i="29" l="1"/>
  <c r="K129" i="29" s="1"/>
  <c r="I138" i="29"/>
  <c r="K138" i="29" s="1"/>
  <c r="B114" i="29"/>
  <c r="D115" i="29"/>
  <c r="C115" i="29" l="1"/>
  <c r="C114" i="29"/>
  <c r="D114" i="29" s="1"/>
  <c r="F196" i="29" l="1"/>
  <c r="F197" i="29"/>
  <c r="F198" i="29"/>
  <c r="F199" i="29"/>
  <c r="F200" i="29"/>
  <c r="F201" i="29"/>
  <c r="E201" i="29"/>
  <c r="E200" i="29"/>
  <c r="E199" i="29"/>
  <c r="E198" i="29"/>
  <c r="E197" i="29"/>
  <c r="E196" i="29"/>
  <c r="F115" i="29" l="1"/>
  <c r="X34" i="37"/>
  <c r="W34" i="37"/>
  <c r="V34" i="37"/>
  <c r="U34" i="37"/>
  <c r="T34" i="37"/>
  <c r="M52" i="35"/>
  <c r="B51" i="37"/>
  <c r="B28" i="35"/>
  <c r="B52" i="37"/>
  <c r="B53" i="37"/>
  <c r="B54" i="37"/>
  <c r="D105" i="29"/>
  <c r="D106" i="29"/>
  <c r="D104" i="29"/>
  <c r="X33" i="37"/>
  <c r="W33" i="37"/>
  <c r="V33" i="37"/>
  <c r="U33" i="37"/>
  <c r="T33" i="37"/>
  <c r="X32" i="37"/>
  <c r="W32" i="37"/>
  <c r="V32" i="37"/>
  <c r="U32" i="37"/>
  <c r="T32" i="37"/>
  <c r="X29" i="37"/>
  <c r="W29" i="37"/>
  <c r="V29" i="37"/>
  <c r="U29" i="37"/>
  <c r="T29" i="37"/>
  <c r="X28" i="37"/>
  <c r="W28" i="37"/>
  <c r="V28" i="37"/>
  <c r="U28" i="37"/>
  <c r="T28" i="37"/>
  <c r="AA26" i="37"/>
  <c r="X26" i="37"/>
  <c r="W26" i="37"/>
  <c r="V26" i="37"/>
  <c r="U26" i="37"/>
  <c r="T26" i="37"/>
  <c r="AA25" i="37"/>
  <c r="X25" i="37"/>
  <c r="W25" i="37"/>
  <c r="V25" i="37"/>
  <c r="U25" i="37"/>
  <c r="T25" i="37"/>
  <c r="AF23" i="37"/>
  <c r="AE23" i="37"/>
  <c r="AD23" i="37"/>
  <c r="AC23" i="37"/>
  <c r="AB23" i="37"/>
  <c r="X23" i="37"/>
  <c r="W23" i="37"/>
  <c r="V23" i="37"/>
  <c r="U23" i="37"/>
  <c r="T23" i="37"/>
  <c r="I56" i="35"/>
  <c r="I32" i="35"/>
  <c r="D90" i="29"/>
  <c r="C200" i="29"/>
  <c r="B200" i="29"/>
  <c r="A200" i="29"/>
  <c r="C198" i="29"/>
  <c r="B198" i="29"/>
  <c r="A198" i="29"/>
  <c r="C196" i="29"/>
  <c r="B196" i="29"/>
  <c r="A196" i="29"/>
  <c r="F204" i="29"/>
  <c r="E224" i="29"/>
  <c r="F224" i="29"/>
  <c r="G224" i="29"/>
  <c r="H224" i="29"/>
  <c r="I224" i="29"/>
  <c r="J224" i="29"/>
  <c r="K224" i="29"/>
  <c r="L224" i="29"/>
  <c r="M224" i="29"/>
  <c r="N224" i="29"/>
  <c r="O224" i="29"/>
  <c r="B225" i="29"/>
  <c r="C225" i="29"/>
  <c r="E225" i="29"/>
  <c r="F225" i="29"/>
  <c r="G225" i="29"/>
  <c r="H225" i="29"/>
  <c r="I225" i="29"/>
  <c r="J225" i="29"/>
  <c r="K225" i="29"/>
  <c r="L225" i="29"/>
  <c r="M225" i="29"/>
  <c r="N225" i="29"/>
  <c r="O225" i="29"/>
  <c r="E226" i="29"/>
  <c r="F226" i="29"/>
  <c r="G226" i="29"/>
  <c r="H226" i="29"/>
  <c r="I226" i="29"/>
  <c r="J226" i="29"/>
  <c r="K226" i="29"/>
  <c r="L226" i="29"/>
  <c r="M226" i="29"/>
  <c r="N226" i="29"/>
  <c r="O226" i="29"/>
  <c r="B227" i="29"/>
  <c r="C227" i="29"/>
  <c r="E227" i="29"/>
  <c r="F227" i="29"/>
  <c r="G227" i="29"/>
  <c r="H227" i="29"/>
  <c r="I227" i="29"/>
  <c r="J227" i="29"/>
  <c r="K227" i="29"/>
  <c r="L227" i="29"/>
  <c r="M227" i="29"/>
  <c r="N227" i="29"/>
  <c r="O227" i="29"/>
  <c r="E228" i="29"/>
  <c r="F228" i="29"/>
  <c r="G228" i="29"/>
  <c r="H228" i="29"/>
  <c r="I228" i="29"/>
  <c r="J228" i="29"/>
  <c r="K228" i="29"/>
  <c r="L228" i="29"/>
  <c r="M228" i="29"/>
  <c r="N228" i="29"/>
  <c r="O228" i="29"/>
  <c r="B229" i="29"/>
  <c r="C229" i="29"/>
  <c r="E229" i="29"/>
  <c r="F229" i="29"/>
  <c r="G229" i="29"/>
  <c r="H229" i="29"/>
  <c r="I229" i="29"/>
  <c r="J229" i="29"/>
  <c r="K229" i="29"/>
  <c r="L229" i="29"/>
  <c r="M229" i="29"/>
  <c r="N229" i="29"/>
  <c r="O229" i="29"/>
  <c r="E230" i="29"/>
  <c r="F230" i="29"/>
  <c r="G230" i="29"/>
  <c r="H230" i="29"/>
  <c r="I230" i="29"/>
  <c r="J230" i="29"/>
  <c r="K230" i="29"/>
  <c r="L230" i="29"/>
  <c r="M230" i="29"/>
  <c r="N230" i="29"/>
  <c r="O230" i="29"/>
  <c r="F83" i="29"/>
  <c r="F84" i="29"/>
  <c r="B33" i="29"/>
  <c r="B35" i="29" s="1"/>
  <c r="B34" i="29"/>
  <c r="C34" i="29" s="1"/>
  <c r="D34" i="29" s="1"/>
  <c r="E34" i="29" s="1"/>
  <c r="B56" i="29"/>
  <c r="E56" i="29" s="1"/>
  <c r="C56" i="29"/>
  <c r="D64" i="29"/>
  <c r="D63" i="29"/>
  <c r="D62" i="29"/>
  <c r="D61" i="29"/>
  <c r="H165" i="29"/>
  <c r="D12" i="42"/>
  <c r="D41" i="42"/>
  <c r="D34" i="42"/>
  <c r="D35" i="42"/>
  <c r="D36" i="42"/>
  <c r="D37" i="42"/>
  <c r="D38" i="42"/>
  <c r="D39" i="42"/>
  <c r="D40" i="42"/>
  <c r="D33" i="42"/>
  <c r="D32" i="42"/>
  <c r="D31" i="42"/>
  <c r="D30" i="42"/>
  <c r="D29" i="42"/>
  <c r="D24" i="42"/>
  <c r="D23" i="42"/>
  <c r="D22" i="42"/>
  <c r="D21" i="42"/>
  <c r="D20" i="42"/>
  <c r="D19" i="42"/>
  <c r="D13" i="42"/>
  <c r="D11" i="42"/>
  <c r="B13" i="27"/>
  <c r="D10" i="27"/>
  <c r="B10" i="27"/>
  <c r="B9" i="27"/>
  <c r="B8" i="45"/>
  <c r="B23" i="45"/>
  <c r="B2" i="37"/>
  <c r="B2" i="35"/>
  <c r="B2" i="45"/>
  <c r="B3" i="27"/>
  <c r="B3" i="32" s="1"/>
  <c r="B2" i="30"/>
  <c r="B2" i="1"/>
  <c r="B2" i="39"/>
  <c r="B2" i="42"/>
  <c r="K3" i="30"/>
  <c r="M3" i="30"/>
  <c r="A32" i="29"/>
  <c r="B3" i="39"/>
  <c r="B3" i="42"/>
  <c r="C4" i="42"/>
  <c r="B4" i="1"/>
  <c r="C3" i="37"/>
  <c r="B3" i="37"/>
  <c r="B3" i="30"/>
  <c r="B6" i="27"/>
  <c r="C4" i="30"/>
  <c r="C4" i="35"/>
  <c r="C4" i="37"/>
  <c r="C4" i="39"/>
  <c r="D60" i="29"/>
  <c r="C38" i="29"/>
  <c r="B38" i="29"/>
  <c r="B9" i="45"/>
  <c r="K3" i="35"/>
  <c r="M3" i="35"/>
  <c r="I11" i="27"/>
  <c r="B12" i="27"/>
  <c r="C3" i="35"/>
  <c r="B3" i="35"/>
  <c r="B4" i="35"/>
  <c r="E4" i="35"/>
  <c r="K4" i="35"/>
  <c r="M4" i="35"/>
  <c r="D5" i="35"/>
  <c r="L5" i="35"/>
  <c r="M5" i="35"/>
  <c r="B39" i="35"/>
  <c r="J3" i="39"/>
  <c r="L3" i="39"/>
  <c r="B4" i="39"/>
  <c r="E4" i="39"/>
  <c r="J4" i="39"/>
  <c r="L4" i="39"/>
  <c r="K5" i="39"/>
  <c r="L5" i="39"/>
  <c r="L3" i="42"/>
  <c r="M3" i="42"/>
  <c r="B4" i="42"/>
  <c r="E4" i="42"/>
  <c r="L4" i="42"/>
  <c r="M4" i="42"/>
  <c r="L5" i="42"/>
  <c r="M5" i="42"/>
  <c r="D14" i="42"/>
  <c r="O3" i="37"/>
  <c r="Q3" i="37"/>
  <c r="B4" i="37"/>
  <c r="E4" i="37"/>
  <c r="P4" i="37"/>
  <c r="Q4" i="37"/>
  <c r="D5" i="37"/>
  <c r="P5" i="37"/>
  <c r="Q5" i="37"/>
  <c r="T51" i="37"/>
  <c r="U51" i="37"/>
  <c r="T52" i="37"/>
  <c r="U52" i="37"/>
  <c r="B4" i="30"/>
  <c r="E4" i="30"/>
  <c r="K4" i="30"/>
  <c r="M4" i="30"/>
  <c r="D5" i="30"/>
  <c r="L5" i="30"/>
  <c r="M5" i="30"/>
  <c r="J27" i="30"/>
  <c r="L27" i="30"/>
  <c r="M27" i="30"/>
  <c r="J28" i="30"/>
  <c r="L28" i="30"/>
  <c r="M28" i="30"/>
  <c r="J29" i="30"/>
  <c r="L29" i="30"/>
  <c r="M29" i="30"/>
  <c r="F6" i="27"/>
  <c r="D9" i="27"/>
  <c r="G9" i="27"/>
  <c r="I9" i="27"/>
  <c r="G10" i="27"/>
  <c r="B11" i="27"/>
  <c r="D11" i="27"/>
  <c r="G11" i="27"/>
  <c r="G12" i="27"/>
  <c r="G13" i="27"/>
  <c r="F35" i="29"/>
  <c r="H35" i="29"/>
  <c r="Q59" i="29"/>
  <c r="K35" i="29"/>
  <c r="M35" i="29"/>
  <c r="B10" i="45"/>
  <c r="B11" i="45"/>
  <c r="B19" i="45"/>
  <c r="B20" i="45"/>
  <c r="B21" i="45"/>
  <c r="B22" i="45"/>
  <c r="B25" i="45"/>
  <c r="H4" i="1"/>
  <c r="I35" i="29"/>
  <c r="G35" i="29"/>
  <c r="Q35" i="29"/>
  <c r="J35" i="29"/>
  <c r="Q33" i="29"/>
  <c r="Q34" i="29"/>
  <c r="Q58" i="29"/>
  <c r="L35" i="29"/>
  <c r="P60" i="29"/>
  <c r="AF25" i="37"/>
  <c r="AC25" i="37"/>
  <c r="AB25" i="37"/>
  <c r="AE25" i="37"/>
  <c r="AD25" i="37"/>
  <c r="AE26" i="37"/>
  <c r="AD26" i="37"/>
  <c r="AF26" i="37"/>
  <c r="AC26" i="37"/>
  <c r="AB26" i="37"/>
  <c r="Q29" i="29" l="1"/>
  <c r="C33" i="29"/>
  <c r="C35" i="29" s="1"/>
  <c r="B8" i="30"/>
  <c r="B18" i="35"/>
  <c r="J8" i="30"/>
  <c r="I28" i="35"/>
  <c r="B7" i="35"/>
  <c r="J22" i="30"/>
  <c r="I18" i="35"/>
  <c r="B22" i="30"/>
  <c r="I7" i="35"/>
  <c r="Q30" i="29" l="1"/>
  <c r="D33" i="29"/>
  <c r="E33" i="29" s="1"/>
  <c r="Q32" i="29" l="1"/>
  <c r="E35" i="29"/>
  <c r="D35" i="29"/>
  <c r="Q31"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mgleixner</author>
  </authors>
  <commentList>
    <comment ref="A110" authorId="0" shapeId="0" xr:uid="{00000000-0006-0000-0200-000008000000}">
      <text>
        <r>
          <rPr>
            <sz val="8"/>
            <color indexed="81"/>
            <rFont val="Tahoma"/>
            <family val="2"/>
          </rPr>
          <t>To define your periods (eg. P1, P2, P3 etc or P9, P10, P11 etc) you need to unprotect the cells.</t>
        </r>
      </text>
    </comment>
  </commentList>
</comments>
</file>

<file path=xl/sharedStrings.xml><?xml version="1.0" encoding="utf-8"?>
<sst xmlns="http://schemas.openxmlformats.org/spreadsheetml/2006/main" count="1072" uniqueCount="728">
  <si>
    <t>V1.0</t>
  </si>
  <si>
    <t>Финансирование</t>
  </si>
  <si>
    <t>Наименование:</t>
  </si>
  <si>
    <t>Определение</t>
  </si>
  <si>
    <t>Измерение</t>
  </si>
  <si>
    <t>Источник данных</t>
  </si>
  <si>
    <r>
      <t>Совокупный бюджет: Сумма</t>
    </r>
    <r>
      <rPr>
        <sz val="11"/>
        <color indexed="8"/>
        <rFont val="Arial"/>
        <family val="2"/>
      </rPr>
      <t xml:space="preserve"> бюджета гранта, начиная с периода одного (квартала, триместра, полугодия) текущей фазы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 </t>
    </r>
    <r>
      <rPr>
        <b/>
        <i/>
        <sz val="11"/>
        <color indexed="8"/>
        <rFont val="Arial"/>
        <family val="2"/>
      </rPr>
      <t>включая</t>
    </r>
    <r>
      <rPr>
        <sz val="11"/>
        <color indexed="8"/>
        <rFont val="Arial"/>
        <family val="2"/>
      </rPr>
      <t xml:space="preserve"> этот период. </t>
    </r>
    <r>
      <rPr>
        <b/>
        <sz val="11"/>
        <color indexed="8"/>
        <rFont val="Arial"/>
        <family val="2"/>
      </rPr>
      <t xml:space="preserve">
Совокупные выплаты Глобальным Фондом:</t>
    </r>
    <r>
      <rPr>
        <sz val="11"/>
        <color indexed="8"/>
        <rFont val="Arial"/>
        <family val="2"/>
      </rPr>
      <t xml:space="preserve"> Сумма всех средств, переведенных Глобальным фондом (ГФ) основному реципиенту (ОР) или выплаченных непосредственно поставщикам (например, лекарственных средств, оборудования, москитных сеток)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t>
    </r>
    <r>
      <rPr>
        <b/>
        <i/>
        <sz val="11"/>
        <color indexed="8"/>
        <rFont val="Arial"/>
        <family val="2"/>
      </rPr>
      <t xml:space="preserve"> включая </t>
    </r>
    <r>
      <rPr>
        <sz val="11"/>
        <color indexed="8"/>
        <rFont val="Arial"/>
        <family val="2"/>
      </rPr>
      <t xml:space="preserve">данный период.  </t>
    </r>
  </si>
  <si>
    <t>Валюта финансирования гранта (долл. США или евро) Общая сумма – Цифры отражают бюджет и выплаты за все периоды данной фазы до начала отчетного периода, показанного на панели показателей, включая данный период.</t>
  </si>
  <si>
    <t>Банковская или бухгалтерская информация ОР; уведомления ГФ о выплате средств; ОПР/ЗПС; веб-сайт ГФ.</t>
  </si>
  <si>
    <r>
      <t xml:space="preserve">Совокупный бюджет по задачам: </t>
    </r>
    <r>
      <rPr>
        <sz val="11"/>
        <color indexed="8"/>
        <rFont val="Arial"/>
        <family val="2"/>
      </rPr>
      <t xml:space="preserve">Сумма бюджета гранта </t>
    </r>
    <r>
      <rPr>
        <b/>
        <sz val="11"/>
        <color indexed="8"/>
        <rFont val="Arial"/>
        <family val="2"/>
      </rPr>
      <t>по задачам</t>
    </r>
    <r>
      <rPr>
        <sz val="11"/>
        <color indexed="8"/>
        <rFont val="Arial"/>
        <family val="2"/>
      </rPr>
      <t xml:space="preserve">, начиная с первого периода текущей фазы </t>
    </r>
    <r>
      <rPr>
        <b/>
        <i/>
        <sz val="11"/>
        <color indexed="8"/>
        <rFont val="Arial"/>
        <family val="2"/>
      </rPr>
      <t>и до</t>
    </r>
    <r>
      <rPr>
        <b/>
        <sz val="11"/>
        <color indexed="8"/>
        <rFont val="Arial"/>
        <family val="2"/>
      </rPr>
      <t xml:space="preserve"> </t>
    </r>
    <r>
      <rPr>
        <sz val="11"/>
        <color indexed="8"/>
        <rFont val="Arial"/>
        <family val="2"/>
      </rPr>
      <t>завершения</t>
    </r>
    <r>
      <rPr>
        <b/>
        <sz val="11"/>
        <color indexed="8"/>
        <rFont val="Arial"/>
        <family val="2"/>
      </rPr>
      <t xml:space="preserve"> </t>
    </r>
    <r>
      <rPr>
        <sz val="11"/>
        <color indexed="8"/>
        <rFont val="Arial"/>
        <family val="2"/>
      </rPr>
      <t xml:space="preserve">отчетного периода, отраженного на панели показателей, </t>
    </r>
    <r>
      <rPr>
        <b/>
        <i/>
        <sz val="11"/>
        <color indexed="8"/>
        <rFont val="Arial"/>
        <family val="2"/>
      </rPr>
      <t>включая</t>
    </r>
    <r>
      <rPr>
        <sz val="11"/>
        <color indexed="8"/>
        <rFont val="Arial"/>
        <family val="2"/>
      </rPr>
      <t xml:space="preserve"> данный период.  </t>
    </r>
    <r>
      <rPr>
        <b/>
        <sz val="11"/>
        <color indexed="8"/>
        <rFont val="Arial"/>
        <family val="2"/>
      </rPr>
      <t xml:space="preserve">
Совокупные расходы по задачам:</t>
    </r>
    <r>
      <rPr>
        <sz val="11"/>
        <color indexed="8"/>
        <rFont val="Arial"/>
        <family val="2"/>
      </rPr>
      <t xml:space="preserve"> Сумма средств </t>
    </r>
    <r>
      <rPr>
        <b/>
        <i/>
        <sz val="11"/>
        <color indexed="8"/>
        <rFont val="Arial"/>
        <family val="2"/>
      </rPr>
      <t>по задачам,</t>
    </r>
    <r>
      <rPr>
        <sz val="11"/>
        <color indexed="8"/>
        <rFont val="Arial"/>
        <family val="2"/>
      </rPr>
      <t xml:space="preserve"> израсходованных непосредственно ОР, а также средства, переведенные ОР всем субреципиентам (СР) с начала данной фазы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 </t>
    </r>
    <r>
      <rPr>
        <b/>
        <i/>
        <sz val="11"/>
        <color indexed="8"/>
        <rFont val="Arial"/>
        <family val="2"/>
      </rPr>
      <t>включая</t>
    </r>
    <r>
      <rPr>
        <sz val="11"/>
        <color indexed="8"/>
        <rFont val="Arial"/>
        <family val="2"/>
      </rPr>
      <t xml:space="preserve"> данный  период, по задачам. </t>
    </r>
  </si>
  <si>
    <r>
      <t xml:space="preserve">• </t>
    </r>
    <r>
      <rPr>
        <b/>
        <sz val="11"/>
        <color indexed="8"/>
        <rFont val="Arial"/>
        <family val="2"/>
      </rPr>
      <t>Совокупный</t>
    </r>
    <r>
      <rPr>
        <sz val="11"/>
        <color indexed="8"/>
        <rFont val="Arial"/>
        <family val="2"/>
      </rPr>
      <t xml:space="preserve"> – Цифры отражают бюджет, выплаты или расходы за все периоды данной фазы до начала отчетного периода, показанного на панели показателей, включая данный период.</t>
    </r>
  </si>
  <si>
    <r>
      <t>Выплаты ГФ: До начала данного отчетного периода:</t>
    </r>
    <r>
      <rPr>
        <sz val="11"/>
        <color indexed="8"/>
        <rFont val="Arial"/>
        <family val="2"/>
      </rPr>
      <t xml:space="preserve"> Сумма средств, переведенных Глобальныи Фондом на расчетный счет ОР или выплаченных непосредственно поставщикам (например, лекарственных средств, оборудования, москитных сеток) до начала отчетного периода, отраженного на панели показателей, </t>
    </r>
    <r>
      <rPr>
        <b/>
        <i/>
        <sz val="11"/>
        <color indexed="8"/>
        <rFont val="Arial"/>
        <family val="2"/>
      </rPr>
      <t xml:space="preserve">но не включая </t>
    </r>
    <r>
      <rPr>
        <sz val="11"/>
        <color indexed="8"/>
        <rFont val="Arial"/>
        <family val="2"/>
      </rPr>
      <t xml:space="preserve">этот период.  </t>
    </r>
    <r>
      <rPr>
        <b/>
        <sz val="11"/>
        <color indexed="8"/>
        <rFont val="Arial"/>
        <family val="2"/>
      </rPr>
      <t>Выплаты ГФ:</t>
    </r>
    <r>
      <rPr>
        <sz val="11"/>
        <color indexed="8"/>
        <rFont val="Arial"/>
        <family val="2"/>
      </rPr>
      <t xml:space="preserve"> </t>
    </r>
    <r>
      <rPr>
        <b/>
        <sz val="11"/>
        <color indexed="8"/>
        <rFont val="Arial"/>
        <family val="2"/>
      </rPr>
      <t>Отчетный период:</t>
    </r>
    <r>
      <rPr>
        <sz val="11"/>
        <color indexed="8"/>
        <rFont val="Arial"/>
        <family val="2"/>
      </rPr>
      <t xml:space="preserve"> Сумма средств, переведенных Глобальныи Фондом на расчетный счет ОР или выплаченных непосредственно поставщикам (например, лекарственных средств, оборудования, москитных сеток) в течение отчетного периода, отраженного на панели показателей. 
</t>
    </r>
    <r>
      <rPr>
        <b/>
        <sz val="11"/>
        <color indexed="8"/>
        <rFont val="Arial"/>
        <family val="2"/>
      </rPr>
      <t>Выплаты ОР и расходы :</t>
    </r>
    <r>
      <rPr>
        <sz val="11"/>
        <color indexed="8"/>
        <rFont val="Arial"/>
        <family val="2"/>
      </rPr>
      <t xml:space="preserve"> </t>
    </r>
    <r>
      <rPr>
        <b/>
        <sz val="11"/>
        <color indexed="8"/>
        <rFont val="Arial"/>
        <family val="2"/>
      </rPr>
      <t>До начала данного отчетного периода:</t>
    </r>
    <r>
      <rPr>
        <sz val="11"/>
        <color indexed="8"/>
        <rFont val="Arial"/>
        <family val="2"/>
      </rPr>
      <t xml:space="preserve"> Общая сумма средств, указанных в отчетах как израсходованные ОР и/или выплаченные субреципиентам до начала отчетного периода, отраженного на панели показателей, </t>
    </r>
    <r>
      <rPr>
        <b/>
        <i/>
        <sz val="11"/>
        <color indexed="8"/>
        <rFont val="Arial"/>
        <family val="2"/>
      </rPr>
      <t>но не включая</t>
    </r>
    <r>
      <rPr>
        <sz val="11"/>
        <color indexed="8"/>
        <rFont val="Arial"/>
        <family val="2"/>
      </rPr>
      <t xml:space="preserve"> данный период.  </t>
    </r>
    <r>
      <rPr>
        <b/>
        <sz val="11"/>
        <color indexed="8"/>
        <rFont val="Arial"/>
        <family val="2"/>
      </rPr>
      <t>Выплаты ОР и расходы: Отчетный период:</t>
    </r>
    <r>
      <rPr>
        <sz val="11"/>
        <color indexed="8"/>
        <rFont val="Arial"/>
        <family val="2"/>
      </rPr>
      <t xml:space="preserve"> Общая сумма средств, указанных в отчетах как израсходованные ОР и/или выплаченные субреципиентам в течение отчетного периода, отраженного на панели показателей.</t>
    </r>
    <r>
      <rPr>
        <b/>
        <sz val="11"/>
        <color indexed="8"/>
        <rFont val="Arial"/>
        <family val="2"/>
      </rPr>
      <t xml:space="preserve">
Выплаты субреципиентам: До начала данного отчетного периода: </t>
    </r>
    <r>
      <rPr>
        <sz val="11"/>
        <color indexed="8"/>
        <rFont val="Arial"/>
        <family val="2"/>
      </rPr>
      <t xml:space="preserve">Общая сумма средств, переведенных ОР субреципиентам до начала отчетного периода, отраженного на панели показателей, но не включая данный период.  </t>
    </r>
    <r>
      <rPr>
        <b/>
        <sz val="11"/>
        <color indexed="8"/>
        <rFont val="Arial"/>
        <family val="2"/>
      </rPr>
      <t xml:space="preserve">Выплаты субреципиентам: Отчетный период: </t>
    </r>
    <r>
      <rPr>
        <sz val="11"/>
        <color indexed="8"/>
        <rFont val="Arial"/>
        <family val="2"/>
      </rPr>
      <t xml:space="preserve">Общая сумма средств, переведенных ОР субреципиентам в течение отчетного периода, отраженного на панели показателей. </t>
    </r>
    <r>
      <rPr>
        <b/>
        <sz val="11"/>
        <color indexed="8"/>
        <rFont val="Arial"/>
        <family val="2"/>
      </rPr>
      <t xml:space="preserve">
Расходы субреципиентов: До начала данного отчетного периода: </t>
    </r>
    <r>
      <rPr>
        <sz val="11"/>
        <color indexed="8"/>
        <rFont val="Arial"/>
        <family val="2"/>
      </rPr>
      <t xml:space="preserve">Общая сумма расходов, указанных в отчетах СР, до начала отчетного периода, отраженного на панели показателей, </t>
    </r>
    <r>
      <rPr>
        <b/>
        <i/>
        <sz val="11"/>
        <color indexed="8"/>
        <rFont val="Arial"/>
        <family val="2"/>
      </rPr>
      <t>но не включая</t>
    </r>
    <r>
      <rPr>
        <sz val="11"/>
        <color indexed="8"/>
        <rFont val="Arial"/>
        <family val="2"/>
      </rPr>
      <t xml:space="preserve"> данный период.  </t>
    </r>
    <r>
      <rPr>
        <b/>
        <sz val="11"/>
        <color indexed="8"/>
        <rFont val="Arial"/>
        <family val="2"/>
      </rPr>
      <t>Расходы субреципиентов: Отчетный период:</t>
    </r>
    <r>
      <rPr>
        <sz val="11"/>
        <color indexed="8"/>
        <rFont val="Arial"/>
        <family val="2"/>
      </rPr>
      <t xml:space="preserve"> Общая сумма расходов, указанных в отчетах СР, в течение отчетного периода, отраженного на панели показателей.</t>
    </r>
  </si>
  <si>
    <r>
      <t xml:space="preserve">Валюта финансирования гранта (долл. США или евро)                                                • </t>
    </r>
    <r>
      <rPr>
        <b/>
        <sz val="11"/>
        <color indexed="8"/>
        <rFont val="Arial"/>
        <family val="2"/>
      </rPr>
      <t>Отчетный период</t>
    </r>
    <r>
      <rPr>
        <sz val="11"/>
        <color indexed="8"/>
        <rFont val="Arial"/>
        <family val="2"/>
      </rPr>
      <t xml:space="preserve">  – Цифры отражают бюджет, выплаты или расходы за отчетный период, показанный на панели показателей.
• </t>
    </r>
    <r>
      <rPr>
        <b/>
        <sz val="11"/>
        <color indexed="8"/>
        <rFont val="Arial"/>
        <family val="2"/>
      </rPr>
      <t>До начала отчетного периода</t>
    </r>
    <r>
      <rPr>
        <sz val="11"/>
        <color indexed="8"/>
        <rFont val="Arial"/>
        <family val="2"/>
      </rPr>
      <t xml:space="preserve"> - Цифры отражают общий бюджет, выплаты или расходы за все периоды до начала текущего периода, </t>
    </r>
    <r>
      <rPr>
        <b/>
        <i/>
        <sz val="11"/>
        <color indexed="8"/>
        <rFont val="Arial"/>
        <family val="2"/>
      </rPr>
      <t xml:space="preserve">не включая </t>
    </r>
    <r>
      <rPr>
        <sz val="11"/>
        <color indexed="8"/>
        <rFont val="Arial"/>
        <family val="2"/>
      </rPr>
      <t>его.</t>
    </r>
  </si>
  <si>
    <r>
      <rPr>
        <sz val="11"/>
        <rFont val="Arial"/>
        <family val="2"/>
      </rPr>
      <t>ОПР/ЗПС</t>
    </r>
    <r>
      <rPr>
        <sz val="11"/>
        <color indexed="8"/>
        <rFont val="Arial"/>
        <family val="2"/>
      </rPr>
      <t>; данные ОР; отчеты СР  основному реципиенту.</t>
    </r>
  </si>
  <si>
    <r>
      <t xml:space="preserve">Сколько дней понадобилось для подачи ИОР/ЗПС в офис МАФ </t>
    </r>
    <r>
      <rPr>
        <b/>
        <sz val="11"/>
        <color indexed="53"/>
        <rFont val="Arial"/>
        <family val="2"/>
      </rPr>
      <t xml:space="preserve"> </t>
    </r>
    <r>
      <rPr>
        <sz val="11"/>
        <color indexed="8"/>
        <rFont val="Arial"/>
        <family val="2"/>
      </rPr>
      <t xml:space="preserve">– этот показатель измеряет количество календарных дней, потребовавшихся ОР для направления местному агенту Фонда (МАФ) окончательных вариантов Итоговой оценки результатов и Запроса на перевод средств (ИОР/ЗПС) после завершения периода. "Окончательными" считаются ИОР/ЗПС, по которым МАФ не запрашивает каких-либо дополнительных уточняющих данных от ОР. Предполагаемый срок составляет 45 дней после завершения периода, указанного в грантовом соглашении.                                                                                                                                                Фактическй срок равен количеству дней, истекших с даты завершения периода и до даты предоставления основным реципиентом окончательных ИОР/ЗПС в офис МАФ.  </t>
    </r>
    <r>
      <rPr>
        <b/>
        <sz val="11"/>
        <color indexed="8"/>
        <rFont val="Arial"/>
        <family val="2"/>
      </rPr>
      <t xml:space="preserve">
Спустя сколько дней ОР получил платеж</t>
    </r>
    <r>
      <rPr>
        <sz val="11"/>
        <color indexed="8"/>
        <rFont val="Arial"/>
        <family val="2"/>
      </rPr>
      <t xml:space="preserve"> – этот показатель измеряет количество календарных дней,  потребовавшихся Глобальному фонду для последней выплаты на счет ОР после того, как МАФ получил  отвечающий требованиям ИОР/ЗПС. 
Предполагаемый срок составляет 45 дней. 
Фактический срок равен числу дней, истекших с даты направления основным реципиентом отвечающего требованиям ИОР/ЗПС в офис МАФ и до поступления платежа на банковской счет ОР.   </t>
    </r>
    <r>
      <rPr>
        <b/>
        <sz val="11"/>
        <color indexed="8"/>
        <rFont val="Arial"/>
        <family val="2"/>
      </rPr>
      <t xml:space="preserve">
Спустя сколько дней суб-реципиенты получили платежи</t>
    </r>
    <r>
      <rPr>
        <sz val="11"/>
        <color indexed="8"/>
        <rFont val="Arial"/>
        <family val="2"/>
      </rPr>
      <t xml:space="preserve"> – этот показатель измеряет среднее количество дней, потребовавшихся для осуществления платежей всем СР.
Предполагаемый срок определяется на местах основным реципиентом и субреципиентами, желательно в Руководстве по грантовым операциям. 
Фактический срок равен среднему количеству дней, истекших с даты получения платежа ГФ основным реципиентом и до даты получения средств каждым СР. Различные СР могут получать средства в различные даты, и этот показатель является средней величиной в отношении последней выплаты всем СР.</t>
    </r>
  </si>
  <si>
    <r>
      <t xml:space="preserve">Количество  календарных дней; этот показатель </t>
    </r>
    <r>
      <rPr>
        <b/>
        <sz val="11"/>
        <color indexed="8"/>
        <rFont val="Arial"/>
        <family val="2"/>
      </rPr>
      <t>не является совокупным</t>
    </r>
    <r>
      <rPr>
        <sz val="11"/>
        <color indexed="8"/>
        <rFont val="Arial"/>
        <family val="2"/>
      </rPr>
      <t xml:space="preserve"> и относится только к тому отчетному периоду, на который был получен последний платеж.</t>
    </r>
  </si>
  <si>
    <t>Электронная почта и документация ОР, МАФ и ГФ; банковские уведомления или расписки ОР в получении средств ГФ; отчеты СР основному реципиенту, составленные на основе банковских документов.</t>
  </si>
  <si>
    <t>Управление</t>
  </si>
  <si>
    <t>Источники Данных</t>
  </si>
  <si>
    <r>
      <t xml:space="preserve">Количество выполненных или невыполненных Предварительных условий (ПУ) и Действий с установленным сроком исполнения (ДУС). 
</t>
    </r>
    <r>
      <rPr>
        <sz val="11"/>
        <color indexed="8"/>
        <rFont val="Arial"/>
        <family val="2"/>
      </rPr>
      <t>В категории показателей  "Невыполненные требования" мы различаем ПУ и ДУС с истекшим и неистекшим сроком исполнения.</t>
    </r>
  </si>
  <si>
    <t>Совокупное количество до начала отчетного периода, отраженного на панели показателей. Количество выполненных и невыполненных ПУ и/или ДУС должно быть равно общему количеству, установленному для гранта Глобальным фондом.</t>
  </si>
  <si>
    <t>Документы ОР; отчеты о результатах реализации гранта.</t>
  </si>
  <si>
    <r>
      <t>Количество запланированных руководящих должностей в структуре ОР гранта, заполненных или вакантных в настоящее время.</t>
    </r>
    <r>
      <rPr>
        <sz val="11"/>
        <color indexed="8"/>
        <rFont val="Arial"/>
        <family val="2"/>
      </rPr>
      <t xml:space="preserve"> Эквивалентное значение продолжительности полного рабочего времени для </t>
    </r>
    <r>
      <rPr>
        <b/>
        <sz val="11"/>
        <color indexed="8"/>
        <rFont val="Arial"/>
        <family val="2"/>
      </rPr>
      <t>руководящих</t>
    </r>
    <r>
      <rPr>
        <sz val="11"/>
        <color indexed="8"/>
        <rFont val="Arial"/>
        <family val="2"/>
      </rPr>
      <t xml:space="preserve"> должностей, предусмотренных в структуре организации (или запланированных иным образом) и непосредственно ответственных за реализацию гранта в структуре ОР и ведущих СР (при необходимости). Сюда относятся недавно принятые на работу и имеющиеся сотрудники, которым поручено управление грантом, а также любой персонал, задействоованный из других подразделений или партнерских организаций.</t>
    </r>
  </si>
  <si>
    <t>Количество в текущем отчетном периоде.</t>
  </si>
  <si>
    <t xml:space="preserve">Документация ОР. </t>
  </si>
  <si>
    <r>
      <rPr>
        <b/>
        <sz val="11"/>
        <color indexed="8"/>
        <rFont val="Arial"/>
        <family val="2"/>
      </rPr>
      <t>Определеные:</t>
    </r>
    <r>
      <rPr>
        <sz val="11"/>
        <color indexed="8"/>
        <rFont val="Arial"/>
        <family val="2"/>
      </rPr>
      <t xml:space="preserve"> Общее количество потенциальных СР, определенных ОР для данной фазы. </t>
    </r>
    <r>
      <rPr>
        <b/>
        <sz val="11"/>
        <color indexed="8"/>
        <rFont val="Arial"/>
        <family val="2"/>
      </rPr>
      <t>Прошли оценку:</t>
    </r>
    <r>
      <rPr>
        <sz val="11"/>
        <color indexed="8"/>
        <rFont val="Arial"/>
        <family val="2"/>
      </rPr>
      <t xml:space="preserve"> Общее количество потенциальных СР, уровень квалификации которых для выполнения функций СР для данного гранта получил положительную оценку ОР. </t>
    </r>
    <r>
      <rPr>
        <b/>
        <sz val="11"/>
        <color indexed="8"/>
        <rFont val="Arial"/>
        <family val="2"/>
      </rPr>
      <t>Одобренные:</t>
    </r>
    <r>
      <rPr>
        <sz val="11"/>
        <color indexed="8"/>
        <rFont val="Arial"/>
        <family val="2"/>
      </rPr>
      <t xml:space="preserve"> Общее количество одобренных СР. </t>
    </r>
    <r>
      <rPr>
        <b/>
        <sz val="11"/>
        <color indexed="8"/>
        <rFont val="Arial"/>
        <family val="2"/>
      </rPr>
      <t>Подписавшие соглашение:</t>
    </r>
    <r>
      <rPr>
        <sz val="11"/>
        <color indexed="8"/>
        <rFont val="Arial"/>
        <family val="2"/>
      </rPr>
      <t xml:space="preserve"> Общее количество  СР, подписавших соглашения/ контракты с ОР в рамках данного гранта. </t>
    </r>
    <r>
      <rPr>
        <b/>
        <sz val="11"/>
        <color indexed="8"/>
        <rFont val="Arial"/>
        <family val="2"/>
      </rPr>
      <t>П</t>
    </r>
    <r>
      <rPr>
        <b/>
        <sz val="11"/>
        <color indexed="8"/>
        <rFont val="Arial"/>
        <family val="2"/>
        <charset val="204"/>
      </rPr>
      <t>олучающие ф</t>
    </r>
    <r>
      <rPr>
        <b/>
        <sz val="11"/>
        <color indexed="8"/>
        <rFont val="Arial"/>
        <family val="2"/>
      </rPr>
      <t>инансирование:</t>
    </r>
    <r>
      <rPr>
        <sz val="11"/>
        <color indexed="8"/>
        <rFont val="Arial"/>
        <family val="2"/>
      </rPr>
      <t xml:space="preserve"> Общее количество  СР, получающих финансирование и/или поставки от ОР.
Количество определенных, квалифицированных, одобренных, подписавших соглашение и получающих финансирование СР, за исключением случаев:  
Когда продолжает действовать одобрение, полученное для Фазы I, если для назначения СР в Фазе II одобрение не требуется. 
Когда такой СР больше не входит в категорию потенциальных, квалифицированных и одобренных, если соглашение с СР было подписано в предыдущей Фазе, но  </t>
    </r>
    <r>
      <rPr>
        <b/>
        <sz val="11"/>
        <color indexed="8"/>
        <rFont val="Arial"/>
        <family val="2"/>
      </rPr>
      <t>не</t>
    </r>
    <r>
      <rPr>
        <sz val="11"/>
        <color indexed="8"/>
        <rFont val="Arial"/>
        <family val="2"/>
      </rPr>
      <t xml:space="preserve"> осуществляется в нынешней Фазе .</t>
    </r>
  </si>
  <si>
    <r>
      <t xml:space="preserve">Совокупное количество к данному отчетному периоду. СР </t>
    </r>
    <r>
      <rPr>
        <sz val="11"/>
        <color indexed="8"/>
        <rFont val="Symbol"/>
        <family val="1"/>
        <charset val="2"/>
      </rPr>
      <t>-</t>
    </r>
    <r>
      <rPr>
        <sz val="11"/>
        <color indexed="8"/>
        <rFont val="Arial"/>
        <family val="2"/>
      </rPr>
      <t xml:space="preserve"> это учреждение или программа со своим планом работы, бюджетом и целевыми показателями.</t>
    </r>
  </si>
  <si>
    <t>Документация ОР; соглашения с субреципиентами/ меморандум о взаимопонимании (МоВ); документация СКК.</t>
  </si>
  <si>
    <t xml:space="preserve">Общее количество периодических отчетов СР для ОР и отчетов суб-СР (ССР) для СР, содержащих обновленную информацию о финансировании, управлении и осуществлении программ, и полученных к установленному сроку. "Полным" считается отчет, содержащий все данные, которые требует ОР для составления ИОР/ЗПС.
Контрольный срок устанавливается ОР и указывается в соглашениях с суб-реципиентами.  </t>
  </si>
  <si>
    <t>Количество  полученных отчетов. Эта цифра отражает только отчетный период; она не является совокупной.</t>
  </si>
  <si>
    <t>Документация ОР и СР.</t>
  </si>
  <si>
    <r>
      <t xml:space="preserve">Этот показатель измеряет бюджет, утвержденный для закупки товаров медицинского назначения, медицинского оборудования, фармацевтических препаратов и лекарственных средств (категории 4 и 5, указанные в новом Подробном финансовом отчете </t>
    </r>
    <r>
      <rPr>
        <sz val="11"/>
        <color indexed="8"/>
        <rFont val="Symbol"/>
        <family val="1"/>
        <charset val="2"/>
      </rPr>
      <t>-</t>
    </r>
    <r>
      <rPr>
        <sz val="11"/>
        <color indexed="8"/>
        <rFont val="Arial"/>
        <family val="2"/>
      </rPr>
      <t xml:space="preserve"> ПФО) в текущей фазе гранта, а также общий объем финансовых обязательств и расходов до начала отчетного периода, отраженного в панели показателей.  
</t>
    </r>
    <r>
      <rPr>
        <b/>
        <sz val="11"/>
        <color indexed="8"/>
        <rFont val="Arial"/>
        <family val="2"/>
      </rPr>
      <t xml:space="preserve">Утвержденный </t>
    </r>
    <r>
      <rPr>
        <sz val="11"/>
        <color indexed="8"/>
        <rFont val="Arial"/>
        <family val="2"/>
      </rPr>
      <t>бюджет:</t>
    </r>
    <r>
      <rPr>
        <b/>
        <sz val="11"/>
        <color indexed="8"/>
        <rFont val="Arial"/>
        <family val="2"/>
      </rPr>
      <t xml:space="preserve"> </t>
    </r>
    <r>
      <rPr>
        <sz val="11"/>
        <color indexed="8"/>
        <rFont val="Arial"/>
        <family val="2"/>
      </rPr>
      <t xml:space="preserve">Общий утвержденный бюджет для осуществления закупок (по категориям 4 и 5) </t>
    </r>
    <r>
      <rPr>
        <b/>
        <i/>
        <sz val="11"/>
        <color indexed="8"/>
        <rFont val="Arial"/>
        <family val="2"/>
      </rPr>
      <t>для всей фазы</t>
    </r>
    <r>
      <rPr>
        <sz val="11"/>
        <color indexed="8"/>
        <rFont val="Arial"/>
        <family val="2"/>
      </rPr>
      <t xml:space="preserve"> гранта. Он не включает сборы, затраты на управление и операционные расходы и т.д.
</t>
    </r>
    <r>
      <rPr>
        <b/>
        <sz val="11"/>
        <color indexed="8"/>
        <rFont val="Arial"/>
        <family val="2"/>
      </rPr>
      <t>Совокупные обязательства:</t>
    </r>
    <r>
      <rPr>
        <sz val="11"/>
        <color indexed="8"/>
        <rFont val="Arial"/>
        <family val="2"/>
      </rPr>
      <t xml:space="preserve"> Общая сумма всех размещенных заказо</t>
    </r>
    <r>
      <rPr>
        <sz val="11"/>
        <rFont val="Arial"/>
        <family val="2"/>
      </rPr>
      <t>в и денежных средств, выделенны</t>
    </r>
    <r>
      <rPr>
        <sz val="11"/>
        <color indexed="8"/>
        <rFont val="Arial"/>
        <family val="2"/>
      </rPr>
      <t xml:space="preserve">х ОР на эти закупки </t>
    </r>
    <r>
      <rPr>
        <b/>
        <i/>
        <sz val="11"/>
        <color indexed="8"/>
        <rFont val="Arial"/>
        <family val="2"/>
      </rPr>
      <t>до</t>
    </r>
    <r>
      <rPr>
        <sz val="11"/>
        <color indexed="8"/>
        <rFont val="Arial"/>
        <family val="2"/>
      </rPr>
      <t xml:space="preserve"> начала отчетного периода, отраженного в панели показателей, </t>
    </r>
    <r>
      <rPr>
        <b/>
        <i/>
        <sz val="11"/>
        <color indexed="8"/>
        <rFont val="Arial"/>
        <family val="2"/>
      </rPr>
      <t>и включая</t>
    </r>
    <r>
      <rPr>
        <sz val="11"/>
        <color indexed="8"/>
        <rFont val="Arial"/>
        <family val="2"/>
      </rPr>
      <t xml:space="preserve"> этот период. В идеале к концу фазы величина бюджета должна соответствовать объему обязательств.
</t>
    </r>
    <r>
      <rPr>
        <b/>
        <sz val="11"/>
        <color indexed="8"/>
        <rFont val="Arial"/>
        <family val="2"/>
      </rPr>
      <t>Совокупные расходы:</t>
    </r>
    <r>
      <rPr>
        <sz val="11"/>
        <color indexed="8"/>
        <rFont val="Arial"/>
        <family val="2"/>
      </rPr>
      <t xml:space="preserve"> Общая сумма фактических расходов по категориям 4 и 5 </t>
    </r>
    <r>
      <rPr>
        <b/>
        <i/>
        <sz val="11"/>
        <color indexed="8"/>
        <rFont val="Arial"/>
        <family val="2"/>
      </rPr>
      <t xml:space="preserve">до </t>
    </r>
    <r>
      <rPr>
        <sz val="11"/>
        <color indexed="8"/>
        <rFont val="Arial"/>
        <family val="2"/>
      </rPr>
      <t>начала отчетного периода, отраженного в панели показателей,</t>
    </r>
    <r>
      <rPr>
        <b/>
        <i/>
        <sz val="11"/>
        <color indexed="8"/>
        <rFont val="Arial"/>
        <family val="2"/>
      </rPr>
      <t xml:space="preserve"> и включая </t>
    </r>
    <r>
      <rPr>
        <sz val="11"/>
        <color indexed="8"/>
        <rFont val="Arial"/>
        <family val="2"/>
      </rPr>
      <t>этот период (оплаченных ОР или разрешенных для оплаты другими учреждениями, такими как ГФ или другими).</t>
    </r>
  </si>
  <si>
    <t>Валюта финансирования гранта (долл. США или евро).</t>
  </si>
  <si>
    <r>
      <t>Утвержденный бюджет, определенный в грантовом соглашении (в отношении категорий 4 и 5 согласно Расширенному финансовому отчету в текущей фазе); финансовые данные ОР (в отношении расходов); данные отде</t>
    </r>
    <r>
      <rPr>
        <sz val="11"/>
        <rFont val="Arial"/>
        <family val="2"/>
      </rPr>
      <t>ла УСЗ (в отнош</t>
    </r>
    <r>
      <rPr>
        <sz val="11"/>
        <color indexed="8"/>
        <rFont val="Arial"/>
        <family val="2"/>
      </rPr>
      <t>ении размещенных заказов и проплаченных средств или финансовых обязательств).</t>
    </r>
  </si>
  <si>
    <r>
      <t xml:space="preserve">Примечание: </t>
    </r>
    <r>
      <rPr>
        <sz val="11"/>
        <color indexed="8"/>
        <rFont val="Arial"/>
        <family val="2"/>
      </rPr>
      <t xml:space="preserve">Категория 6 в ПФО не считается частью бюджета, предназначенной для закупки фармацевтических препаратов. Категория 6 включает несколько видов расходов, которые трудно разделить на составные части или измерить количественно, например, затраты на складское хранение, затраты на распределение продукции (в частности, когда распределение производится министерствами здравоохранения) и прочие затраты, относящиеся к текущим расходам в рамках системы управления закупками (СУЗ).  </t>
    </r>
  </si>
  <si>
    <t xml:space="preserve">Этот показатель демонстрирует разницу между уровнем текущих (или за последний месяц) запасов конкретной продукции (лекарственного препарата в единой комбинации с фиксированными дозами, москитных сеток, диагностических наборов и т.д.) в конкретном объеме, выраженном в месячной потребности (количество месяцев, в течение которых лечение может быть обеспечено имеющимися запасами) всех пациентов, охваченных программой, и резервным или буферным уровнем запасов (также выраженном  в месяцах), рассчитанным на основании программы по заболеванию, данных складской системы или списка основных лекарственных средств в отношении конкретного препарата и конкретной дозировки.  
Разница в месяцах показана в таблице различным цветом:
• КРАСНЫЙ: когда разница имеет отрицательное значение или равна нулю (0); это указывает на то, что имеющийся объем запасов в месяцах ниже установленного резервного уровня или равен ему.
• ЖЕЛТЫЙ: когда объем запасов выше резервного уровня (&gt;0), но ниже 3-х месячного уровня (+3).
• ЗЕЛЕНЫЙ: когда разница находится в пределах между 3 и 18 месяцами.
• ФИОЛЕТОВЫЙ: когда разница равна или больше 18 месяцев, что указывает на возможный избыток запасов.
Для ознакомления с полным описанием методики расчета этого показателя см. Руководство для пользователя.
</t>
  </si>
  <si>
    <t>Количество месяцев.</t>
  </si>
  <si>
    <t>Документация ОР: складские данные</t>
  </si>
  <si>
    <t>Программные показатели (Система оценки результатов реализации)</t>
  </si>
  <si>
    <t>Показатель по ВИЧ /СПИД</t>
  </si>
  <si>
    <t>Определение (на основании Плана мониторинга и оценки)</t>
  </si>
  <si>
    <t>Процент ЛУИН, охваченных программами по профилактике ВИЧ</t>
  </si>
  <si>
    <t>Индикатор  отражает процент ЛУИН, которые получили минимальный пакет услуг (шприцы, иглы, салфетки), презервативы и информационный материал (в виде информационных брошюр или информационных сессий) хотя бы один раз в течение отчетного периода из оценочного числа ЛУИН.</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</si>
  <si>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охваченных минимальным пакетом за отчетный период, включая заключенных ЛУИН; знаменатель: оценочное количество ЛУИН за 2013 г. </t>
  </si>
  <si>
    <t>Отчетная документация организаций - СР (ежеквартально), БД МИС.</t>
  </si>
  <si>
    <t>Процент взрослых и детей, получающих в настоящее время антиретровирусную терапию, от оценочного числа всех взрослых и детей, живущих с ВИЧ</t>
  </si>
  <si>
    <t>Все лица с известным статусом на конец отчетного периода получающие АРТ в соответствии с утвержденным национальным протоколом лечения из оценочного числа ЛЖВ. </t>
  </si>
  <si>
    <t>Индикатор не кумулятивный, состоит из двух частей. Числитель: Число людей, находящихся на АРТ в данный момент (на конец отчетного периода), знаменатель: оценочное число ЛЖВ по Спектруму. </t>
  </si>
  <si>
    <t>Данные РЦ СПИД, ЭС.</t>
  </si>
  <si>
    <t>Процент ЛЖВ, получающих АРТ и достигших неопределяемую вирусную нагрузку (т.е. ≤1000 копий)</t>
  </si>
  <si>
    <t>Индикатор отражает процент ЛЖВ, получающих АРТ и достигших неопределяемую вирусную нагрузку из общего числа ЛЖВ, находящихся на АРТ на конец отчетного периода. </t>
  </si>
  <si>
    <t xml:space="preserve">Индикатор кумулятивный за год, состоит их двух частей. Числитель: Число ЛЖВ, получающих АРТ и достигших неопределяемую вирусную нагрузку, знаменатель: общее число ЛЖВ, находящихся на АРТ на конец отчетного периода. </t>
  </si>
  <si>
    <t>Процент ЛУИН получающих ОЗТ, которые находятся на лечении не менее 6 месяцев после начала лечения </t>
  </si>
  <si>
    <t>Индикатор отражает приверженность/удержание на опиоидной заместительной терапии и охватывает и гражданский, пенитенциарный системы (по стране). </t>
  </si>
  <si>
    <t>Измеряется в процентах, количество людей вступивших в программу ОЗТ в период предыдущий отчетному на  количество людей продолживших терапию в течении 6 месяцев после ее начала. Не кумулятивный.</t>
  </si>
  <si>
    <t>Данные РЦН, ЭРЗПТ</t>
  </si>
  <si>
    <t>Процент ЛУИН, протестированных на ВИЧ и знающих свой результат</t>
  </si>
  <si>
    <t>Процент ЛУИН,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</si>
  <si>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ЛУИН, прошедших тестирование и знающих свои результаты за отчетный период, включая заключенных ЛУИН и клиентов ОЗТ; знаменатель: оценочное количество ЛУИН за 2013 г. </t>
  </si>
  <si>
    <t>Процент заключенных, протестированных на ВИЧ и знающих свой результат</t>
  </si>
  <si>
    <t>Процент заключенных,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</si>
  <si>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 Числитель: Число заключенных, прошедших тестирование на ВИЧ в течение отчетного периода и знающих их результаты.
Знаменатель: фактическое число заключенных. </t>
  </si>
  <si>
    <t>Источником данных являются отчеты суб-получателей.</t>
  </si>
  <si>
    <t>Процент СР охваченных, программами по профилактике ВИЧ</t>
  </si>
  <si>
    <t>Процент СР, которые получили хотя бы один раз минимальный пакет услуг в течение отчетного периода из оценочного числа. Под «минимальным пакетом» понимаются перечисленные ниже услуги: предоставление презервативов, тематических информационных материалов виде брошюр и/или бесед и/или консультирование, и направление на тестирование ВИЧ и/или ИППП и/или прошедшие экспресс-тестирование на ВИЧ.</t>
  </si>
  <si>
    <t xml:space="preserve">Не кумулятивный, данные от СР представляются в абсолютных числах.На уровне ОР осуществляется объединение данных и расчеты в процентах. Числитель: количество охваченных минимальным пакетом за отчетный период, знаменатель: оценочное количество СР за 2013 г. </t>
  </si>
  <si>
    <t>Отчетная документация организаций - СР (ежеквартально), БД МИС</t>
  </si>
  <si>
    <t>Процент СР, протестированных на ВИЧ и знающих свой результат</t>
  </si>
  <si>
    <t>Процент СР,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</si>
  <si>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СР, прошедших тестирование и знающих свои результаты за отчетный период; знаменатель: оценочное количество СР за 2013 г. </t>
  </si>
  <si>
    <t>Процент МСМ охваченных, программами по профилактике ВИЧ</t>
  </si>
  <si>
    <t>Процент МСМ, которые получили хотя бы один раз минимальный пакет услуг в течение отчетного периода. Под «минимальным пакетом» понимаются перечисленные ниже услуги: предоставление презервативов, тематических информационных материалов виде брошюр и/или бесед и/или консультирование, и направление на тестирование ВИЧ и/или ИППП и/или прошедшие экспресс-тестирование на ВИЧ.</t>
  </si>
  <si>
    <t xml:space="preserve">Не кумулятивный, данные от СР представляются в абсолютных числах.На уровне ОР осуществляется объединение данных и расчеты в процентах. Числитель: количество охваченных минимальным пакетом за отчетный период, знаменатель: оценочное количество МСМ за 2013 г. </t>
  </si>
  <si>
    <t>Процент МСМ, протестированных на ВИЧ и знающих свой результат</t>
  </si>
  <si>
    <t>Процент МСМ,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</si>
  <si>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ЛУИН, прошедших тестирование и знающих свои результаты за отчетный период; знаменатель: оценочное количество МСМ за 2013 г. </t>
  </si>
  <si>
    <t>Процент ЛЖВ (включая ППМР), у которых ТБ статус  оценивался в отчетном периоде, из числа доступных</t>
  </si>
  <si>
    <t>Процент ЛЖВ, которым была проведена оценка ТБ статуса в соответствии с национальным клиническим протоколом за отчетный период.</t>
  </si>
  <si>
    <t>Не кумулятивный. Числитель: количество ЛЖВ, которым была проведена оценка ТБ статуса, знаменатель: количество ЛЖВ, вовлеченных в уход по ВИЧ (доступных)</t>
  </si>
  <si>
    <t>Процент ВИЧ-положительных новых и рецидивирующих больных туберкулезом, получающих АРТ во время лечения ТБ</t>
  </si>
  <si>
    <t xml:space="preserve">Процент ВИЧ-положительных новых и рецидивирующих больных туберкулезом, которые начали лечение ТБ в течение отчетного периода, которые уже получают АРТ или начавшие АРТ во время лечения ТБ. </t>
  </si>
  <si>
    <t xml:space="preserve">Не кумулятивный. Числитель: Число ВИЧ-положительных новых и рецидивирующих больных туберкулезом, которые начали лечение ТБ в течение отчетного периода, которые уже получают АРТ или начавшие АРТ во время лечения ТБ.
Знаменатель: Число ВИЧ-положительных новых и рецидивирующих больных туберкулезом, зарегистрированных за отчетный период. </t>
  </si>
  <si>
    <t>Данные РЦ СПИД, программа ЭС.</t>
  </si>
  <si>
    <t>Процент ВИЧ-положительных беременных женщин, получивших АРТ во время беременности</t>
  </si>
  <si>
    <t>Индикатор отражает процент беременных женщин с положительным статусом ВИЧ, которые родили и получили АРТ в период риска ПМР среди общего числа ВИЧ- положительных беременных, родивших за отчетный период.</t>
  </si>
  <si>
    <t>Кумулятивно за год. 
Числитель: Число ВИЧ-положительных беременных женщин, которые родили и получили АРТ в период риска ПМР.
Знаменатель: Число ВИЧ-положительных беременных, фактически родивших в течение отчетного периода.</t>
  </si>
  <si>
    <t>Данные РЦ СПИД, программа ЭС, Спектрум.</t>
  </si>
  <si>
    <t>Показатель по ТБ</t>
  </si>
  <si>
    <t>TCP-1: Количество зарегистрированных случаев всех форм ТБ (в т.ч. бактериологически подтвержденных и клинически диагностированных), включая новые случаи и рецидивы</t>
  </si>
  <si>
    <t xml:space="preserve">Количество всех форм ТБ случаев (бактериологически подтвержденных и клинически диагностированных) зарегистрированных национальными организациями здравоохранения в течение отчетного периода. Включает новые случаи и рецидивы. </t>
  </si>
  <si>
    <t>Измеряется в абсолютных числах  на основании ежеквартальных статистических данных РЦИиЭ НЦФ.</t>
  </si>
  <si>
    <t>Отчетный инструмент  относится к форме ТБ 06, табл. 1. </t>
  </si>
  <si>
    <t>MDR TB-2: Количество бактериологически подтвержденных зарегистрированных ЛУ-ТБ случаев (РУ-ТБ и/или МЛУ-ТБ)</t>
  </si>
  <si>
    <t xml:space="preserve">    Абсолютное количество бактериологически подтвержденных случаев ЛУ РУ ТБ и/или МЛУ/ШЛУ, зарегистрированных за отчетный период.                                      
</t>
  </si>
  <si>
    <t>Отчетный инструмент  относится к форме ТБ 06 У, табл. 1. </t>
  </si>
  <si>
    <t>MDR TB-3: Количество случаев с РУ/МЛУ ТБ, начавших лечение препаратами второго ряда</t>
  </si>
  <si>
    <t>Индикатор включает абсолютное число лабораторно-подтвержденных случаев РУ/МЛУ/ШЛУ ТБ, взятых на лечение преапаратами второго ряда в отчетный период</t>
  </si>
  <si>
    <t>База данных МЛУ-ТБ НЦФ РЦИиЭ</t>
  </si>
  <si>
    <t>MDR TB-7: Процент подтвержденных МЛУ-ТБ случаев, протестированных на чувствительность к фторхинолонам и инъекционным препаратам второго ряда</t>
  </si>
  <si>
    <t>Измеряется количество подтвержденных РУ/МЛУ ТБ случаев, протестированных на чувствительность к любым фторхинолонам и любым инъекционным препаратам второго ряда в отчетный период любым методом (Хайн-тест 2го ряда или фенотипический ТЛЧ). </t>
  </si>
  <si>
    <t>Числитель: Количество подтвержденных РУ/МЛУ ТБ случаев протестированных на чувствительность к фторхинолонам и инъекционным препаратам второго ряда в отчетный период. Знаменатель: Общее количество подтвержденных случаев РУ/МЛУ, зарегистрированных в отчетный период. </t>
  </si>
  <si>
    <t>Отчетный инструмент  относится к форме ТБ 06, табл. 3а и 3б. </t>
  </si>
  <si>
    <t>MDR TB-8: Количество случаев ШЛУ ТБ, взятых на лечение</t>
  </si>
  <si>
    <t>Количество зарегистрипрованных  подтвержденных случаев ШЛУ ТБ, которые начали  назначенное ШЛУ лечение в течение отчетного периода.</t>
  </si>
  <si>
    <t>Измеряется в абсолютных числах  на основании ежеквартальных статистических данных РЦИиЭ НЦФ.</t>
  </si>
  <si>
    <t>TB/HIV-5: Процент зарегистрированных пациентов  (новых случаев и рецидивов), которые имеют задокументированный статус ВИЧ</t>
  </si>
  <si>
    <t>Количество новых случаев и рецидивов, зарегистрированный в отченный период, у которых имеется задокументированный ВИЧ статус</t>
  </si>
  <si>
    <t xml:space="preserve">Числитель: Количество пациентов (новые случаи и рецидивы), зарегистрированные в отчетный период, у которых имеется результат теста на ВМЧ (положительный или отрицательный), записанный в ТБ регистре. Знаменатель: Количество пациентов (новые случаи и рецидивы), зарегистированные в ТБ регистре в течение отчетного периода.  </t>
  </si>
  <si>
    <t>Отчетный инструмент  относится к форме ТБ 06 У, табл. 4. </t>
  </si>
  <si>
    <t>Номер показателя: название (№ в Системе оценки результатов реализации)</t>
  </si>
  <si>
    <t>Показатели должны быть выбраны ОР и членами СКК или Техническим комитетом СКК, см. Систему оценки результатов реализации</t>
  </si>
  <si>
    <t>Система оценки результатов реализации</t>
  </si>
  <si>
    <t>Информация о гранте</t>
  </si>
  <si>
    <t>Страна:</t>
  </si>
  <si>
    <t>Кыргызстан</t>
  </si>
  <si>
    <t>Название гранта:</t>
  </si>
  <si>
    <t>«Эффективный контроль за ВИЧ-инфекцией и туберкулезом в Кыргызской Республике»</t>
  </si>
  <si>
    <t>Грант №</t>
  </si>
  <si>
    <t>KGZ-C-UNDP</t>
  </si>
  <si>
    <t>Компонент:</t>
  </si>
  <si>
    <t>ВИЧ/СПИД/ТБ</t>
  </si>
  <si>
    <t>Общая сумма:</t>
  </si>
  <si>
    <t>Основной реципиент:</t>
  </si>
  <si>
    <t>ПРООН</t>
  </si>
  <si>
    <t>Раунд:</t>
  </si>
  <si>
    <t>Фаза:</t>
  </si>
  <si>
    <t>Дата начала (дд/ммм/гг):</t>
  </si>
  <si>
    <t>Местный агент Фонда:</t>
  </si>
  <si>
    <t>UNOPS</t>
  </si>
  <si>
    <t>Последняя оценка:</t>
  </si>
  <si>
    <t>A2</t>
  </si>
  <si>
    <t>Менеджер портфолио Фонда:</t>
  </si>
  <si>
    <t>Алексей Бобрик</t>
  </si>
  <si>
    <t>Период предоставления отчетной информации</t>
  </si>
  <si>
    <t>Отчетный период</t>
  </si>
  <si>
    <t>P5</t>
  </si>
  <si>
    <t>с:</t>
  </si>
  <si>
    <t>до:</t>
  </si>
  <si>
    <t>Дата ввода информации:</t>
  </si>
  <si>
    <t>Кем подготовлено:</t>
  </si>
  <si>
    <t>Информация об индикаторах</t>
  </si>
  <si>
    <t>Введите данные в ячейки соответствующего цвета</t>
  </si>
  <si>
    <t xml:space="preserve">Информация о финансировании: </t>
  </si>
  <si>
    <t xml:space="preserve">Информация об управлении: </t>
  </si>
  <si>
    <t xml:space="preserve">Информация о программе: </t>
  </si>
  <si>
    <t xml:space="preserve">     Введите финансовые данные в каждую ячейку оранжевого цвета.</t>
  </si>
  <si>
    <t>Валюта финансирования гранта</t>
  </si>
  <si>
    <t>$</t>
  </si>
  <si>
    <t>F1: Бюджет и выплаты Глобальным фондом</t>
  </si>
  <si>
    <t>Выплаты</t>
  </si>
  <si>
    <t>P1</t>
  </si>
  <si>
    <t>P2</t>
  </si>
  <si>
    <t>P3</t>
  </si>
  <si>
    <t>P4</t>
  </si>
  <si>
    <t>P6</t>
  </si>
  <si>
    <t>P7</t>
  </si>
  <si>
    <t>P8</t>
  </si>
  <si>
    <t>P9</t>
  </si>
  <si>
    <t>P10</t>
  </si>
  <si>
    <t>P11</t>
  </si>
  <si>
    <t>P12</t>
  </si>
  <si>
    <t>% Общего объема</t>
  </si>
  <si>
    <t>Бюджет (в $)</t>
  </si>
  <si>
    <t>Общий бюджет</t>
  </si>
  <si>
    <t>Общая сумма выплат</t>
  </si>
  <si>
    <t>F2: Бюджет и фактические расходы согласно задачам гранта</t>
  </si>
  <si>
    <t>Комментарии</t>
  </si>
  <si>
    <t>Профилактика - Работники секс-бизнеса и их клиенты</t>
  </si>
  <si>
    <t>Профилактика - ПИН и их партнеры</t>
  </si>
  <si>
    <t>Профилактика - Другие уязвимые группы населения </t>
  </si>
  <si>
    <t>N/A</t>
  </si>
  <si>
    <t>ППМР</t>
  </si>
  <si>
    <t xml:space="preserve">Лечение, уход и поддержка </t>
  </si>
  <si>
    <t>ТБ/ВИЧ</t>
  </si>
  <si>
    <t>МЛУ-ТБ</t>
  </si>
  <si>
    <t>Укрепление систем сообществ</t>
  </si>
  <si>
    <t xml:space="preserve">Данная задача включает бюджет на  целевые расходы СП- 2-х национальных сетей по ТБ и ВИЧ:  транспортные расходы, связанные с МиО визитами;  зарплата сотрудникам программ.  За отчетный период было израсходовано 123% выделенного бюджета.  При этом имеются неоплаченные контрактные обязательства на 13 280$ на 31 декабря 2020 г. по закупкам планшетов, которые будут оплачены в начале 2021 г после поступления продукции. С учетом обязательств процент освоения бюджета равен 136%. </t>
  </si>
  <si>
    <t>УC3 - Информационные системы здравоохранения и МиО</t>
  </si>
  <si>
    <t xml:space="preserve">Данная задача включает бюджет на:  целевые расходы СП ( РЦН, центров по борьбе со СПИДом, ТБ центры), включая оплату специалистов по контролю качества лабораторных услуг, технических специалистов НТП по реализации гранта ГФ; специалистов по по мониторингу и оценке для обеспечения верификации данных; МиО визиты центров по борьбе со СПИДом.  За отчетный период было израсходовано 137% выделенного бюджета.  При этом имеются остатки по неликвидированным авансам ТБ центров за 4 кв 2020 на 1 468$ на 31 декабря 2020 г. которые будут внесены в систему в начале 2021 г после выплаты ТБ центрами надбавок техническому персоналу за декабрь и последующей сдачи отчетов суб-получателями. С учетом обязательств процент освоения бюджета равен 140%. </t>
  </si>
  <si>
    <t>Управление программой</t>
  </si>
  <si>
    <t xml:space="preserve">Данная задача включает бюджет в основном на административные расходы СП и ОП в рамках реализации проекта, ежегодный аудит СП, модернизация Базы Данных по ТБ, техническую поддержку СП в виде наемных консультантов, закуп USB модемов и расходы на мобильный интернет для Базы Данных по ТБ, содержание камер наблюдения для РЦН, ежегодные встречи СП по компоненту ТБ, тренинги по адвокации и правам человека, МиО визиты СП, а также административные расходы в рамках Matching Funds (MF).  За отчетный период было израсходовано 72% выделенного бюджета.  При этом имеются неоплаченные  обязательства на 375 620$ на 31 декабря 2020 г.  которые будут оплачены в начале 2021 г.  С учетом обязательств процент освоения бюджета равен 95%. Данные обязательства в основном состоят из GMS по всем неоплаченным обязательства на конец 2020г. </t>
  </si>
  <si>
    <t xml:space="preserve">Профилактика - заключенные </t>
  </si>
  <si>
    <t>Данная задача включает бюджет на:- закупки  тестов, антисептических салфеток, а также соответствующие затраты на управление поставками- целевые расходы РЦН, включая з/п социальных и аутрич работников 13 ПОШ в тюрьмах, расходы с МиО визитами. За отчетный период было израсходовано 81% выделенного бюджета согласно фактическим потребностям.</t>
  </si>
  <si>
    <t>Профилактика - МСМ и трансгендерные лица</t>
  </si>
  <si>
    <t>Устранение правовых барьеров к доступу</t>
  </si>
  <si>
    <t xml:space="preserve">Данная задача включает бюджет на: мероприятия по Matching Funds, которые были перенесы на 2020, - целевые расходы по Проекту «Уличные юристы»,  на базе НПО - оплата аутрич-работников, обучения аутрич-работников и регулярных рабочих встреч с консультантами:- форумы  для общин (ЛЖВ, ПИН,СР, МСМ);  За отчетный период было израсходовано 100% выделенного бюджета.  При этом имеются неоплаченные контрактные обязательства на 11 870$ на 31 декабря 2020 г. С учетом обязательств процент освоения бюджета равен 103%. Обязательства относятся к технической помощи консультантов. </t>
  </si>
  <si>
    <t>COVID-19</t>
  </si>
  <si>
    <t>Всего:</t>
  </si>
  <si>
    <t>F3: Выплаты и расходы</t>
  </si>
  <si>
    <t>До отчетного периода</t>
  </si>
  <si>
    <t>Текущий отчетный период</t>
  </si>
  <si>
    <t>Выплачено Глобальным фондом</t>
  </si>
  <si>
    <t>Расходы и платежи ОР</t>
  </si>
  <si>
    <t>Выплачено субреципиентам</t>
  </si>
  <si>
    <t>Расходы субреципиентов</t>
  </si>
  <si>
    <t>F4: Последний отчетный и платежный цикл ОР</t>
  </si>
  <si>
    <t>Последняя выплата средств: количество календарных дней</t>
  </si>
  <si>
    <t>Расчетные (дни)</t>
  </si>
  <si>
    <t>Фактические (дни)</t>
  </si>
  <si>
    <t xml:space="preserve">Сколько дней понадобилось для подачи ИОР/ЗПС в офис МАФ </t>
  </si>
  <si>
    <t xml:space="preserve">Спустя сколько дней ОР получил платеж </t>
  </si>
  <si>
    <t>н/п</t>
  </si>
  <si>
    <t>Спустя сколько дней суб-реципиенты получили платежи</t>
  </si>
  <si>
    <t>Информация об управлении:</t>
  </si>
  <si>
    <t>Введите данные об управлении в каждую ячейку голубого цвета.</t>
  </si>
  <si>
    <t>M1: Статус Предварительных условий (ПУ) и Действий с установленным сроком исполнения (ДУС)</t>
  </si>
  <si>
    <t>Выполненные</t>
  </si>
  <si>
    <t>Невыполненные, но непросроченные</t>
  </si>
  <si>
    <t>Невыполненные и просроченные</t>
  </si>
  <si>
    <t>Всего</t>
  </si>
  <si>
    <t>Предварительные условия (ПУ) ВИЧ/СПИД</t>
  </si>
  <si>
    <t>Действия с установленным сроком исполнения (ДУС) ВИЧ/СПИД</t>
  </si>
  <si>
    <t>Предварительные условия (ПУ) ТБ</t>
  </si>
  <si>
    <t>Действия с установленным сроком исполнения (ДУС) ТБ</t>
  </si>
  <si>
    <t>M2: Статус ключевых руководящих должностей в структуре ОР</t>
  </si>
  <si>
    <t>Отдел управления проектом</t>
  </si>
  <si>
    <t>Запланировано</t>
  </si>
  <si>
    <t>Заполнено</t>
  </si>
  <si>
    <t>Вакантно</t>
  </si>
  <si>
    <t>ВИЧ/СПИД</t>
  </si>
  <si>
    <t>ТБ</t>
  </si>
  <si>
    <t>Общее (оба компонента)</t>
  </si>
  <si>
    <t xml:space="preserve">M3: Контрактные соглашения (СР) </t>
  </si>
  <si>
    <t>Определеные</t>
  </si>
  <si>
    <t>Прошедшие оценку</t>
  </si>
  <si>
    <t>Одобренные</t>
  </si>
  <si>
    <t>Подписавшие соглашение</t>
  </si>
  <si>
    <t>Получающие финансирование</t>
  </si>
  <si>
    <t>СР ВИЧ/СПИД</t>
  </si>
  <si>
    <t>СР ТБ</t>
  </si>
  <si>
    <t>M4: Количество полных отчетов, полученных к установленному сроку</t>
  </si>
  <si>
    <t>Ожидаемое кол-во</t>
  </si>
  <si>
    <t>Полученное кол-во</t>
  </si>
  <si>
    <t>Незавершенные</t>
  </si>
  <si>
    <t>Отчеты ССР для СР ВИЧ/СПИД</t>
  </si>
  <si>
    <t>Отчеты СР для ОР ВИЧ СПИД</t>
  </si>
  <si>
    <t>Отчеты ССР для СР ТБ</t>
  </si>
  <si>
    <t>Отчеты СР для ОР ТБ</t>
  </si>
  <si>
    <t>M5: Бюджет и закупки товаров медицинского назначения, медицинского оборудования,  лекарственных средств и фармацевтических препаратов</t>
  </si>
  <si>
    <t>Утвержденный бюджет*</t>
  </si>
  <si>
    <t>Финансовые обязательства</t>
  </si>
  <si>
    <t>Расходы</t>
  </si>
  <si>
    <t>Совокупный утвердженный бюджет*</t>
  </si>
  <si>
    <t>Общий объем финансовых обязательств</t>
  </si>
  <si>
    <t>Общий объем расходов</t>
  </si>
  <si>
    <t>* Включает только категории 4 и 5 ПФО (товары медицинского назначения и медицинское оборудование, лекарственные средства и фармацевтические препараты)</t>
  </si>
  <si>
    <t>M6: Разница между текущим и резервным запасами</t>
  </si>
  <si>
    <t>Компонент</t>
  </si>
  <si>
    <t>Продукция</t>
  </si>
  <si>
    <t>(1)
Кол-во таблеток на 1 пациента в день
(см. Национальный протокол по лечению)</t>
  </si>
  <si>
    <t>(2 = 1 x 30)
Месячный курс лечения 
(кол-во таблеток на 1 пациента на 30 дней)</t>
  </si>
  <si>
    <t>(3)
Общее кол-во пациентов, получающих лечение</t>
  </si>
  <si>
    <t>(4 = 2 x 3)
Общее кол-во таблеток, необходимое для всех пациентов на 1месяц</t>
  </si>
  <si>
    <t>(5)
Текущие запасы на центральном складе (с действительным сроком годности на ближайшие 3 месяца)</t>
  </si>
  <si>
    <t>(6 = 5 / 4)
Уровень запасов, выраженный в кол-ве месяцев лечения для всех имеющихся пациентов</t>
  </si>
  <si>
    <t xml:space="preserve">(7)
Уровень резервного запаса
(выраженный в месяцах по странам) </t>
  </si>
  <si>
    <t>(8 = 6 - 7)
Разница между текущим и резерным запасами</t>
  </si>
  <si>
    <t>РЦ СПИД\НЦФ</t>
  </si>
  <si>
    <t>ВИЧ / СПИД</t>
  </si>
  <si>
    <t>3TC 150 mg</t>
  </si>
  <si>
    <t>ABC 300 mg</t>
  </si>
  <si>
    <t>FDC (AZT+3TC) 300/150 mg</t>
  </si>
  <si>
    <t>EFV 200</t>
  </si>
  <si>
    <t>EFV 600</t>
  </si>
  <si>
    <t>LPV/r 200/50 mg</t>
  </si>
  <si>
    <t>NVP 200</t>
  </si>
  <si>
    <t>TDF 300 mg</t>
  </si>
  <si>
    <t>FDC (TDF/FTC) 300/200 mg</t>
  </si>
  <si>
    <t>FDC  (TDF/FTC/EFV) 300/200/600 mg</t>
  </si>
  <si>
    <t>FDC (ABC/3TC) 600/300 mg</t>
  </si>
  <si>
    <t>FDC (ABC/3TC) 60/30 mg</t>
  </si>
  <si>
    <t>NVP 50</t>
  </si>
  <si>
    <t>LPV/r_сироп_80</t>
  </si>
  <si>
    <t>LPV/r 40/10 mg</t>
  </si>
  <si>
    <t>FDC (AZT+3TC) 60/30</t>
  </si>
  <si>
    <t>DTG 50 mg</t>
  </si>
  <si>
    <t>DRV 600mg</t>
  </si>
  <si>
    <t>FDC (TDF/FTC/DTG) 300/200/50 mg</t>
  </si>
  <si>
    <t>ATV/r 300mg</t>
  </si>
  <si>
    <t>Capreomycin  1000mg  Порошок для инъекций</t>
  </si>
  <si>
    <t>Kanamycin  1000mg  Порошок для инъекций</t>
  </si>
  <si>
    <t>Amikacin 500 mg/2 ml инъекции</t>
  </si>
  <si>
    <t>Amoxicillin + Potassium clavulanate  875mg+125mg  Таблетки в оболочке</t>
  </si>
  <si>
    <t>Cycloserine  250mg  Капсулы</t>
  </si>
  <si>
    <t>Ethambutol  400mg  Таблетки в оболочке</t>
  </si>
  <si>
    <t>Isoniazid  300mg  Таблетки без оболочки</t>
  </si>
  <si>
    <t>Levofloxacin  250mg  Таблетки в оболочке</t>
  </si>
  <si>
    <t>Moxifloxacin  400mg  Таблетки в оболочке</t>
  </si>
  <si>
    <t>P-aminosalicylate sodium salt  4000mg  Powder/Sachet</t>
  </si>
  <si>
    <t>Protionamide   250mg  Таблетки в оболочке</t>
  </si>
  <si>
    <t>Rifampicin  150mg  Таблетки в оболочке</t>
  </si>
  <si>
    <t>Pyrazinamide  400mg  Таблетки без оболочки</t>
  </si>
  <si>
    <t>Клофаземин 100 мг</t>
  </si>
  <si>
    <t>Имипенем500/Циластатин 500</t>
  </si>
  <si>
    <t>Линезолид 600 мг</t>
  </si>
  <si>
    <t>Бедаквилин 100 мг</t>
  </si>
  <si>
    <t>Деламанид 50 мг</t>
  </si>
  <si>
    <t>Информация о программе: ВИЧ/СПИД</t>
  </si>
  <si>
    <t xml:space="preserve">     Введите данные о реализации программы в каждую ячейку желтого цвета.</t>
  </si>
  <si>
    <t>Код</t>
  </si>
  <si>
    <t>Связаны напрямую?</t>
  </si>
  <si>
    <t>Топ 10</t>
  </si>
  <si>
    <t>с текущим грантом</t>
  </si>
  <si>
    <t>Целевой показатель</t>
  </si>
  <si>
    <t>Достигнуто </t>
  </si>
  <si>
    <t>Процент ЛЖВ, получающих АРТ и достигших неопределяемую вирусную нагрузку (т.е. ≤1000 копий)</t>
  </si>
  <si>
    <t>N\A</t>
  </si>
  <si>
    <t>Ч:150
З:250
%:60</t>
  </si>
  <si>
    <t>Ч:160
З:255
%:62,7</t>
  </si>
  <si>
    <t>Ч:169
З:260
%:65</t>
  </si>
  <si>
    <t>Ч:178
З:265
%:67</t>
  </si>
  <si>
    <t>Ч:77
З:140
%:55</t>
  </si>
  <si>
    <t>Ч:56
З:99
%:56,6</t>
  </si>
  <si>
    <t>Ч:58
З:107
%:54,2</t>
  </si>
  <si>
    <t>Ч:55
З:98
%:56</t>
  </si>
  <si>
    <t>Ч: 2800
З: 8300
%: 33.7</t>
  </si>
  <si>
    <t>Ч: 2975
З: 8300
%: 35,8</t>
  </si>
  <si>
    <t>Ч: 3400
З: 8300
%: 40,9</t>
  </si>
  <si>
    <t>Ч: 2865
З: 8690
%: 32.9</t>
  </si>
  <si>
    <t>Ч: 2404
З: 7592
%: 31,7</t>
  </si>
  <si>
    <t>Ч: 2892
З: 7079
%: 40,9</t>
  </si>
  <si>
    <t>Ч: 2902
З: 7024
%: 41,3</t>
  </si>
  <si>
    <t>Ч:4970
З: 7103
%: 69.9</t>
  </si>
  <si>
    <t>Ч:5148
З: 7103
%: 72,4</t>
  </si>
  <si>
    <t>Ч:5325
З: 7103
%: 74,9</t>
  </si>
  <si>
    <t>Ч:5503
З: 7103
%: 77,4</t>
  </si>
  <si>
    <t>Ч:4359
З: 7103
%: 61.4</t>
  </si>
  <si>
    <t>Ч:3604
З: 7103
%: 50,7</t>
  </si>
  <si>
    <t>Ч:3782
З: 7103
%: 53,2</t>
  </si>
  <si>
    <t>Ч:3481
З: 7103
%: 49</t>
  </si>
  <si>
    <t xml:space="preserve"> Топ 10</t>
  </si>
  <si>
    <t>Ч: 6700
З: 11692
%: 57.3</t>
  </si>
  <si>
    <t>Ч: 7980
З: 11692
%: 68,2</t>
  </si>
  <si>
    <t>Ч: 9260
З: 11692
%: 79</t>
  </si>
  <si>
    <t>Ч: 10100
З: 11692
%: 85</t>
  </si>
  <si>
    <t>Ч: 8503
З: 11692
%:72.7</t>
  </si>
  <si>
    <t>Ч: 9606
З: 11692
%:82,1</t>
  </si>
  <si>
    <t>Ч: 9565
З: 11692
%:81,8</t>
  </si>
  <si>
    <t>Ч: 10039
З: 11692
%:85,8</t>
  </si>
  <si>
    <t>Ч: 7313
З: 25000
%: 29.2</t>
  </si>
  <si>
    <t>Ч: 7875
З: 25000
%: 31,5</t>
  </si>
  <si>
    <t>Ч: 8437
З: 25000
%: 33,7</t>
  </si>
  <si>
    <t>Ч: 8576
З: 25000
%: 34.3</t>
  </si>
  <si>
    <t>Ч: 8464
З: 25000
%: 33,9</t>
  </si>
  <si>
    <t>Ч: 8171
З: 25000
%: 32,7</t>
  </si>
  <si>
    <t>Ч: 6106
З: 25000
%: 24,4</t>
  </si>
  <si>
    <t>Ч:2237
З: 7103
%: 31.5</t>
  </si>
  <si>
    <t>Ч:2395
З: 7103
%: 33.7</t>
  </si>
  <si>
    <t>Ч:2395
З: 7103
%: 33,7</t>
  </si>
  <si>
    <t>Ч:2555
З: 7103
%: 35,9</t>
  </si>
  <si>
    <t>Ч:2218
З: 7103
%: 31.2</t>
  </si>
  <si>
    <t>Ч:1969
З: 7103
%: 27,7</t>
  </si>
  <si>
    <t>Ч:1433
З: 7103
%: 20,2</t>
  </si>
  <si>
    <t>Ч:1588
З: 7103
%: 22,3</t>
  </si>
  <si>
    <t>Ч: 2793
З: 11692
%: 23.8</t>
  </si>
  <si>
    <t>Ч: 4165
З: 11692
%: 35,6</t>
  </si>
  <si>
    <t>Ч: 4920
З: 11692
%: 42</t>
  </si>
  <si>
    <t>Ч: 3419
З: 11692
%: 29.2</t>
  </si>
  <si>
    <t>Ч: 4420
З: 11692
%: 37,8</t>
  </si>
  <si>
    <t>Ч: 3972
З: 11692
%: 33,9</t>
  </si>
  <si>
    <t>Ч: 3125
З: 11692
%: 26,7</t>
  </si>
  <si>
    <t>Процент ЛЖВ (включая ППМР), у которых ТБ статус оценивался в отчетном периоде, из числа доступных</t>
  </si>
  <si>
    <t xml:space="preserve"> с текущим грантом</t>
  </si>
  <si>
    <t>Таблица обновляется автоматически. Данные в эти ячейки не вводятся</t>
  </si>
  <si>
    <t>Информация о программе: ТБ</t>
  </si>
  <si>
    <t>Р1</t>
  </si>
  <si>
    <t>Р2</t>
  </si>
  <si>
    <t>да</t>
  </si>
  <si>
    <t>Достигнуто</t>
  </si>
  <si>
    <t xml:space="preserve">MDR TB-2: Количество бактериологически подтвержденных зарегистрированных ЛУ-ТБ случаев (РУ-ТБ и/или МЛУ-ТБ)		</t>
  </si>
  <si>
    <t xml:space="preserve">MDR TB-3: Количество случаев с РУ/МЛУ ТБ, начавших лечение препаратами второго ряда		</t>
  </si>
  <si>
    <t xml:space="preserve">MDR TB-8: Количество случаев ШЛУ ТБ, взятых на лечение		</t>
  </si>
  <si>
    <t>Грант №:</t>
  </si>
  <si>
    <t>Дата начала:</t>
  </si>
  <si>
    <t>Общ. финансирование:</t>
  </si>
  <si>
    <t>Отчетный период:</t>
  </si>
  <si>
    <t>дo:</t>
  </si>
  <si>
    <t>Последняя оценка</t>
  </si>
  <si>
    <t>Портфолио Менеджер  Фонда:</t>
  </si>
  <si>
    <t>Кем подготовлен:</t>
  </si>
  <si>
    <t>Дата подготовки отчета:</t>
  </si>
  <si>
    <t>Финансовые показатели</t>
  </si>
  <si>
    <t>Комментарии:</t>
  </si>
  <si>
    <t xml:space="preserve">ГФ в отчетном периоде произвел выплату двумя траншами на общую сумму 1 448 431$. Итого всего было получено от ГФ 25 735 625$ за весь период, что составляет 99% от кумулятивного бюджета </t>
  </si>
  <si>
    <t xml:space="preserve">В отчетном периоде ГФ произвел выплату согласно утвержденного годового графика выплат.
Расходы ОП составили 9 114 391$, включая сумму финансовых обязательств, в основном, по закупкам товаров медицинского назначения и медицинского оборудования, лекарственных средств и фармацевтических препаратов, GMS  на 31 декабря 2021 в 1 248 364$. Итого за текущий период было освоено 88% выделенных средств на ОП. В текущем периоде ПРООН произвел выплаты 33 СП  в срок на общую сумму в 1 200 679$ по запросу от СП в рамках 39 подписанных Соглашений и бюджетов. </t>
  </si>
  <si>
    <t xml:space="preserve">Расходы  связаны с обеспечением всех направлений деятельности программы по задачам. За отчетный период было израсходовано  89% выделенного бюджета согласно фактическим потребностям. При этом на конец отчетного периода имеются финансовые обязательства на 1 273 720$, с учетом которых освоение будет 101%. </t>
  </si>
  <si>
    <t>В отчетном периоде ОП подготовил и направил только ИОР в ГФ и офис МАФ на 14 дней позже в виду одновременной подготовки ОП бюджета по COVID-19 и работы над заявкой на новое финансирование на период 2021-2023. Запроса на оплату в данном отчете не требовалось, т.к. за полгода предоставляется только программный отчет.</t>
  </si>
  <si>
    <t>Совокупный бюджет</t>
  </si>
  <si>
    <t>Совокупные расходы</t>
  </si>
  <si>
    <t>Показатели по управлению</t>
  </si>
  <si>
    <t xml:space="preserve">По обоим компонентам предварительных условий (ПУ) нет согласно письму от ГФ по результатам работы за 1-е полугодие 2018 года.  </t>
  </si>
  <si>
    <t xml:space="preserve">По ВИЧ\ТБ  гранту всего 22  штатных позиции, из них 4 - по компоненту ВИЧ,  2 - по компоненту ТБ.,  оставшиеся  16   относятся к обоим компонентам, из них было заполнено 13, таким образом,  19 штатных позиций было заполнено, 3 вакантно (2 финансовых специалиста, 1 позиция менеджера по закупкам) </t>
  </si>
  <si>
    <t>По компоненту ВИЧ -  реализацию программы осуществляли всего 22 Суб-получателя в рамках 28 СП-Соглашений, по всем Соглашениям СП получали финансирование. 
По компоненту ТБ: По грантовому соглашению в рамках ТБ компонента планировалось три СП: НЦФ, под управлением которого должны были  работать все ОЦБТ и ГСИН, 1 НПО по предоставлению лечения на дому и 1 Национальная Сеть по ТБ. По запросу НЦФ,  было принято решение заключить прямые соглашения со всеми областными центрами по борьбе с туберкулезом, таким образом вместо 1 СР фактически вовлечены 9 центров по борьбе с ТБ.В отчетном периоде  в реализацию гранта были вовлечены 2 неправительственные организации.  По всем 11 Соглашениям СП получали финансирование.</t>
  </si>
  <si>
    <t>Комментарии по ВИЧ:</t>
  </si>
  <si>
    <t>По компоненту ВИЧ -  28 из 28 ожидаемых программных отчетов СП были получены своевременно,  они  были проверены, доработаны СП и приняты в установленные сроки.
По компоненту   ТБ: Все 11 СП представили программные отчеты согласно установленным срокам,были проверены, доработаны СП и приняты в установленные сроки. </t>
  </si>
  <si>
    <t>Медикаменты и ИМН закуплены согласно потребности на 2020 год. В расчетах потребности учтены текущий запас, ожидаемые поставки и наличие бюджета</t>
  </si>
  <si>
    <t>Комментарии по ТБ:</t>
  </si>
  <si>
    <t>Лекарственные средства и продукты медицинского назначения</t>
  </si>
  <si>
    <t>Уровень запасов, выраженный в месяцах лечения для всех имеющихся пациентов</t>
  </si>
  <si>
    <t xml:space="preserve">Уровень резервных запасов в месяцах </t>
  </si>
  <si>
    <t>Разница между имеющимся и безопасным уровнем запасов</t>
  </si>
  <si>
    <t>ATV 300mg</t>
  </si>
  <si>
    <t>Метадон</t>
  </si>
  <si>
    <t>Картриджи (CD 4)</t>
  </si>
  <si>
    <t>Картриджи (Вирусная нагрузка)</t>
  </si>
  <si>
    <t>Экспресс тестирование (по околодесновой жидкости)</t>
  </si>
  <si>
    <t>Genexpert картриджи</t>
  </si>
  <si>
    <t>Raiting</t>
  </si>
  <si>
    <t>Valor</t>
  </si>
  <si>
    <t>Программные показатели по ВИЧ/СПИД</t>
  </si>
  <si>
    <t>Процент ЛУИН, охваченных программами по  профилактике ВИЧ</t>
  </si>
  <si>
    <t>Комментрии:</t>
  </si>
  <si>
    <t>Показатели</t>
  </si>
  <si>
    <t>0% - 59%</t>
  </si>
  <si>
    <t>60% - 89%</t>
  </si>
  <si>
    <t>&gt; 90%</t>
  </si>
  <si>
    <t>Замечания</t>
  </si>
  <si>
    <t>min</t>
  </si>
  <si>
    <t>max</t>
  </si>
  <si>
    <t>Rating</t>
  </si>
  <si>
    <t>Программные показатели по ТБ</t>
  </si>
  <si>
    <t xml:space="preserve">В течение последних лет наблюдается устойчивое снижение числа зарегистрированных случаев ТБ приблизительно на 5%. Однако в 2020 году в связи с пандемией COVID-19 и политической ситуацией, обращаемость в медицинские организации существенно снизилась. Во 2-3 кварталах 2020 года число зарегистрированных случаев сократилось на 30%, целевой показатель дсотигнут только на 51%. </t>
  </si>
  <si>
    <t>Замечания и комментарии</t>
  </si>
  <si>
    <t xml:space="preserve">НЦФ отчитался о 1743 ТБ случаях, зарегистрированных во 2-3 кварталах 2020 года, в т.ч. 1488 новых случаев и 255 рецидивов, 1042 бактериологически подтвержденных и 701 клинически диагностированных. 23 случая были зарегистрированы в пенитенциарной системе. Целевой показатель был достигнут только на 51%. Основная причина низкого достижения то, что вспышка   COVID-19 пришлась на этот отчетный период. Чрезвычайное Положение было объявлено в марте 2020 года и длилось до 11 мая 2020 года, пик вспышки, пришелся на конец июня 2020 года. Все эти факторы: запрет или ограничения в передвижении населения,  связанные с COVID-19 страхи и стигма, перегруженная система здравоохранения, препятствовала обращениям за медицинской помощью. Согласно опросу, проведенному ПРООН среди медицинских работников в мае 2020 года, спрос на диагностику, консультирование и лечение ТБ и ВИЧ в этот период снизился. В связи с этим, количество ТБ случаев, выявленных в этот период, существенно сократилось.  </t>
  </si>
  <si>
    <t xml:space="preserve">НЦФ отчитался за 365 РУ/МЛУ/ШЛУ случаев, зарегистрированных во 2-3 кв 2020 года. Среди 375 случаев 12 были зарегистрированы в пенитенциарной системе и 363 - в гражданском секторе. Индикатор выполнен на 50%. Причины снижения в числе выявленных и зарегистрированных случаев объяснены выше. ПРООН провела верификацию данных по этому индикатору в 4 из 9 областных ТБ центров: из 150 случаев РУ/МЛУ/ШЛУ ТБ, включенных в отчет НЦФ, 146 имели бактериологическое подтверждение РУ-ТБ в течение отчетного периода   (GXpert, LPA, МЖИТ или Л-Й), разница между случаями, включенными в отчет, и подтвержденными случаями составляет только 4%. Эти 6 случаев были исключены из отчета. Таким образом, общее число РУ/МЛУ/ШЛУ случаев, зарегистрированных во 2-3 кв 2020 года, составило 369, индикатор выполнен только на 50%.  </t>
  </si>
  <si>
    <t xml:space="preserve">В течение отчетного периода 342 РУ/МЛУ ТБ случая были взяты на лечение, в т.ч. 329 бактериологически подтвержденных и 13 клинически диагностированных. Это число включает 10 случаев из пенитенциарной системы и 319 из гражданского сектора. Охват лечением составил 88% (329 из 342 зарегистрированных случаев), что несколько выше, чем в предыдущий отчетный период. ПРООН провела верификацию этого индикатора в 4 из 9 региональных ТБ центров, из 126 случаев, взятых на лечение и вошедших в отчет НЦФ, 124 имели бактериологическое  подтверждение в отчетном периоде (GXpert, LPA, МЖИТ или Л-Й), разница между случаями составляет 2%. Эти 2 случая были исключены из отчета. Таким образом, общее число случаев РУ/МЛУ/ШЛУ ТБ, взятых на лечение ПВР во 2-3 кв 2020 года составило 327 (10 случаев из пенитенциарной системы и 317 из гражданского сектора), целевой показатель достигнут на 44%.  </t>
  </si>
  <si>
    <t>Согласно отчету НЦФ, 289 из 375 зарегистрированных случаев РУ/МЛУ были протестированы на устойчивость в препаратам второго ряда (77%). Выполнение индикатора составило 103%. Система транспортировки паталогического материала, внедренная в 2019 году, не прерывала свою работу в условиях ЧП и вспышки СOVID-19; все выявленные бактериологически подтвержденные случаи ТБ имели доступ к полной диагностике ТБ в этот период, для некоторых из этих случаев ТЛЧ было не информативно (контаминация, пророст). Охват ТЛЧ к ПВР был улучшен заметно в южном регионе по сравнению с предыдущим отчетным периодом: в Баткенской области с 64% до 100%, в Джалал-Абадской области с 78% до 83%, в Ошской области с 60% до 72%.</t>
  </si>
  <si>
    <t xml:space="preserve">Общее количество ШЛУ случаев, зарегистрированных в отчетном периоде составило 29, и 21 из них были взяты на лечение (72%). Целевой показатель выполнен на 32%. Внедрение этого индикатора зависит от трех ключевых факторов: общего количества зарегистрированных случаев ТБ, охвата ТЛЧ среди них, и доступа к препаратам для лечения ШЛУ. В течение отчетного периода общее количество зарегистрированных ТБ случаев снизилось на 30% (см.Индикатор TCP-1(M)), в то время как охват ТЛЧ к ППР и ПВР улучшился, весь период страна имела в достаточном запасе все препараты для лечения ШЛУ ТБ. Согласно отчету НЦФ, большинство новых ШЛУ случаев начинают лечение незамедлительно, но некоторые пациенты, имеющие несколько эпизодов лечения, в т.ч. ШЛУ, откладывают лечение по ряду причин. Кейс-менеджеры регулярно контактируют с ШЛУ пациентами, чтобы мотивировать их на лечение и начать лечение. ПРООН будет и дальше поддерживать меры, предпринимаемые НЦФ для улучшения выявления ТБ. </t>
  </si>
  <si>
    <t xml:space="preserve"> Тесты на ВИЧ доступны по всей стране. В течение отчентого периода из 1743 новых случаев и рецидивов, 1646 были протестированы на ВИЧ (94%). 54 (3%) из них имеют положительный ВИЧ результат,  40 (74%) были взяты на лечение. </t>
  </si>
  <si>
    <t>Рекомендации</t>
  </si>
  <si>
    <t>Осваиваются ли все средства и расходуются ли они согласно бюджету?</t>
  </si>
  <si>
    <t>Заключительные комментарии</t>
  </si>
  <si>
    <t>F1</t>
  </si>
  <si>
    <t>F2</t>
  </si>
  <si>
    <t>F3</t>
  </si>
  <si>
    <t>F4</t>
  </si>
  <si>
    <t>Осуществляются ли закупки и набор персонала согласно графику?</t>
  </si>
  <si>
    <t>M1</t>
  </si>
  <si>
    <t>M2</t>
  </si>
  <si>
    <t>M3</t>
  </si>
  <si>
    <t>M4</t>
  </si>
  <si>
    <t>M5</t>
  </si>
  <si>
    <t>M6</t>
  </si>
  <si>
    <t>Достигаются ли технические целевые показатели?</t>
  </si>
  <si>
    <t>Программа</t>
  </si>
  <si>
    <t>P1 - тенденция</t>
  </si>
  <si>
    <t>P2 - тенденция</t>
  </si>
  <si>
    <t>P3 - тенденция</t>
  </si>
  <si>
    <t>Решения и действия</t>
  </si>
  <si>
    <t>Какой общий статус реализации этого гранта?</t>
  </si>
  <si>
    <t>Основные рекомендации Комитета по надзору</t>
  </si>
  <si>
    <t>Решение СКК</t>
  </si>
  <si>
    <t>Срок</t>
  </si>
  <si>
    <t>Ответственное лицо</t>
  </si>
  <si>
    <t>Запланированные действия/Предыдущий период</t>
  </si>
  <si>
    <t>Каково общее состояние действий, осуществленных за предыдущий период?</t>
  </si>
  <si>
    <t>Предпринятые действия</t>
  </si>
  <si>
    <t>Дата</t>
  </si>
  <si>
    <t>Предыдущий отчетный период</t>
  </si>
  <si>
    <t>Set-up = List of validation for Grant Detail page</t>
  </si>
  <si>
    <t>Component</t>
  </si>
  <si>
    <t>Currency</t>
  </si>
  <si>
    <t>Round</t>
  </si>
  <si>
    <t>Phase</t>
  </si>
  <si>
    <t>Period</t>
  </si>
  <si>
    <t>LFA</t>
  </si>
  <si>
    <t>Medicaments</t>
  </si>
  <si>
    <t>Countries</t>
  </si>
  <si>
    <t>Пожалуйста выберите</t>
  </si>
  <si>
    <t>Раунд 1</t>
  </si>
  <si>
    <t>Фаза 1</t>
  </si>
  <si>
    <t>A1</t>
  </si>
  <si>
    <t>CA (Crown Agents)</t>
  </si>
  <si>
    <t>Изониазид</t>
  </si>
  <si>
    <t>Афганистан</t>
  </si>
  <si>
    <t>МАЛЯРИЯ</t>
  </si>
  <si>
    <t>€</t>
  </si>
  <si>
    <t>Раунд 2</t>
  </si>
  <si>
    <t>Фаза 2</t>
  </si>
  <si>
    <t>DEL (Deloitte)</t>
  </si>
  <si>
    <t>Этамбутол</t>
  </si>
  <si>
    <t>Албания</t>
  </si>
  <si>
    <t>Раунд 3</t>
  </si>
  <si>
    <t>RCC</t>
  </si>
  <si>
    <t>B1</t>
  </si>
  <si>
    <t>DTT (DTT Emerging Markets)</t>
  </si>
  <si>
    <t>Рифампицин</t>
  </si>
  <si>
    <t>Алжир</t>
  </si>
  <si>
    <t>Раунд 4</t>
  </si>
  <si>
    <t>B2</t>
  </si>
  <si>
    <t>FIN (Finconsult)</t>
  </si>
  <si>
    <t>Пиразинамид</t>
  </si>
  <si>
    <t>Ангола</t>
  </si>
  <si>
    <t>УСЗ</t>
  </si>
  <si>
    <t>Раунд 5</t>
  </si>
  <si>
    <t>C</t>
  </si>
  <si>
    <t>GT (Grant Thornton)</t>
  </si>
  <si>
    <t>RDT</t>
  </si>
  <si>
    <t>Аргентина</t>
  </si>
  <si>
    <t>Раунд 6</t>
  </si>
  <si>
    <t>H-C (Hodar-Conseil)</t>
  </si>
  <si>
    <t>NVP</t>
  </si>
  <si>
    <t>Армения</t>
  </si>
  <si>
    <t>Раунд 7</t>
  </si>
  <si>
    <t>KPMG (KPMG)</t>
  </si>
  <si>
    <t>3TC</t>
  </si>
  <si>
    <t>Азербайджан</t>
  </si>
  <si>
    <t>Раунд 8</t>
  </si>
  <si>
    <t>MSCI (MSCI)</t>
  </si>
  <si>
    <t>D4T</t>
  </si>
  <si>
    <t>Бангладеш</t>
  </si>
  <si>
    <t>Раунд 9</t>
  </si>
  <si>
    <t>PwC (PricewaterhouseCoopers)</t>
  </si>
  <si>
    <t>AZT</t>
  </si>
  <si>
    <t>Беларусь</t>
  </si>
  <si>
    <t>Раунд 10</t>
  </si>
  <si>
    <t xml:space="preserve">STI (Swiss Tropical Institute), </t>
  </si>
  <si>
    <t>DDI</t>
  </si>
  <si>
    <t>Белиз</t>
  </si>
  <si>
    <t>EFV</t>
  </si>
  <si>
    <t>Бенин</t>
  </si>
  <si>
    <t>AS/LF</t>
  </si>
  <si>
    <t>Бутан</t>
  </si>
  <si>
    <t>AS/AQ</t>
  </si>
  <si>
    <t>Боливия</t>
  </si>
  <si>
    <t>AS/MQ</t>
  </si>
  <si>
    <t>Босния и Герцеговина</t>
  </si>
  <si>
    <t>Al/Lum</t>
  </si>
  <si>
    <t>Ботсвана</t>
  </si>
  <si>
    <t>Бразилия</t>
  </si>
  <si>
    <t>Пищевые добавки для ТБ</t>
  </si>
  <si>
    <t>Болгария</t>
  </si>
  <si>
    <t>E-PAP</t>
  </si>
  <si>
    <t>Буркина Фасо</t>
  </si>
  <si>
    <t>ZDV/3TC/NVP</t>
  </si>
  <si>
    <t>Бурунди</t>
  </si>
  <si>
    <t>ZDV/3TC</t>
  </si>
  <si>
    <t>Камбоджа</t>
  </si>
  <si>
    <t>Камерун</t>
  </si>
  <si>
    <t>Кабо-Верде</t>
  </si>
  <si>
    <t>Центрально-Африканская Республика</t>
  </si>
  <si>
    <t>Чад</t>
  </si>
  <si>
    <t>Чили</t>
  </si>
  <si>
    <t>Китай</t>
  </si>
  <si>
    <t>Колумбия</t>
  </si>
  <si>
    <t>Коморы</t>
  </si>
  <si>
    <t>Конго (Демократическая Республика)</t>
  </si>
  <si>
    <t>Конго (Республика)</t>
  </si>
  <si>
    <t>Коста Рика</t>
  </si>
  <si>
    <t>Кот-д'Ивуар</t>
  </si>
  <si>
    <t>Хорватия</t>
  </si>
  <si>
    <t>Куба</t>
  </si>
  <si>
    <t>Джибути</t>
  </si>
  <si>
    <t>Доминиканская Республика</t>
  </si>
  <si>
    <t>Эквадор</t>
  </si>
  <si>
    <t>Египет</t>
  </si>
  <si>
    <t>Сальвадор</t>
  </si>
  <si>
    <t>Экваториальная Гвинея</t>
  </si>
  <si>
    <t>Эритрея</t>
  </si>
  <si>
    <t>Эстония</t>
  </si>
  <si>
    <t>Эфиопия</t>
  </si>
  <si>
    <t>Фиджи</t>
  </si>
  <si>
    <t>Габон</t>
  </si>
  <si>
    <t>Гамбия</t>
  </si>
  <si>
    <t>Грузия</t>
  </si>
  <si>
    <t>Гана</t>
  </si>
  <si>
    <t>Глобальный (LWF)</t>
  </si>
  <si>
    <t>Гватемала</t>
  </si>
  <si>
    <t>Гвинея</t>
  </si>
  <si>
    <t>Гвинея-Бисау</t>
  </si>
  <si>
    <t>Гайана</t>
  </si>
  <si>
    <t>Гаити</t>
  </si>
  <si>
    <t>Гондурас</t>
  </si>
  <si>
    <t>Индия</t>
  </si>
  <si>
    <t>Индонезия</t>
  </si>
  <si>
    <t>Иран (Исламская Республика)</t>
  </si>
  <si>
    <t>Ирак</t>
  </si>
  <si>
    <t>Ямайка</t>
  </si>
  <si>
    <t>Иордания</t>
  </si>
  <si>
    <t>Казахстан</t>
  </si>
  <si>
    <t>Кения</t>
  </si>
  <si>
    <t>Корея (Народно-Демократическая Республика)</t>
  </si>
  <si>
    <t>Косово (Сербия)</t>
  </si>
  <si>
    <t>Лаос</t>
  </si>
  <si>
    <t>Лесото</t>
  </si>
  <si>
    <t>Либерия</t>
  </si>
  <si>
    <t>Македония, БЮР</t>
  </si>
  <si>
    <t>Мадагаскар</t>
  </si>
  <si>
    <t>Малави</t>
  </si>
  <si>
    <t>Мальдивы</t>
  </si>
  <si>
    <t>Мали</t>
  </si>
  <si>
    <t>Мавритания</t>
  </si>
  <si>
    <t>Маврикий</t>
  </si>
  <si>
    <t>Молдова</t>
  </si>
  <si>
    <t>Монголия</t>
  </si>
  <si>
    <t>Черногория</t>
  </si>
  <si>
    <t>Марокко</t>
  </si>
  <si>
    <t>Мозамбик</t>
  </si>
  <si>
    <t>Несколько стран Африки (Программа Западно-Африканский Корридор)</t>
  </si>
  <si>
    <t>Несколько стран Африки (RMCC)</t>
  </si>
  <si>
    <t>Несколько стран Америки (Анды)</t>
  </si>
  <si>
    <t>Несколько стран Америки (CARICOM)</t>
  </si>
  <si>
    <t>Несколько стран Америки (CRN+)</t>
  </si>
  <si>
    <t>Несколько стран Америки (Meso)</t>
  </si>
  <si>
    <t>Несколько стран Америки (OECS)</t>
  </si>
  <si>
    <t>Несколько стран Америки (REDCA+)</t>
  </si>
  <si>
    <t>Несколько стран Западно-Тихоокеанского региона</t>
  </si>
  <si>
    <t>Мьянма</t>
  </si>
  <si>
    <t>Намибия</t>
  </si>
  <si>
    <t>Непал</t>
  </si>
  <si>
    <t>Никарагуа</t>
  </si>
  <si>
    <t>Нигер</t>
  </si>
  <si>
    <t>Нигерия</t>
  </si>
  <si>
    <t>Пакистан</t>
  </si>
  <si>
    <t>Панама</t>
  </si>
  <si>
    <t>Папуа Новая Гвинея</t>
  </si>
  <si>
    <t>Парагвай</t>
  </si>
  <si>
    <t>Перу</t>
  </si>
  <si>
    <t>Филиппины</t>
  </si>
  <si>
    <t>Румыния</t>
  </si>
  <si>
    <t>Российская Федерация</t>
  </si>
  <si>
    <t>Руанда</t>
  </si>
  <si>
    <t>Сан-Томе и Принсипи</t>
  </si>
  <si>
    <t>Сенегал</t>
  </si>
  <si>
    <t>Сербия</t>
  </si>
  <si>
    <t>Сьерра-Леоне</t>
  </si>
  <si>
    <t>Соломоновы Острова</t>
  </si>
  <si>
    <t>Сомали</t>
  </si>
  <si>
    <t>Южная Африка</t>
  </si>
  <si>
    <t>Шри-Ланка</t>
  </si>
  <si>
    <t>Судан</t>
  </si>
  <si>
    <t>Суринам</t>
  </si>
  <si>
    <t>Свазиленд</t>
  </si>
  <si>
    <t>Сирийская Арабская Республика</t>
  </si>
  <si>
    <t>Таджикистан</t>
  </si>
  <si>
    <t>Танзания</t>
  </si>
  <si>
    <t>Таиланд</t>
  </si>
  <si>
    <t>Восточный Тимор</t>
  </si>
  <si>
    <t>Того</t>
  </si>
  <si>
    <t>Тунис</t>
  </si>
  <si>
    <t>Турция</t>
  </si>
  <si>
    <t>Уганда</t>
  </si>
  <si>
    <t>Украина</t>
  </si>
  <si>
    <t>Тематическая Группа ООН по ВИЧ (Западный Берег и Газа)</t>
  </si>
  <si>
    <t>Узбекистан</t>
  </si>
  <si>
    <t>Вьетнам</t>
  </si>
  <si>
    <t>Йемен</t>
  </si>
  <si>
    <t>Замбия</t>
  </si>
  <si>
    <t>Занзибар (Танзания)</t>
  </si>
  <si>
    <t>Зимбабве</t>
  </si>
  <si>
    <t>АРВ</t>
  </si>
  <si>
    <t>Анти-ретровирусные препараты</t>
  </si>
  <si>
    <t>ВИЧ</t>
  </si>
  <si>
    <t>Вирус Иммунодефицита Человека</t>
  </si>
  <si>
    <t>ГФ</t>
  </si>
  <si>
    <t>Глобальный Фонд для Борьбы со СПИДом, Туберкулезом и Малярией</t>
  </si>
  <si>
    <t>ДУС</t>
  </si>
  <si>
    <t>Действие с установленным сроком</t>
  </si>
  <si>
    <t>М и О</t>
  </si>
  <si>
    <t>Мониторинг и Оценка</t>
  </si>
  <si>
    <t>МАФ</t>
  </si>
  <si>
    <t>Местный Агент Фонда</t>
  </si>
  <si>
    <t>МВ</t>
  </si>
  <si>
    <t>Меморандум о взаимопонимании</t>
  </si>
  <si>
    <t>ПДПР/ПТ</t>
  </si>
  <si>
    <t>Последние Данные о Проделанной Работе/Платежное Требование</t>
  </si>
  <si>
    <t>ПР</t>
  </si>
  <si>
    <t>Принципиальный Реципиент</t>
  </si>
  <si>
    <t>ПУ</t>
  </si>
  <si>
    <t>Предварительное условие</t>
  </si>
  <si>
    <t>СКМ</t>
  </si>
  <si>
    <t>Страновой Координационный Механизм</t>
  </si>
  <si>
    <t>СР</t>
  </si>
  <si>
    <t>Суб-реципиент</t>
  </si>
  <si>
    <t>ССР</t>
  </si>
  <si>
    <t>Суб-суб-реципиент</t>
  </si>
  <si>
    <t>УЗС</t>
  </si>
  <si>
    <t>Управление Закупками и Снабжением</t>
  </si>
  <si>
    <t>УФО</t>
  </si>
  <si>
    <t>Улучшенный Финансовый Отчет</t>
  </si>
  <si>
    <t>Ч:189
З:270
%:70</t>
  </si>
  <si>
    <t>Ч:51
З:81
%:62,96</t>
  </si>
  <si>
    <t>Ч: 2878
З: 6752
%: 42,6</t>
  </si>
  <si>
    <t>Ч: 8438
З: 25000
%: 33,7</t>
  </si>
  <si>
    <t>Ч: 9608
З: 25000
%: 38,4</t>
  </si>
  <si>
    <t>Ч: 18750
З: 25 000
%: 75</t>
  </si>
  <si>
    <t>Ч: 16636
З: 25 000
%: 66,5</t>
  </si>
  <si>
    <t xml:space="preserve">В отчетный период услуги получили  16 636ЛУИН, из них 1 155 в ГСИН. Из общего числа охваченных клиентов – 2 045 женщины. В начале 2019 г. вступил в силу Закон о пробации и в ноябре 2020 года Президент подписал указ об амнистии, в результате чего  322  клиентов ПОШ  были освобождены из мест лишения свободы за отчетный период. Всего за отчетный период было роздано 2 267 097 шприцев и 371 009  презервативов, что в среднем сотавляет 136 шприцев и 22 презерватив на одного клиента. </t>
  </si>
  <si>
    <t xml:space="preserve">За предыдущий отчетный период (июль-декабрь 2020) 81 ЛУИН вошел в программу и из них 51 находился на лечении не менее 6 месяцев после начала лечения, что составило 63%. 
Из тех, кто не смог удержаться в течение 6 месяцев: умер -1; перешел на другой сайт и не дошел- 4;  добровольное досрочное завершение – 25.
Согласно данным, полученным из ЭРЗПТ, в отчетном периоде получали ОЗТ- 979 ЛУИН, а по состоянию на 31 декабря 2020 года г. - 896  ЛУИН фактически получали ОЗТ (сайты РЦН и ГСИН).  В текущем отчетном периоде  90,6%  клиентов ОЗТ в гражданском секторе (572 клиентов из 631 клиента) получали метадон на руки на  3-5 дней. Отсавшиеся 59 клиентов приходили на сайты ежедневно по разным причинам.
</t>
  </si>
  <si>
    <t xml:space="preserve">За отчетный период 2 878 заключенных (из них женщин- 106), прошли тестирование на ВИЧ и знают свои результаты из общего количества 6 752 заключенных, что составило 42,6%. </t>
  </si>
  <si>
    <t xml:space="preserve">За отчетный период 9608 ЛУИН, включая ЛУИН заключенных и ОЗТ клиентов прошли тестирование на ВИЧ и знают свои результаты. Из них 96,8% (9299) прошли экспресс тестирование. 
</t>
  </si>
  <si>
    <t xml:space="preserve">
Ч:7587
З:9371
%:80.96</t>
  </si>
  <si>
    <t xml:space="preserve">
Ч:4435
З:10000
%:44.35</t>
  </si>
  <si>
    <t xml:space="preserve">Ч: 5994
З: 7587
%: 79
</t>
  </si>
  <si>
    <t xml:space="preserve">Ч: 3843
З: 4435
%: 86.65
</t>
  </si>
  <si>
    <t>Ч:4435
З:10000
%:44.35</t>
  </si>
  <si>
    <t>Ч: 5994
З: 7587
%: 79</t>
  </si>
  <si>
    <t>Ч: 3843
З: 4435
%: 86.65</t>
  </si>
  <si>
    <t>Данный показатель является годовым. На 31 декабря 2020 года процент взрослых и детей, получавших антиретровирусную терапию в отчетный период, у которых отмечено подавление вирусной нагрузки (т.е. ≤1000 копий) составляет 86,65% (3843/4435). </t>
  </si>
  <si>
    <t>Из 4290 ЛЖВ (3982 взрослых и 308 детей), вовлеченных в уход по ВИЧ, ТБ статус был оценен у 4196 ЛЖВ (3889 взрослых и 307 детей) во время отчетного периода, согласно национальному протоколу по ВИЧ. Данные предоставлены РЦ СПИД.</t>
  </si>
  <si>
    <t xml:space="preserve">Все 44 ВИЧ-инфицированных больных ТБ, получали комбинированную антиретровирусную терапию в соответствии с национально утвержденными протоколами лечения, и которые начали получать лечение ТБ (в соответствии с руководящими принципами национальной программы по ТБ) в течение отчетного периода. </t>
  </si>
  <si>
    <t>Данный показатель является годовым. Cогласно данным РЦ СПИД в 2020 году общее число беременных женщин с ВИЧ, родивших -162. Из них 155 женщин получили АРТ в целях профилактики вертикальной передачи ВИЧ.</t>
  </si>
  <si>
    <t>Запасы АРВП и тестов отслеживаются, критических ситуаций с запасами не наблюдается. Принимая во внимание изменение клинического протокола на основании последних рекомендации ВОЗ,  преобладают схемы на основе Долутегравира (в основном на TLD) и схемы с монопрепаратами отдельными постепенно не будут использоваться. У препаратов с запасом  свыше 10 месяцев срок годности приемлемый и будет использован до истечения срока годности. АРВ препараты закупаются и за счет бюджетных средств (TLD, FDC (TDF/FTC) 300/200 mg, FDC (TDF/FTC/EFV)). Касательно препаратов и тест систем  с уровнем запаса менее 3х месяцев, плановые поставки прибудут в страну своевременно и  покроют потребность на 2021 год (РЦ СПИД также закупает тест системы на ВН и СД4). Относительно экспресс тестирования на ВИЧ, тесты покроют потребность и на 2021 г.</t>
  </si>
  <si>
    <t>Ч: 5680
З: 7103
%: 79,9</t>
  </si>
  <si>
    <t>Ч: 3470
З: 7103
%: 48,9</t>
  </si>
  <si>
    <t>Ч: 10940
З: 11692
%: 93,6%</t>
  </si>
  <si>
    <t>Ч: 11044
З: 11692
%: 94,4%</t>
  </si>
  <si>
    <t>Ч:1328
З: 7103
%: 18,7</t>
  </si>
  <si>
    <t>Ч: 4764
З: 11692
%: 40,7</t>
  </si>
  <si>
    <t>Три НПО осуществляли программы профилактики ВИЧ среди МСМ в г. Бишкек, Ош, Джалал-Абад, Талас и в Чуйской, Ошской и Иссык-Кульской областях. 11 044 МСМ были охвачены минимальным пакетом услуг. 178 491 презерватив было распространено, таким образом каждый клиент получил 16 презервативов за отчетный период.</t>
  </si>
  <si>
    <t xml:space="preserve">Пять НПО  в г.  Бишкек, Ош, Джалал-Абад,  Кызыл-Кия, Чолпон-Ата, Каракол, Талас, Балыкчы и в Джалал-Абадской, Ошской, Чуйской, Иссык-Кульской, Нарынской и Таласской областях реализуют программы профилактики ВИЧ среди данной группы. В этот период 3 470 СР получили минимальный пакет услуг: предоставление презервативов, тематических информационных материалов виде брошюр или бесед/консультирования, и направление на тестирование ВИЧ и/или ИППП и/или прошли экспресс-тестирование на ВИЧ.  Из них 30 СР идентифицировали себя как ТГ.  515 098 презервативов было роздано СР, таким образом каждый клиент получил 148 презервативов в отчетном периоде.
Милицейские рейды по-прежнему являются основным препятствием для деятельности профилактических программ г. Бишкек и Ош, где работают две большие организации с большим охватом.  Несмотря на проводимые обучающие и адвокационные мероприятия, ситуация не улучшается. Сотрудники милиции являются основными виновниками насилия и нарушений прав человека, продолжается дискриминационное применение административных статей (например, о «мелком хулиганстве») к секс-работникам, что представляет собой фактическую криминализацию секс-работы. В результате, доступ к СР ограничен в этих двух больших городах.
Карантин в связи с COVID19 еще более усугубил ситуацию с доступом к СР.  
</t>
  </si>
  <si>
    <t xml:space="preserve">За отчетный период 1328 СР прошли тестирование на ВИЧ и знают свои результаты. Все прошли экспресс тестирование. Экспресс тестирование проводится на "точках". Милицейские рейды по-прежнему являются основным препятствием для деятельности профилактических программ г. Бишкек и Ош, где работают две большие организации с большим охватом. Из-за этого сотрудники организаций в некоторых случаях предоставляли только МПУ и не успевали проводить ЭТ. 
Карантин в связи с COVID19 еще более усугубил ситуацию с предоставлением услуг по тестированию для СР.
</t>
  </si>
  <si>
    <t xml:space="preserve">За отчетный период 4764 МСМ прошли тестирование на ВИЧ и знают свои результаты. Все клиенты (100 %) прошли экспресс тестирование на базе НПО. </t>
  </si>
  <si>
    <t xml:space="preserve">Данная задача включает бюджет на: закупки  женских и мужских презервативов, любрикантов, тестов, антисептических салфеток, а также соответствующие затраты на управление поставками,  целевые расходы СП: 7 ПОУ на базе НПО, работающие в данном направлении, включая з/п социальных и аутрич работников.  За отчетный период было израсходовано 80% выделенного бюджета.  При этом имеются неоплаченные контрактыне обязательства на 27 432$ на 31 декабря 2020 г. по закупке презерватитов и соответствующих PSM расходов, которые будут оплачены в начале 2021 г после поступления продукции.  С учетом обязательств процент освоения бюджета равен 106%. </t>
  </si>
  <si>
    <t xml:space="preserve">Данная задача включает бюджет на: закупки метадона, налоксона, шприцов, мужских презервативов, тестов, антисептических салфеток, пластиковых стаканов,  а также соответствующие затраты на управление поставками, ремонт ОЗТ,  целевые расходы СП (РЦН и НПО, работающие в данном направлении), включая з/п социальных и аутрич работников. За весь период было израсходовано 69% выделенного бюджета.  При этом имеются неоплаченные контрактные обязательства на 180 506$ на 31 декабря 2020 г. по закупкам метадона, презерватиов, тестов, спиртовых салфеток, и соответствующих PSM расходов, которые будут оплачены в начале 2021 г после поступления продукции. С учетом обязательств процент освоения бюджета равен 99%. </t>
  </si>
  <si>
    <t xml:space="preserve">Данная задача включает бюджет на: закупки антиретровирусных препаратов,  тест-наборы,  а также соответствующие затраты на управление поставками. За весь период было израсходовано 60% выделенного бюджета.  При этом имеются неоплаченные контрактные обязательства на 123$ на 31 декабря 2020 г. по закупкам АРВ и соответствующих PSM расходов, которые будут оплачены в начале 2021 г после поступления продукции. С учетом обязательств процент освоения бюджета равен 90%. </t>
  </si>
  <si>
    <t xml:space="preserve">Данная задача включает бюджет на: закупки антиретровирусных препаратов, тестирование на ВИЧ CD4 расходные материалы / тест-наборы: расходные материалы- вирусологическое тестирование на ВИЧ / тест-наборы,  а также соответствующие затраты на управление поставками,  целевые расходы СП (РЦ «СПИД» и региональные центры по борьбе со СПИДом, и 7 НПО, включая з/п социальных и аутрич работников и мед.технического персонала, транспортировку биологических образцов, Поддержку  оплаты стимулов ЛЖВ за приверженность к АРТ. За отчетный период было израсходовано 86% выделенного бюджета.  При этом имеются неоплаченные контрактные обязательства на 154 665$ на 31 декабря 2020 г. по закупкам АРВ, тестов, услуг по утсановке складского модуля и соответствующих PSM расходов, которые будут оплачены в начале 2021 г после поступления продукции. С учетом обязательств процент освоения бюджета равен 105%. </t>
  </si>
  <si>
    <t xml:space="preserve">Данная задача включает бюджет на: закупки на  ПТП, лабораторные реагенты, шприцы, респираторы, картриджы для Xpert, GeneXpert,  а также соответствующие затраты на управление поставками, Услуги томографии и диагностика больных туберкулезом; Ежегодный операционный взнос в комитет Green Light; з/п отдела логистики по транспортировки мокроты, з/п психологов для пациентов, целевые расходы СП на базе НПО, транпсортировку мокроты, моивационные выплаты пациентам, соблюдающим лечение, МиО визиты и тренингы по Базе Данных по ТБ.  За отчетный период было израсходовано 90% выделенного бюджета.  При этом имеются неоплаченные контрактные обязательства на 287 422$ на 31 декабря 2020 г. по закупкам тест систем, услуг по установке складского модуля и соответствующих PSM расходов, которые будут оплачены в начале 2021 г после поступления продукции. С учетом обязательств процент освоения бюджета равен 95%. </t>
  </si>
  <si>
    <t xml:space="preserve">Данная задача включает бюджет на: закупки  мужских презервативов, любрикантов, тестов, антисептических салфеток, а также соответствующие затраты на управление поставками, целевые расходы СП: 7 ПОУ на базе НПО, работающие в данном направлении, включая з/п социальных и аутрич работников.  За отчетный период было израсходовано 87% выделенного бюджета.  При этом имеются неоплаченные контрактные обязательства на 24 882$ на 31 декабря 2020 г. по закупкам презерватитов и соответствующих PSM расходов, которые будут оплачены в начале 2021 г после поступления продукции. С учетом обязательств процент освоения бюджета равен 101%. </t>
  </si>
  <si>
    <t xml:space="preserve">Данная задача включает бюджет на: закупки комплектов СИЗ,  картриджей для исследования, масок, перчаток, антисептиков, ультрафиолетовых ламп,  а также соответствующие затраты на управление поставками; организацию изоляторов и обсерваций; предоставление консультаций и псхологической помощи; закупка планшетов для внедрения он-лайн консультаций и приложения; мониторинговые визиты и т.д. За весь период было израсходовано 113% выделенного бюджета.  При этом имеются неоплаченные контрактные обязательства на 196 447$ на 31 декабря 2020 г. по закупкам СИЗ, перчаток, планшетов, изоляторов и соответствующих PSM расходов, которые будут оплачены в начале 2021 г после поступления продукции. С учетом обязательств процент освоения бюджета равен 135%. </t>
  </si>
  <si>
    <t xml:space="preserve">MDR TB-2: Количество бактериологически подтвержденных зарегистрированных ЛУ-ТБ случаев (РУ-ТБ и/или МЛУ-ТБ)	</t>
  </si>
  <si>
    <t xml:space="preserve">Охват лечением среди РУ/МЛУ больных составил 88%, что на 5 % выше, чем в предыдущем отчетном периоде. Индикатор выполнен только на 44% в связи с сокращением числа зарегистрированных случаев РУ/МЛУ ТБ в отчетный период. </t>
  </si>
  <si>
    <t xml:space="preserve">Ситуация с COVID-19, пик которой пришелся на на 2-3 кв. 2020 года, сказалсь на достижении индикаторов по ТБ: впервые индикатор по числу зарегистрированных случаев РУ/МЛУ ТБ выполнен только на 50%. При этом, все лаборатории, осуществляющие тестирование на устойчивость к рифампицину, продолжали работать. </t>
  </si>
  <si>
    <t>В соответствии с официальными данными, представленными Центром СПИД Республики на 31 декабря 2020 г., 4 435 ЛЖВ получают АРВ лечение. В это число входят 4 115 взрослых (из них: мужчин - 2217, женщин – 1898) и 320 детей (из них: дев. -133, мал. -187).</t>
  </si>
  <si>
    <t>Данный показатель является годовым. На 31 декабря 2020 года процент взрослых и детей, получавших антиретровирусную терапию в отчетный период, у которых отмечено подавление вирусной нагрузки (т.е. ≤1000 копий) составляет  86,65% (3843/4435). </t>
  </si>
  <si>
    <t>Запас ПТП 2-го ряда составляет от 10 до 48 месяцев (не включая инъекционные препаратs, так как они выбыли из новых режимов лечения, соответсвенно не закупаются, минимальный запас  рифампицина связан с тем, что начиная с 2017 года данный препарат приобретается за счет средств  государственного бюджета для ПЛУ-ТБ больных). Для всех препаратов сроки годности соответствует срокам использования препаратов, кроме  протионамида, ПАСКа, которые по новой классификации ВОЗ  вошли в группу С , в связи с чем их использование значительно снизилось, так как они не являются  препаратами первого выбора для составления схем лечения.  Проводится ежемесячный анализ набора пациентов и использования по всем ПТП, а особенно по препаратам из группы С. Остаточный срок годности  и запас ПАСКа составляет - 13 месяцев, риск истечения срока годности снизился и есть вероятность полного использования до завершения срока годности. Протионамид имеется в двух сроках годности 31.10.2021 и 31.07.2022., несмотря на то, что набор новых пациентов на данный препарат осуществляется, расход не увеличивается в связи с частой отменой  из-за выраженных и достаточно частых нежелательных явлений и наличием "новых" препаратов, а также со снижением количества набираемых больных из-за COVID -19. С учетом расхода на сегодня в риске истечения 2450 упаковок со сроком годности 31.10.2021. Для препаратов, запас, которых превышают 30 месяцев (деламанид и моксифлоксацин) риска истечения нет,  так как остаточный срок годности деламанида составляет 46 месяцев, препарат поступил в конце года согласно расчету потребности на 2021 год для всех пре-ШЛУ и ШЛУ-ТБ больных, соответсвенно расход в 2021 году увеличится.   Остаточный срок годности моксифлоксацина от 34-51 месяцев, риска истечения нет.</t>
  </si>
  <si>
    <t xml:space="preserve">В отчетный период услуги получили  16 636 ЛУИН, из них 1 155 в ГСИН. Из общего числа охваченных клиентов – 2 045 женщины. В начале 2019 г. вступил в силу Закон о пробации и в ноябре 2020 года Президент подписал указ об амнистии, в результате чего  322  клиентов ПОШ  были освобождены из мест лишения свободы за отчетный период. Всего за отчетный период было роздано 2 267 097 шприцев и 371 009  презервативов, что в среднем сотавляет 136 шприцев и 22 презерватив на одного клиента. </t>
  </si>
  <si>
    <t>В соответствии с официальными данными, представленными Центром СПИД Республики на 31 декабря 2020 г., 4 435 ЛЖВ получают АРТ. В это число входят 4 115 взрослых (из них: мужчин - 2217, женщин – 1898) и 320 детей (из них: дев. -133, мал. -187). Целевое значение показателя, достигнуто только на 55%.
Основная причина низкого достижения:
1. Завышение программой Спектрум оценочного количества ЛЖВ в стране.  Следовательно, цели по охвату АРТ на 2018-2020 годы были завышены и в Государственной программе. По данным UNAIDS / SPECTRUM, на 2020 год оценочная численность составляет 10 000 ЛЖВ, что выше, чем на 2019 год.
2. В результате ЧП в стране, вызванного COVID-19, возник социально-экономический кризис, в связи с чем большое количество ЛЖВ потеряли работу и многие из них решили отложить начало АРТ.
Несмотря на все эти вызовы во время чрезвычайного положения в связи с COVID-19 в 2020 году, для достижения этого показателя был принят ряд мер:
•	ПР совместно с ключевыми исполнителями (РЦ СПИД, областными центрами СПИДа, ICAP, ЮНЭЙДС, PSI и НПО) приложили много усилий для переосмысления методов лечения, чтобы ЛЖВ могли безопасно и непрерывно принимать антиретровирусную терапию (АРТ). Выдача АРВ-препаратов на более длительный период времени (на 3 месяца и более при необходимости); доставка АРВ-препаратов и других лекарств пациенту, через равных консультантов НПО и медицинских работников (при помощи 7 мобильных бригад). НПО и государственные медицинские организации сопровождали ЛЖВ в медицинских учреждениях для обследования на ВН и CD4, в случае необходимости; кроме того, доставка АРВ-препаратов мигрантам-ЛЖВ, которые не могут вернуться в КР.
•	ПР продолжал оказывать мотивационную поддержку детям, живущим с ВИЧ.
•	Согласно строгим рекомендациям ВОЗ, большинство пациентов были переведены на новый режим, основанный на DTG - долутегровире, который быстро снижает ВН.
•	ПР нашел дополнительные средства от ЮНЭЙДС для поддержки 2 центров ЛЖВ в Бишкеке, 104 ЛЖВ получили услуги, а в Оше - 137 ЛЖВ, чтобы обеспечить адаптацию ЛЖВ к АРТ среди тех, кто недавно подключился к программе ухода, лечения и поддержки (эта услуга очень востребована, особенно в контексте COVID-19).
•	Услуга транспортировки образцов крови не прерывала свою работу даже в период ЧП, что обеспечило надлежащий уровень тестирования ВН.
•	ЛЖВ были розданы 1441 продуктовый набор.
•	ЛЖВ имели доступ к тестированию на вирусную нагрузку в региональных центрах СПИД были закуплены дополнительные платформы GeneXpert для 4 региональных центров СПИД. Это означает, что врачи могут быстро отреагировать и скорректировать схему АРТ.
•	В 3 центрах СПИД были поддержаны онлайн консультанты, включая психолога в ООЦПБС для предоставления онлайн консультации ЛЖВ.
•	Для детей, живущих с ВИЧ, закуплено 480 планшетов для адаптации к процессу онлайн-обучения (в школе и обучению и консультациям связанных с ВИЧ).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</si>
</sst>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 #,##0.00_);_(* \(#,##0.00\);_(* &quot;-&quot;??_);_(@_)"/>
    <numFmt numFmtId="165" formatCode="_-* #,##0.00\ _₽_-;\-* #,##0.00\ _₽_-;_-* &quot;-&quot;??\ _₽_-;_-@_-"/>
    <numFmt numFmtId="166" formatCode="_-* #,##0.00_р_._-;\-* #,##0.00_р_._-;_-* &quot;-&quot;??_р_._-;_-@_-"/>
    <numFmt numFmtId="167" formatCode="&quot;Q&quot;#,##0_);[Red]\(&quot;Q&quot;#,##0\)"/>
    <numFmt numFmtId="168" formatCode="_(* #,##0_);_(* \(#,##0\);_(* &quot;-&quot;??_);_(@_)"/>
    <numFmt numFmtId="169" formatCode=";;;"/>
    <numFmt numFmtId="170" formatCode="0.0"/>
    <numFmt numFmtId="171" formatCode=";;;&quot;Financial Variance in %&quot;"/>
    <numFmt numFmtId="172" formatCode="_([$€]* #,##0.00_);_([$€]* \(#,##0.00\);_([$€]* &quot;-&quot;??_);_(@_)"/>
    <numFmt numFmtId="173" formatCode="[$$-409]#,##0"/>
    <numFmt numFmtId="174" formatCode="[$-409]d/mmm/yyyy;@"/>
    <numFmt numFmtId="175" formatCode="[$$-409]#,##0_);\([$$-409]#,##0\)"/>
    <numFmt numFmtId="176" formatCode="0.0%"/>
    <numFmt numFmtId="177" formatCode="#,##0.0"/>
    <numFmt numFmtId="178" formatCode="_-&quot;$&quot;* #,##0_-;\-&quot;$&quot;* #,##0_-;_-&quot;$&quot;* &quot;-&quot;_-;_-@_-"/>
    <numFmt numFmtId="179" formatCode="_ [$€-413]\ * #,##0.00_ ;_ [$€-413]\ * \-#,##0.00_ ;_ [$€-413]\ * &quot;-&quot;_ ;_ @_ "/>
    <numFmt numFmtId="180" formatCode="_-* #,##0.00\ &quot;€&quot;_-;\-* #,##0.00\ &quot;€&quot;_-;_-* &quot;-&quot;??\ &quot;€&quot;_-;_-@_-"/>
    <numFmt numFmtId="181" formatCode="_-[$€-2]\ * #,##0.00_-;\-[$€-2]\ * #,##0.00_-;_-[$€-2]\ * &quot;-&quot;??_-;_-@_-"/>
  </numFmts>
  <fonts count="176">
    <font>
      <sz val="11"/>
      <color indexed="8"/>
      <name val="Calibri"/>
      <family val="2"/>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4"/>
      <color indexed="52"/>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i/>
      <sz val="11"/>
      <color indexed="8"/>
      <name val="Calibri"/>
      <family val="2"/>
    </font>
    <font>
      <b/>
      <sz val="11"/>
      <color indexed="60"/>
      <name val="Calibri"/>
      <family val="2"/>
    </font>
    <font>
      <sz val="10"/>
      <color indexed="60"/>
      <name val="Calibri"/>
      <family val="2"/>
    </font>
    <font>
      <i/>
      <sz val="11"/>
      <name val="Calibri"/>
      <family val="2"/>
    </font>
    <font>
      <sz val="10"/>
      <name val="Calibri"/>
      <family val="2"/>
    </font>
    <font>
      <sz val="9"/>
      <color indexed="16"/>
      <name val="Calibri"/>
      <family val="2"/>
    </font>
    <font>
      <b/>
      <i/>
      <sz val="14"/>
      <color indexed="12"/>
      <name val="Calibri"/>
      <family val="2"/>
    </font>
    <font>
      <sz val="16"/>
      <color indexed="9"/>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sz val="11"/>
      <name val="Arial"/>
      <family val="2"/>
    </font>
    <font>
      <b/>
      <sz val="8"/>
      <name val="Arial"/>
      <family val="2"/>
    </font>
    <font>
      <sz val="8"/>
      <color indexed="81"/>
      <name val="Tahoma"/>
      <family val="2"/>
    </font>
    <font>
      <b/>
      <sz val="20"/>
      <color indexed="8"/>
      <name val="Calibri"/>
      <family val="2"/>
    </font>
    <font>
      <sz val="20"/>
      <color indexed="8"/>
      <name val="Calibri"/>
      <family val="2"/>
    </font>
    <font>
      <b/>
      <sz val="11"/>
      <color indexed="53"/>
      <name val="Arial"/>
      <family val="2"/>
    </font>
    <font>
      <sz val="9"/>
      <color indexed="8"/>
      <name val="Calibri"/>
      <family val="2"/>
    </font>
    <font>
      <sz val="11"/>
      <color indexed="8"/>
      <name val="Symbol"/>
      <family val="1"/>
      <charset val="2"/>
    </font>
    <font>
      <b/>
      <sz val="11"/>
      <color indexed="8"/>
      <name val="Arial"/>
      <family val="2"/>
      <charset val="204"/>
    </font>
    <font>
      <b/>
      <sz val="22"/>
      <color indexed="9"/>
      <name val="Calibri"/>
      <family val="2"/>
    </font>
    <font>
      <sz val="11"/>
      <color theme="1"/>
      <name val="Calibri"/>
      <family val="2"/>
      <scheme val="minor"/>
    </font>
    <font>
      <b/>
      <sz val="11"/>
      <name val="Arial"/>
      <family val="2"/>
    </font>
    <font>
      <sz val="9"/>
      <color indexed="9"/>
      <name val="Calibri"/>
      <family val="2"/>
      <charset val="204"/>
    </font>
    <font>
      <sz val="9"/>
      <color indexed="8"/>
      <name val="Calibri"/>
      <family val="2"/>
      <charset val="204"/>
    </font>
    <font>
      <sz val="9"/>
      <name val="Calibri"/>
      <family val="2"/>
      <charset val="204"/>
    </font>
    <font>
      <b/>
      <sz val="10"/>
      <color indexed="8"/>
      <name val="Calibri"/>
      <family val="2"/>
      <charset val="204"/>
    </font>
    <font>
      <b/>
      <sz val="10"/>
      <name val="Calibri"/>
      <family val="2"/>
      <charset val="204"/>
    </font>
    <font>
      <sz val="11"/>
      <color theme="1"/>
      <name val="Calibri"/>
      <family val="2"/>
    </font>
    <font>
      <sz val="11"/>
      <color indexed="8"/>
      <name val="Calibri"/>
      <family val="2"/>
      <charset val="204"/>
    </font>
    <font>
      <sz val="11"/>
      <name val="Arial Unicode MS"/>
      <family val="2"/>
      <charset val="204"/>
    </font>
    <font>
      <sz val="10"/>
      <color theme="1"/>
      <name val="Calibri"/>
      <family val="2"/>
    </font>
    <font>
      <b/>
      <sz val="11"/>
      <name val="Calibri"/>
      <family val="2"/>
      <charset val="204"/>
    </font>
    <font>
      <sz val="11"/>
      <name val="Calibri"/>
      <family val="2"/>
      <charset val="204"/>
    </font>
    <font>
      <sz val="10"/>
      <name val="Arial"/>
      <family val="2"/>
      <charset val="204"/>
    </font>
    <font>
      <b/>
      <sz val="9"/>
      <color indexed="9"/>
      <name val="Calibri"/>
      <family val="2"/>
    </font>
    <font>
      <b/>
      <sz val="9"/>
      <name val="Calibri"/>
      <family val="2"/>
    </font>
    <font>
      <b/>
      <sz val="14"/>
      <color rgb="FFFF0000"/>
      <name val="Calibri"/>
      <family val="2"/>
    </font>
    <font>
      <b/>
      <sz val="11"/>
      <color indexed="8"/>
      <name val="Calibri"/>
      <family val="2"/>
      <charset val="204"/>
    </font>
    <font>
      <sz val="10"/>
      <name val="Arial Cyr"/>
      <charset val="204"/>
    </font>
    <font>
      <sz val="10"/>
      <name val="Arial"/>
      <family val="2"/>
      <charset val="238"/>
    </font>
    <font>
      <sz val="8"/>
      <name val="Arial"/>
      <family val="2"/>
      <charset val="238"/>
    </font>
    <font>
      <sz val="8"/>
      <color indexed="12"/>
      <name val="Arial"/>
      <family val="2"/>
      <charset val="238"/>
    </font>
    <font>
      <b/>
      <i/>
      <sz val="8"/>
      <name val="Arial"/>
      <family val="2"/>
      <charset val="238"/>
    </font>
    <font>
      <u/>
      <sz val="10"/>
      <color indexed="12"/>
      <name val="Arial"/>
      <family val="2"/>
    </font>
    <font>
      <sz val="8"/>
      <name val="Verdana"/>
      <family val="2"/>
      <charset val="238"/>
    </font>
    <font>
      <sz val="11"/>
      <color theme="1"/>
      <name val="Calibri"/>
      <family val="2"/>
      <charset val="238"/>
      <scheme val="minor"/>
    </font>
    <font>
      <b/>
      <sz val="10"/>
      <name val="Arial"/>
      <family val="2"/>
      <charset val="204"/>
    </font>
    <font>
      <u/>
      <sz val="10"/>
      <color indexed="12"/>
      <name val="Arial Cyr"/>
      <charset val="204"/>
    </font>
    <font>
      <sz val="12"/>
      <name val="Times New Roman"/>
      <family val="1"/>
    </font>
    <font>
      <b/>
      <sz val="12"/>
      <name val="Arial"/>
      <family val="2"/>
      <charset val="204"/>
    </font>
    <font>
      <sz val="8"/>
      <color indexed="8"/>
      <name val="Arial"/>
      <family val="2"/>
    </font>
    <font>
      <u/>
      <sz val="7.5"/>
      <color indexed="12"/>
      <name val="Arial Cyr"/>
    </font>
    <font>
      <u/>
      <sz val="7.5"/>
      <color indexed="36"/>
      <name val="Arial Cyr"/>
    </font>
    <font>
      <sz val="11"/>
      <color indexed="9"/>
      <name val="Calibri"/>
      <family val="2"/>
      <charset val="204"/>
    </font>
    <font>
      <i/>
      <sz val="8"/>
      <color indexed="55"/>
      <name val="Arial"/>
      <family val="2"/>
    </font>
    <font>
      <u/>
      <sz val="10"/>
      <color indexed="36"/>
      <name val="Arial Cyr"/>
    </font>
    <font>
      <sz val="11"/>
      <color theme="1"/>
      <name val="Arial"/>
      <family val="2"/>
    </font>
    <font>
      <sz val="11"/>
      <color indexed="62"/>
      <name val="Calibri"/>
      <family val="2"/>
      <charset val="204"/>
    </font>
    <font>
      <b/>
      <sz val="11"/>
      <color indexed="63"/>
      <name val="Calibri"/>
      <family val="2"/>
      <charset val="204"/>
    </font>
    <font>
      <b/>
      <sz val="11"/>
      <color indexed="52"/>
      <name val="Calibri"/>
      <family val="2"/>
      <charset val="204"/>
    </font>
    <font>
      <u/>
      <sz val="11"/>
      <color indexed="1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3"/>
      <color theme="1" tint="0.24994659260841701"/>
      <name val="Cambria"/>
      <family val="2"/>
      <scheme val="major"/>
    </font>
    <font>
      <sz val="12"/>
      <name val="Georgia"/>
      <family val="1"/>
    </font>
    <font>
      <sz val="10"/>
      <color indexed="8"/>
      <name val="Calibri"/>
      <family val="2"/>
      <charset val="204"/>
    </font>
    <font>
      <sz val="8"/>
      <color rgb="FF000000"/>
      <name val="Calibri"/>
      <family val="2"/>
    </font>
    <font>
      <sz val="10"/>
      <color rgb="FF0D0D0D"/>
      <name val="Calibri"/>
      <family val="2"/>
    </font>
    <font>
      <sz val="8"/>
      <color rgb="FFFF0000"/>
      <name val="Calibri"/>
      <family val="2"/>
    </font>
    <font>
      <sz val="8"/>
      <color rgb="FF000000"/>
      <name val="Calibri"/>
      <family val="2"/>
      <charset val="204"/>
    </font>
    <font>
      <sz val="8"/>
      <name val="Calibri"/>
      <family val="2"/>
      <charset val="204"/>
    </font>
  </fonts>
  <fills count="56">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gray0625">
        <fgColor indexed="51"/>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1"/>
        <bgColor indexed="43"/>
      </patternFill>
    </fill>
    <fill>
      <patternFill patternType="solid">
        <fgColor indexed="43"/>
        <bgColor indexed="52"/>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18"/>
        <bgColor indexed="64"/>
      </patternFill>
    </fill>
    <fill>
      <patternFill patternType="solid">
        <fgColor indexed="13"/>
        <bgColor indexed="64"/>
      </patternFill>
    </fill>
    <fill>
      <patternFill patternType="solid">
        <fgColor theme="0"/>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FFFFCC"/>
        <bgColor indexed="64"/>
      </patternFill>
    </fill>
    <fill>
      <patternFill patternType="gray0625">
        <fgColor indexed="51"/>
        <bgColor rgb="FFFFFFCC"/>
      </patternFill>
    </fill>
    <fill>
      <patternFill patternType="solid">
        <fgColor rgb="FFFFFFCC"/>
        <bgColor indexed="51"/>
      </patternFill>
    </fill>
    <fill>
      <patternFill patternType="solid">
        <fgColor indexed="43"/>
        <bgColor indexed="51"/>
      </patternFill>
    </fill>
    <fill>
      <patternFill patternType="solid">
        <fgColor theme="9" tint="-0.249977111117893"/>
        <bgColor indexed="64"/>
      </patternFill>
    </fill>
    <fill>
      <patternFill patternType="solid">
        <fgColor indexed="31"/>
        <bgColor indexed="64"/>
      </patternFill>
    </fill>
    <fill>
      <patternFill patternType="solid">
        <fgColor indexed="31"/>
      </patternFill>
    </fill>
    <fill>
      <patternFill patternType="solid">
        <fgColor indexed="46"/>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24"/>
      </patternFill>
    </fill>
    <fill>
      <patternFill patternType="solid">
        <fgColor indexed="62"/>
      </patternFill>
    </fill>
    <fill>
      <patternFill patternType="solid">
        <fgColor theme="4" tint="0.79998168889431442"/>
        <bgColor indexed="64"/>
      </patternFill>
    </fill>
    <fill>
      <patternFill patternType="solid">
        <fgColor rgb="FFFFF2CC"/>
        <bgColor indexed="64"/>
      </patternFill>
    </fill>
    <fill>
      <patternFill patternType="solid">
        <fgColor theme="0"/>
        <bgColor indexed="52"/>
      </patternFill>
    </fill>
  </fills>
  <borders count="2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style="thin">
        <color indexed="64"/>
      </left>
      <right style="medium">
        <color indexed="48"/>
      </right>
      <top style="medium">
        <color indexed="48"/>
      </top>
      <bottom style="thin">
        <color indexed="64"/>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51"/>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16"/>
      </left>
      <right style="thin">
        <color indexed="16"/>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right style="thin">
        <color indexed="64"/>
      </right>
      <top style="medium">
        <color indexed="51"/>
      </top>
      <bottom style="thin">
        <color indexed="64"/>
      </bottom>
      <diagonal/>
    </border>
    <border>
      <left style="medium">
        <color indexed="60"/>
      </left>
      <right style="thin">
        <color indexed="60"/>
      </right>
      <top style="medium">
        <color indexed="60"/>
      </top>
      <bottom/>
      <diagonal/>
    </border>
    <border>
      <left style="thin">
        <color indexed="60"/>
      </left>
      <right style="thin">
        <color indexed="60"/>
      </right>
      <top style="medium">
        <color indexed="60"/>
      </top>
      <bottom/>
      <diagonal/>
    </border>
    <border>
      <left style="thin">
        <color indexed="60"/>
      </left>
      <right style="medium">
        <color indexed="60"/>
      </right>
      <top style="medium">
        <color indexed="60"/>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0"/>
      </left>
      <right style="medium">
        <color indexed="60"/>
      </right>
      <top style="medium">
        <color indexed="60"/>
      </top>
      <bottom style="medium">
        <color indexed="60"/>
      </bottom>
      <diagonal/>
    </border>
    <border>
      <left style="thin">
        <color indexed="64"/>
      </left>
      <right style="thin">
        <color indexed="64"/>
      </right>
      <top style="thin">
        <color indexed="64"/>
      </top>
      <bottom/>
      <diagonal/>
    </border>
    <border>
      <left style="medium">
        <color indexed="12"/>
      </left>
      <right style="medium">
        <color indexed="12"/>
      </right>
      <top style="medium">
        <color indexed="12"/>
      </top>
      <bottom style="medium">
        <color indexed="12"/>
      </bottom>
      <diagonal/>
    </border>
    <border>
      <left style="medium">
        <color indexed="51"/>
      </left>
      <right style="medium">
        <color indexed="51"/>
      </right>
      <top style="medium">
        <color indexed="51"/>
      </top>
      <bottom style="medium">
        <color indexed="51"/>
      </bottom>
      <diagonal/>
    </border>
    <border>
      <left style="medium">
        <color indexed="51"/>
      </left>
      <right style="hair">
        <color indexed="64"/>
      </right>
      <top style="hair">
        <color indexed="64"/>
      </top>
      <bottom style="medium">
        <color indexed="5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medium">
        <color indexed="5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top style="thin">
        <color indexed="64"/>
      </top>
      <bottom style="thin">
        <color indexed="64"/>
      </bottom>
      <diagonal/>
    </border>
    <border>
      <left style="medium">
        <color indexed="51"/>
      </left>
      <right/>
      <top style="thin">
        <color indexed="64"/>
      </top>
      <bottom style="medium">
        <color indexed="51"/>
      </bottom>
      <diagonal/>
    </border>
    <border>
      <left style="medium">
        <color indexed="51"/>
      </left>
      <right style="thin">
        <color indexed="64"/>
      </right>
      <top style="thin">
        <color indexed="64"/>
      </top>
      <bottom style="thin">
        <color indexed="64"/>
      </bottom>
      <diagonal/>
    </border>
    <border>
      <left style="medium">
        <color indexed="51"/>
      </left>
      <right style="medium">
        <color indexed="51"/>
      </right>
      <top style="thin">
        <color indexed="64"/>
      </top>
      <bottom style="medium">
        <color indexed="51"/>
      </bottom>
      <diagonal/>
    </border>
    <border>
      <left/>
      <right style="thin">
        <color indexed="64"/>
      </right>
      <top style="thin">
        <color indexed="64"/>
      </top>
      <bottom style="medium">
        <color indexed="51"/>
      </bottom>
      <diagonal/>
    </border>
    <border>
      <left/>
      <right/>
      <top style="medium">
        <color indexed="60"/>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top style="medium">
        <color indexed="51"/>
      </top>
      <bottom style="thin">
        <color indexed="64"/>
      </bottom>
      <diagonal/>
    </border>
    <border>
      <left style="medium">
        <color indexed="51"/>
      </left>
      <right style="thin">
        <color indexed="64"/>
      </right>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0"/>
      </right>
      <top style="dotted">
        <color indexed="64"/>
      </top>
      <bottom style="dotted">
        <color indexed="64"/>
      </bottom>
      <diagonal/>
    </border>
    <border>
      <left style="medium">
        <color indexed="60"/>
      </left>
      <right/>
      <top style="hair">
        <color indexed="64"/>
      </top>
      <bottom style="hair">
        <color indexed="64"/>
      </bottom>
      <diagonal/>
    </border>
    <border>
      <left/>
      <right/>
      <top style="hair">
        <color indexed="64"/>
      </top>
      <bottom style="hair">
        <color indexed="64"/>
      </bottom>
      <diagonal/>
    </border>
    <border>
      <left/>
      <right style="medium">
        <color indexed="60"/>
      </right>
      <top style="hair">
        <color indexed="64"/>
      </top>
      <bottom style="hair">
        <color indexed="64"/>
      </bottom>
      <diagonal/>
    </border>
    <border>
      <left/>
      <right style="medium">
        <color indexed="60"/>
      </right>
      <top/>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right style="medium">
        <color indexed="60"/>
      </right>
      <top/>
      <bottom style="medium">
        <color indexed="60"/>
      </bottom>
      <diagonal/>
    </border>
    <border>
      <left style="dotted">
        <color indexed="64"/>
      </left>
      <right/>
      <top style="medium">
        <color indexed="60"/>
      </top>
      <bottom style="dotted">
        <color indexed="64"/>
      </bottom>
      <diagonal/>
    </border>
    <border>
      <left/>
      <right/>
      <top style="medium">
        <color indexed="60"/>
      </top>
      <bottom style="dotted">
        <color indexed="64"/>
      </bottom>
      <diagonal/>
    </border>
    <border>
      <left/>
      <right style="medium">
        <color indexed="60"/>
      </right>
      <top style="medium">
        <color indexed="60"/>
      </top>
      <bottom style="dotted">
        <color indexed="64"/>
      </bottom>
      <diagonal/>
    </border>
    <border>
      <left style="medium">
        <color indexed="60"/>
      </left>
      <right/>
      <top/>
      <bottom style="medium">
        <color indexed="60"/>
      </bottom>
      <diagonal/>
    </border>
    <border>
      <left/>
      <right/>
      <top/>
      <bottom style="medium">
        <color indexed="52"/>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right style="medium">
        <color indexed="18"/>
      </right>
      <top style="medium">
        <color indexed="18"/>
      </top>
      <bottom style="medium">
        <color indexed="18"/>
      </bottom>
      <diagonal/>
    </border>
    <border>
      <left style="medium">
        <color indexed="18"/>
      </left>
      <right/>
      <top style="medium">
        <color indexed="18"/>
      </top>
      <bottom style="medium">
        <color indexed="62"/>
      </bottom>
      <diagonal/>
    </border>
    <border>
      <left/>
      <right/>
      <top style="medium">
        <color indexed="18"/>
      </top>
      <bottom style="medium">
        <color indexed="62"/>
      </bottom>
      <diagonal/>
    </border>
    <border>
      <left/>
      <right style="medium">
        <color indexed="18"/>
      </right>
      <top style="medium">
        <color indexed="18"/>
      </top>
      <bottom style="medium">
        <color indexed="62"/>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dotted">
        <color indexed="64"/>
      </left>
      <right/>
      <top style="medium">
        <color indexed="62"/>
      </top>
      <bottom/>
      <diagonal/>
    </border>
    <border>
      <left/>
      <right/>
      <top style="medium">
        <color indexed="62"/>
      </top>
      <bottom/>
      <diagonal/>
    </border>
    <border>
      <left/>
      <right style="medium">
        <color indexed="18"/>
      </right>
      <top style="medium">
        <color indexed="62"/>
      </top>
      <bottom/>
      <diagonal/>
    </border>
    <border>
      <left/>
      <right style="medium">
        <color indexed="18"/>
      </right>
      <top style="dotted">
        <color indexed="64"/>
      </top>
      <bottom style="dotted">
        <color indexed="64"/>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right style="medium">
        <color indexed="52"/>
      </right>
      <top/>
      <bottom style="medium">
        <color indexed="52"/>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style="dotted">
        <color indexed="64"/>
      </left>
      <right/>
      <top style="dotted">
        <color indexed="64"/>
      </top>
      <bottom style="medium">
        <color indexed="18"/>
      </bottom>
      <diagonal/>
    </border>
    <border>
      <left/>
      <right/>
      <top style="dotted">
        <color indexed="64"/>
      </top>
      <bottom style="medium">
        <color indexed="18"/>
      </bottom>
      <diagonal/>
    </border>
    <border>
      <left/>
      <right style="medium">
        <color indexed="18"/>
      </right>
      <top style="dotted">
        <color indexed="64"/>
      </top>
      <bottom style="medium">
        <color indexed="18"/>
      </bottom>
      <diagonal/>
    </border>
    <border>
      <left style="hair">
        <color indexed="64"/>
      </left>
      <right/>
      <top style="hair">
        <color indexed="64"/>
      </top>
      <bottom style="medium">
        <color indexed="51"/>
      </bottom>
      <diagonal/>
    </border>
    <border>
      <left/>
      <right/>
      <top style="hair">
        <color indexed="64"/>
      </top>
      <bottom style="medium">
        <color indexed="51"/>
      </bottom>
      <diagonal/>
    </border>
    <border>
      <left/>
      <right style="medium">
        <color indexed="51"/>
      </right>
      <top style="hair">
        <color indexed="64"/>
      </top>
      <bottom style="medium">
        <color indexed="5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57"/>
      </left>
      <right style="medium">
        <color indexed="57"/>
      </right>
      <top style="medium">
        <color indexed="57"/>
      </top>
      <bottom style="medium">
        <color indexed="57"/>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hair">
        <color indexed="64"/>
      </right>
      <top style="medium">
        <color indexed="57"/>
      </top>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57"/>
      </left>
      <right style="hair">
        <color indexed="57"/>
      </right>
      <top style="medium">
        <color indexed="57"/>
      </top>
      <bottom style="medium">
        <color indexed="57"/>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medium">
        <color indexed="57"/>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hair">
        <color indexed="57"/>
      </right>
      <top style="medium">
        <color indexed="57"/>
      </top>
      <bottom style="medium">
        <color indexed="57"/>
      </bottom>
      <diagonal/>
    </border>
    <border>
      <left style="medium">
        <color indexed="64"/>
      </left>
      <right style="hair">
        <color indexed="64"/>
      </right>
      <top style="hair">
        <color indexed="64"/>
      </top>
      <bottom style="hair">
        <color indexed="64"/>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medium">
        <color indexed="57"/>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medium">
        <color indexed="64"/>
      </left>
      <right style="hair">
        <color indexed="64"/>
      </right>
      <top/>
      <bottom style="hair">
        <color indexed="64"/>
      </bottom>
      <diagonal/>
    </border>
    <border>
      <left style="hair">
        <color indexed="64"/>
      </left>
      <right/>
      <top style="medium">
        <color indexed="57"/>
      </top>
      <bottom/>
      <diagonal/>
    </border>
    <border>
      <left style="hair">
        <color indexed="57"/>
      </left>
      <right/>
      <top style="medium">
        <color indexed="57"/>
      </top>
      <bottom style="medium">
        <color indexed="57"/>
      </bottom>
      <diagonal/>
    </border>
    <border>
      <left style="hair">
        <color indexed="64"/>
      </left>
      <right/>
      <top/>
      <bottom style="medium">
        <color indexed="64"/>
      </bottom>
      <diagonal/>
    </border>
    <border>
      <left style="thin">
        <color indexed="60"/>
      </left>
      <right style="thin">
        <color indexed="60"/>
      </right>
      <top style="medium">
        <color indexed="64"/>
      </top>
      <bottom style="thin">
        <color indexed="64"/>
      </bottom>
      <diagonal/>
    </border>
    <border>
      <left/>
      <right style="medium">
        <color indexed="64"/>
      </right>
      <top style="medium">
        <color indexed="64"/>
      </top>
      <bottom/>
      <diagonal/>
    </border>
    <border>
      <left style="medium">
        <color indexed="51"/>
      </left>
      <right/>
      <top style="thin">
        <color indexed="64"/>
      </top>
      <bottom/>
      <diagonal/>
    </border>
    <border>
      <left style="medium">
        <color indexed="51"/>
      </left>
      <right/>
      <top/>
      <bottom style="thin">
        <color indexed="64"/>
      </bottom>
      <diagonal/>
    </border>
    <border>
      <left style="medium">
        <color indexed="51"/>
      </left>
      <right style="medium">
        <color indexed="51"/>
      </right>
      <top style="thin">
        <color indexed="64"/>
      </top>
      <bottom/>
      <diagonal/>
    </border>
    <border>
      <left style="medium">
        <color indexed="51"/>
      </left>
      <right style="medium">
        <color indexed="51"/>
      </right>
      <top/>
      <bottom style="thin">
        <color indexed="64"/>
      </bottom>
      <diagonal/>
    </border>
    <border>
      <left style="medium">
        <color indexed="51"/>
      </left>
      <right style="thin">
        <color indexed="64"/>
      </right>
      <top style="thin">
        <color indexed="64"/>
      </top>
      <bottom/>
      <diagonal/>
    </border>
    <border>
      <left style="thin">
        <color indexed="64"/>
      </left>
      <right style="medium">
        <color indexed="16"/>
      </right>
      <top style="thin">
        <color indexed="64"/>
      </top>
      <bottom style="thin">
        <color indexed="64"/>
      </bottom>
      <diagonal/>
    </border>
    <border>
      <left style="medium">
        <color indexed="48"/>
      </left>
      <right/>
      <top style="thin">
        <color indexed="64"/>
      </top>
      <bottom style="medium">
        <color indexed="48"/>
      </bottom>
      <diagonal/>
    </border>
    <border>
      <left/>
      <right style="thin">
        <color indexed="64"/>
      </right>
      <top style="thin">
        <color indexed="64"/>
      </top>
      <bottom style="medium">
        <color indexed="48"/>
      </bottom>
      <diagonal/>
    </border>
    <border>
      <left style="medium">
        <color indexed="48"/>
      </left>
      <right/>
      <top style="thin">
        <color indexed="64"/>
      </top>
      <bottom style="thin">
        <color indexed="64"/>
      </bottom>
      <diagonal/>
    </border>
    <border>
      <left style="medium">
        <color indexed="48"/>
      </left>
      <right/>
      <top style="medium">
        <color indexed="48"/>
      </top>
      <bottom style="thin">
        <color indexed="64"/>
      </bottom>
      <diagonal/>
    </border>
    <border>
      <left/>
      <right style="thin">
        <color indexed="64"/>
      </right>
      <top style="medium">
        <color indexed="48"/>
      </top>
      <bottom style="thin">
        <color indexed="64"/>
      </bottom>
      <diagonal/>
    </border>
    <border>
      <left style="medium">
        <color indexed="51"/>
      </left>
      <right style="thin">
        <color indexed="64"/>
      </right>
      <top/>
      <bottom style="medium">
        <color indexed="51"/>
      </bottom>
      <diagonal/>
    </border>
    <border>
      <left style="thin">
        <color indexed="16"/>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auto="1"/>
      </top>
      <bottom/>
      <diagonal/>
    </border>
    <border>
      <left/>
      <right/>
      <top/>
      <bottom style="thick">
        <color indexed="62"/>
      </bottom>
      <diagonal/>
    </border>
    <border>
      <left/>
      <right/>
      <top style="thin">
        <color indexed="62"/>
      </top>
      <bottom style="double">
        <color indexed="62"/>
      </bottom>
      <diagonal/>
    </border>
    <border>
      <left style="hair">
        <color theme="8"/>
      </left>
      <right style="hair">
        <color theme="8"/>
      </right>
      <top style="hair">
        <color theme="8"/>
      </top>
      <bottom style="hair">
        <color theme="8"/>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51"/>
      </right>
      <top style="medium">
        <color indexed="51"/>
      </top>
      <bottom style="thin">
        <color indexed="64"/>
      </bottom>
      <diagonal/>
    </border>
    <border>
      <left/>
      <right style="medium">
        <color indexed="51"/>
      </right>
      <top style="thin">
        <color indexed="64"/>
      </top>
      <bottom/>
      <diagonal/>
    </border>
    <border>
      <left/>
      <right style="medium">
        <color indexed="51"/>
      </right>
      <top/>
      <bottom style="thin">
        <color indexed="64"/>
      </bottom>
      <diagonal/>
    </border>
    <border>
      <left/>
      <right style="medium">
        <color indexed="51"/>
      </right>
      <top/>
      <bottom style="medium">
        <color indexed="51"/>
      </bottom>
      <diagonal/>
    </border>
  </borders>
  <cellStyleXfs count="17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172"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2" fillId="0" borderId="4" applyNumberFormat="0" applyFill="0" applyAlignment="0" applyProtection="0"/>
    <xf numFmtId="0" fontId="73" fillId="0" borderId="5" applyNumberFormat="0" applyFill="0" applyAlignment="0" applyProtection="0"/>
    <xf numFmtId="0" fontId="40" fillId="0" borderId="6" applyNumberFormat="0" applyFill="0" applyAlignment="0" applyProtection="0"/>
    <xf numFmtId="0" fontId="40"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164" fontId="2" fillId="0" borderId="0" applyFill="0" applyBorder="0" applyAlignment="0" applyProtection="0"/>
    <xf numFmtId="164" fontId="1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 fillId="0" borderId="0"/>
    <xf numFmtId="164" fontId="1" fillId="0" borderId="0"/>
    <xf numFmtId="164" fontId="116" fillId="0" borderId="0"/>
    <xf numFmtId="164" fontId="116" fillId="0" borderId="0"/>
    <xf numFmtId="164" fontId="116" fillId="0" borderId="0"/>
    <xf numFmtId="164" fontId="116" fillId="0" borderId="0"/>
    <xf numFmtId="0" fontId="66" fillId="0" borderId="0"/>
    <xf numFmtId="0" fontId="2" fillId="4" borderId="7" applyNumberFormat="0" applyFont="0" applyAlignment="0" applyProtection="0"/>
    <xf numFmtId="0" fontId="8" fillId="2" borderId="8" applyNumberFormat="0" applyAlignment="0" applyProtection="0"/>
    <xf numFmtId="0" fontId="41" fillId="0" borderId="0" applyNumberFormat="0" applyFill="0" applyBorder="0" applyAlignment="0" applyProtection="0"/>
    <xf numFmtId="164" fontId="116" fillId="0" borderId="9" applyNumberFormat="0" applyFill="0" applyAlignment="0" applyProtection="0"/>
    <xf numFmtId="164" fontId="1" fillId="0" borderId="9" applyNumberFormat="0" applyFill="0" applyAlignment="0" applyProtection="0"/>
    <xf numFmtId="164" fontId="1" fillId="0" borderId="9" applyNumberFormat="0" applyFill="0" applyAlignment="0" applyProtection="0"/>
    <xf numFmtId="164" fontId="116" fillId="0" borderId="9" applyNumberFormat="0" applyFill="0" applyAlignment="0" applyProtection="0"/>
    <xf numFmtId="0" fontId="74" fillId="0" borderId="0" applyNumberForma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0" fontId="116" fillId="0" borderId="0"/>
    <xf numFmtId="0" fontId="134" fillId="0" borderId="0"/>
    <xf numFmtId="0" fontId="135" fillId="0" borderId="0"/>
    <xf numFmtId="9" fontId="2" fillId="0" borderId="0" applyFont="0" applyFill="0" applyBorder="0" applyAlignment="0" applyProtection="0"/>
    <xf numFmtId="9" fontId="135" fillId="0" borderId="0" applyFont="0" applyFill="0" applyBorder="0" applyAlignment="0" applyProtection="0"/>
    <xf numFmtId="43" fontId="135" fillId="0" borderId="0" applyFont="0" applyFill="0" applyBorder="0" applyAlignment="0" applyProtection="0"/>
    <xf numFmtId="3" fontId="136" fillId="43" borderId="0">
      <alignment horizontal="center"/>
    </xf>
    <xf numFmtId="9" fontId="136" fillId="43" borderId="0">
      <alignment horizontal="center"/>
    </xf>
    <xf numFmtId="3" fontId="137" fillId="0" borderId="0">
      <alignment horizontal="center" vertical="center"/>
      <protection locked="0"/>
    </xf>
    <xf numFmtId="176" fontId="137" fillId="0" borderId="0">
      <alignment horizontal="center" vertical="center"/>
      <protection locked="0"/>
    </xf>
    <xf numFmtId="49" fontId="138" fillId="0" borderId="0">
      <alignment horizontal="left"/>
    </xf>
    <xf numFmtId="0" fontId="139" fillId="0" borderId="0" applyNumberFormat="0" applyFill="0" applyBorder="0" applyAlignment="0" applyProtection="0"/>
    <xf numFmtId="0" fontId="2" fillId="0" borderId="0"/>
    <xf numFmtId="0" fontId="140" fillId="0" borderId="0"/>
    <xf numFmtId="0" fontId="135" fillId="0" borderId="0"/>
    <xf numFmtId="0" fontId="135" fillId="0" borderId="0"/>
    <xf numFmtId="0" fontId="135" fillId="0" borderId="0"/>
    <xf numFmtId="0" fontId="129" fillId="0" borderId="0"/>
    <xf numFmtId="0" fontId="129" fillId="0" borderId="0"/>
    <xf numFmtId="166" fontId="141" fillId="0" borderId="0" applyFont="0" applyFill="0" applyBorder="0" applyAlignment="0" applyProtection="0"/>
    <xf numFmtId="9" fontId="141" fillId="0" borderId="0" applyFont="0" applyFill="0" applyBorder="0" applyAlignment="0" applyProtection="0"/>
    <xf numFmtId="0" fontId="144" fillId="0" borderId="0"/>
    <xf numFmtId="165" fontId="144" fillId="0" borderId="0" applyFont="0" applyFill="0" applyBorder="0" applyAlignment="0" applyProtection="0"/>
    <xf numFmtId="43" fontId="141" fillId="0" borderId="0" applyFont="0" applyFill="0" applyBorder="0" applyAlignment="0" applyProtection="0"/>
    <xf numFmtId="165" fontId="135" fillId="0" borderId="0" applyFont="0" applyFill="0" applyBorder="0" applyAlignment="0" applyProtection="0"/>
    <xf numFmtId="9" fontId="141" fillId="0" borderId="0" applyFont="0" applyFill="0" applyBorder="0" applyAlignment="0" applyProtection="0"/>
    <xf numFmtId="178" fontId="136" fillId="0" borderId="245">
      <alignment horizontal="center" vertical="center"/>
    </xf>
    <xf numFmtId="179" fontId="146" fillId="0" borderId="0">
      <protection locked="0"/>
    </xf>
    <xf numFmtId="179" fontId="107" fillId="0" borderId="0">
      <alignment horizontal="center" vertical="center"/>
    </xf>
    <xf numFmtId="0" fontId="147"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179" fontId="124" fillId="44" borderId="0" applyNumberFormat="0" applyBorder="0" applyAlignment="0" applyProtection="0"/>
    <xf numFmtId="179" fontId="124" fillId="6" borderId="0" applyNumberFormat="0" applyBorder="0" applyAlignment="0" applyProtection="0"/>
    <xf numFmtId="179" fontId="124" fillId="7" borderId="0" applyNumberFormat="0" applyBorder="0" applyAlignment="0" applyProtection="0"/>
    <xf numFmtId="179" fontId="124" fillId="45" borderId="0" applyNumberFormat="0" applyBorder="0" applyAlignment="0" applyProtection="0"/>
    <xf numFmtId="179" fontId="124" fillId="5" borderId="0" applyNumberFormat="0" applyBorder="0" applyAlignment="0" applyProtection="0"/>
    <xf numFmtId="179" fontId="124" fillId="3" borderId="0" applyNumberFormat="0" applyBorder="0" applyAlignment="0" applyProtection="0"/>
    <xf numFmtId="179" fontId="124" fillId="11" borderId="0" applyNumberFormat="0" applyBorder="0" applyAlignment="0" applyProtection="0"/>
    <xf numFmtId="179" fontId="124" fillId="9" borderId="0" applyNumberFormat="0" applyBorder="0" applyAlignment="0" applyProtection="0"/>
    <xf numFmtId="179" fontId="124" fillId="46" borderId="0" applyNumberFormat="0" applyBorder="0" applyAlignment="0" applyProtection="0"/>
    <xf numFmtId="179" fontId="124" fillId="45" borderId="0" applyNumberFormat="0" applyBorder="0" applyAlignment="0" applyProtection="0"/>
    <xf numFmtId="179" fontId="124" fillId="11" borderId="0" applyNumberFormat="0" applyBorder="0" applyAlignment="0" applyProtection="0"/>
    <xf numFmtId="179" fontId="124" fillId="47" borderId="0" applyNumberFormat="0" applyBorder="0" applyAlignment="0" applyProtection="0"/>
    <xf numFmtId="179" fontId="149" fillId="48" borderId="0" applyNumberFormat="0" applyBorder="0" applyAlignment="0" applyProtection="0"/>
    <xf numFmtId="179" fontId="149" fillId="9" borderId="0" applyNumberFormat="0" applyBorder="0" applyAlignment="0" applyProtection="0"/>
    <xf numFmtId="179" fontId="149" fillId="46" borderId="0" applyNumberFormat="0" applyBorder="0" applyAlignment="0" applyProtection="0"/>
    <xf numFmtId="179" fontId="149" fillId="49" borderId="0" applyNumberFormat="0" applyBorder="0" applyAlignment="0" applyProtection="0"/>
    <xf numFmtId="179" fontId="149" fillId="12" borderId="0" applyNumberFormat="0" applyBorder="0" applyAlignment="0" applyProtection="0"/>
    <xf numFmtId="179" fontId="149" fillId="50" borderId="0" applyNumberFormat="0" applyBorder="0" applyAlignment="0" applyProtection="0"/>
    <xf numFmtId="0" fontId="143" fillId="0" borderId="0" applyNumberFormat="0" applyFill="0" applyBorder="0" applyAlignment="0" applyProtection="0">
      <alignment vertical="top"/>
      <protection locked="0"/>
    </xf>
    <xf numFmtId="43" fontId="135" fillId="0" borderId="0" applyFont="0" applyFill="0" applyBorder="0" applyAlignment="0" applyProtection="0"/>
    <xf numFmtId="165" fontId="124" fillId="0" borderId="0" applyFont="0" applyFill="0" applyBorder="0" applyAlignment="0" applyProtection="0"/>
    <xf numFmtId="180" fontId="135" fillId="0" borderId="0" applyFont="0" applyFill="0" applyBorder="0" applyAlignment="0" applyProtection="0"/>
    <xf numFmtId="179" fontId="139" fillId="0" borderId="0" applyNumberFormat="0" applyFill="0" applyBorder="0" applyAlignment="0" applyProtection="0">
      <alignment vertical="top"/>
      <protection locked="0"/>
    </xf>
    <xf numFmtId="0" fontId="150" fillId="0" borderId="0"/>
    <xf numFmtId="0" fontId="151" fillId="0" borderId="0" applyNumberFormat="0" applyFill="0" applyBorder="0" applyAlignment="0" applyProtection="0">
      <alignment vertical="top"/>
      <protection locked="0"/>
    </xf>
    <xf numFmtId="0" fontId="135" fillId="7" borderId="10" applyBorder="0">
      <alignment vertical="top"/>
    </xf>
    <xf numFmtId="179" fontId="136" fillId="0" borderId="0"/>
    <xf numFmtId="0" fontId="141" fillId="0" borderId="0"/>
    <xf numFmtId="0" fontId="135" fillId="0" borderId="0"/>
    <xf numFmtId="0" fontId="141" fillId="0" borderId="0"/>
    <xf numFmtId="179" fontId="135" fillId="0" borderId="0"/>
    <xf numFmtId="0" fontId="141" fillId="0" borderId="0"/>
    <xf numFmtId="9" fontId="141" fillId="0" borderId="0" applyFont="0" applyFill="0" applyBorder="0" applyAlignment="0" applyProtection="0"/>
    <xf numFmtId="9" fontId="141" fillId="0" borderId="0" applyFont="0" applyFill="0" applyBorder="0" applyAlignment="0" applyProtection="0"/>
    <xf numFmtId="9" fontId="141" fillId="0" borderId="0" applyFont="0" applyFill="0" applyBorder="0" applyAlignment="0" applyProtection="0"/>
    <xf numFmtId="9" fontId="152" fillId="0" borderId="0" applyFont="0" applyFill="0" applyBorder="0" applyAlignment="0" applyProtection="0"/>
    <xf numFmtId="0" fontId="145" fillId="8" borderId="41">
      <alignment horizontal="centerContinuous"/>
    </xf>
    <xf numFmtId="49" fontId="142" fillId="51" borderId="10">
      <alignment horizontal="center" vertical="center" wrapText="1"/>
    </xf>
    <xf numFmtId="179" fontId="149" fillId="52" borderId="0" applyNumberFormat="0" applyBorder="0" applyAlignment="0" applyProtection="0"/>
    <xf numFmtId="179" fontId="149" fillId="13" borderId="0" applyNumberFormat="0" applyBorder="0" applyAlignment="0" applyProtection="0"/>
    <xf numFmtId="179" fontId="149" fillId="15" borderId="0" applyNumberFormat="0" applyBorder="0" applyAlignment="0" applyProtection="0"/>
    <xf numFmtId="179" fontId="149" fillId="49" borderId="0" applyNumberFormat="0" applyBorder="0" applyAlignment="0" applyProtection="0"/>
    <xf numFmtId="179" fontId="149" fillId="12" borderId="0" applyNumberFormat="0" applyBorder="0" applyAlignment="0" applyProtection="0"/>
    <xf numFmtId="179" fontId="149" fillId="14" borderId="0" applyNumberFormat="0" applyBorder="0" applyAlignment="0" applyProtection="0"/>
    <xf numFmtId="179" fontId="153" fillId="3" borderId="1" applyNumberFormat="0" applyAlignment="0" applyProtection="0"/>
    <xf numFmtId="179" fontId="154" fillId="8" borderId="8" applyNumberFormat="0" applyAlignment="0" applyProtection="0"/>
    <xf numFmtId="179" fontId="155" fillId="8" borderId="1" applyNumberFormat="0" applyAlignment="0" applyProtection="0"/>
    <xf numFmtId="0" fontId="139" fillId="0" borderId="0" applyNumberFormat="0" applyFill="0" applyBorder="0" applyAlignment="0" applyProtection="0">
      <alignment vertical="top"/>
      <protection locked="0"/>
    </xf>
    <xf numFmtId="0" fontId="156" fillId="0" borderId="0" applyNumberFormat="0" applyFill="0" applyBorder="0" applyAlignment="0" applyProtection="0">
      <alignment vertical="top"/>
      <protection locked="0"/>
    </xf>
    <xf numFmtId="179" fontId="157" fillId="0" borderId="246" applyNumberFormat="0" applyFill="0" applyAlignment="0" applyProtection="0"/>
    <xf numFmtId="179" fontId="158" fillId="0" borderId="5" applyNumberFormat="0" applyFill="0" applyAlignment="0" applyProtection="0"/>
    <xf numFmtId="179" fontId="159" fillId="0" borderId="9" applyNumberFormat="0" applyFill="0" applyAlignment="0" applyProtection="0"/>
    <xf numFmtId="179" fontId="159" fillId="0" borderId="0" applyNumberFormat="0" applyFill="0" applyBorder="0" applyAlignment="0" applyProtection="0"/>
    <xf numFmtId="179" fontId="133" fillId="0" borderId="247" applyNumberFormat="0" applyFill="0" applyAlignment="0" applyProtection="0"/>
    <xf numFmtId="179" fontId="160" fillId="18" borderId="2" applyNumberFormat="0" applyAlignment="0" applyProtection="0"/>
    <xf numFmtId="179" fontId="161" fillId="0" borderId="0" applyNumberFormat="0" applyFill="0" applyBorder="0" applyAlignment="0" applyProtection="0"/>
    <xf numFmtId="179" fontId="162" fillId="10" borderId="0" applyNumberFormat="0" applyBorder="0" applyAlignment="0" applyProtection="0"/>
    <xf numFmtId="0" fontId="134" fillId="0" borderId="0"/>
    <xf numFmtId="0" fontId="141" fillId="0" borderId="0"/>
    <xf numFmtId="0" fontId="135" fillId="0" borderId="0"/>
    <xf numFmtId="0" fontId="124" fillId="0" borderId="0"/>
    <xf numFmtId="0" fontId="124" fillId="0" borderId="0"/>
    <xf numFmtId="0" fontId="135" fillId="0" borderId="0"/>
    <xf numFmtId="0" fontId="134" fillId="0" borderId="0"/>
    <xf numFmtId="179" fontId="163" fillId="6" borderId="0" applyNumberFormat="0" applyBorder="0" applyAlignment="0" applyProtection="0"/>
    <xf numFmtId="179" fontId="164" fillId="0" borderId="0" applyNumberFormat="0" applyFill="0" applyBorder="0" applyAlignment="0" applyProtection="0"/>
    <xf numFmtId="179" fontId="135" fillId="4" borderId="7" applyNumberFormat="0" applyFont="0" applyAlignment="0" applyProtection="0"/>
    <xf numFmtId="9" fontId="134" fillId="0" borderId="0" applyFont="0" applyFill="0" applyBorder="0" applyAlignment="0" applyProtection="0"/>
    <xf numFmtId="179" fontId="165" fillId="0" borderId="3" applyNumberFormat="0" applyFill="0" applyAlignment="0" applyProtection="0"/>
    <xf numFmtId="179" fontId="166" fillId="0" borderId="0" applyNumberFormat="0" applyFill="0" applyBorder="0" applyAlignment="0" applyProtection="0"/>
    <xf numFmtId="165" fontId="135" fillId="0" borderId="0" applyFont="0" applyFill="0" applyBorder="0" applyAlignment="0" applyProtection="0"/>
    <xf numFmtId="165" fontId="141" fillId="0" borderId="0" applyFont="0" applyFill="0" applyBorder="0" applyAlignment="0" applyProtection="0"/>
    <xf numFmtId="177" fontId="135" fillId="0" borderId="0" applyFont="0" applyFill="0" applyBorder="0" applyAlignment="0" applyProtection="0"/>
    <xf numFmtId="170" fontId="135" fillId="0" borderId="0" applyFont="0" applyFill="0" applyBorder="0" applyAlignment="0" applyProtection="0"/>
    <xf numFmtId="166" fontId="134" fillId="0" borderId="0" applyFont="0" applyFill="0" applyBorder="0" applyAlignment="0" applyProtection="0"/>
    <xf numFmtId="166" fontId="135" fillId="0" borderId="0" applyFont="0" applyFill="0" applyBorder="0" applyAlignment="0" applyProtection="0"/>
    <xf numFmtId="179" fontId="167" fillId="7" borderId="0" applyNumberFormat="0" applyBorder="0" applyAlignment="0" applyProtection="0"/>
    <xf numFmtId="181" fontId="167" fillId="7" borderId="0" applyNumberFormat="0" applyBorder="0" applyAlignment="0" applyProtection="0"/>
    <xf numFmtId="0" fontId="20" fillId="0" borderId="0"/>
    <xf numFmtId="0" fontId="168" fillId="0" borderId="0" applyFill="0" applyBorder="0" applyProtection="0">
      <alignment horizontal="left"/>
    </xf>
  </cellStyleXfs>
  <cellXfs count="1216">
    <xf numFmtId="0" fontId="0" fillId="0" borderId="0" xfId="0"/>
    <xf numFmtId="164" fontId="16" fillId="0" borderId="0" xfId="38" applyFont="1" applyFill="1" applyAlignment="1">
      <alignment vertical="center"/>
    </xf>
    <xf numFmtId="0" fontId="0" fillId="0" borderId="0" xfId="0" applyBorder="1" applyProtection="1"/>
    <xf numFmtId="0" fontId="0" fillId="0" borderId="0" xfId="0" applyProtection="1"/>
    <xf numFmtId="164" fontId="22" fillId="0" borderId="0" xfId="38" applyFont="1" applyFill="1" applyAlignment="1" applyProtection="1">
      <alignment vertical="center"/>
    </xf>
    <xf numFmtId="0" fontId="21" fillId="0" borderId="0" xfId="0" applyFont="1" applyProtection="1"/>
    <xf numFmtId="164" fontId="19" fillId="0" borderId="0" xfId="49" applyFont="1" applyFill="1" applyAlignment="1" applyProtection="1"/>
    <xf numFmtId="164" fontId="19" fillId="0" borderId="0" xfId="49" applyFont="1" applyFill="1" applyAlignment="1" applyProtection="1">
      <alignment horizontal="center"/>
    </xf>
    <xf numFmtId="164" fontId="19" fillId="0" borderId="0" xfId="49" applyFont="1" applyFill="1" applyAlignment="1" applyProtection="1">
      <alignment horizontal="right"/>
    </xf>
    <xf numFmtId="164" fontId="19" fillId="0" borderId="0" xfId="49" applyFont="1" applyFill="1" applyBorder="1" applyAlignment="1" applyProtection="1">
      <alignment horizontal="center"/>
    </xf>
    <xf numFmtId="164" fontId="116" fillId="0" borderId="0" xfId="48" applyProtection="1"/>
    <xf numFmtId="164" fontId="15" fillId="0" borderId="0" xfId="48" applyFont="1" applyProtection="1"/>
    <xf numFmtId="0" fontId="18" fillId="0" borderId="0" xfId="48" applyNumberFormat="1" applyFont="1" applyBorder="1" applyProtection="1"/>
    <xf numFmtId="164" fontId="116" fillId="0" borderId="0" xfId="50" applyProtection="1"/>
    <xf numFmtId="164" fontId="116" fillId="0" borderId="0" xfId="50" applyFill="1" applyBorder="1" applyAlignment="1" applyProtection="1">
      <alignment horizontal="left"/>
    </xf>
    <xf numFmtId="0" fontId="0" fillId="0" borderId="0" xfId="0" applyFill="1" applyBorder="1" applyProtection="1"/>
    <xf numFmtId="164" fontId="116" fillId="0" borderId="0" xfId="50" applyFill="1" applyBorder="1" applyProtection="1"/>
    <xf numFmtId="0" fontId="15" fillId="0" borderId="0" xfId="0" applyFont="1" applyProtection="1"/>
    <xf numFmtId="164" fontId="15" fillId="0" borderId="0" xfId="50" applyFont="1" applyProtection="1"/>
    <xf numFmtId="0" fontId="0" fillId="0" borderId="0" xfId="0" applyBorder="1"/>
    <xf numFmtId="0" fontId="0" fillId="0" borderId="0" xfId="0" applyFill="1" applyBorder="1"/>
    <xf numFmtId="15" fontId="29" fillId="0" borderId="0" xfId="0" applyNumberFormat="1" applyFont="1" applyFill="1" applyBorder="1" applyAlignment="1" applyProtection="1">
      <alignment horizontal="center" vertical="center" wrapText="1"/>
      <protection locked="0"/>
    </xf>
    <xf numFmtId="164" fontId="28" fillId="0" borderId="0" xfId="0" applyNumberFormat="1" applyFont="1"/>
    <xf numFmtId="168" fontId="28" fillId="0" borderId="0" xfId="62" applyNumberFormat="1" applyFont="1" applyAlignment="1">
      <alignment horizontal="left"/>
    </xf>
    <xf numFmtId="164" fontId="16" fillId="0" borderId="0" xfId="47" applyFont="1" applyFill="1" applyAlignment="1">
      <alignment vertical="center"/>
    </xf>
    <xf numFmtId="0" fontId="0" fillId="0" borderId="10" xfId="0" applyBorder="1" applyAlignment="1">
      <alignment horizontal="center"/>
    </xf>
    <xf numFmtId="0" fontId="1" fillId="0" borderId="0" xfId="0" applyFont="1" applyBorder="1" applyAlignment="1"/>
    <xf numFmtId="0" fontId="1" fillId="0" borderId="0" xfId="0" applyFont="1" applyFill="1" applyBorder="1" applyAlignment="1"/>
    <xf numFmtId="0" fontId="42" fillId="0" borderId="0" xfId="0" applyFont="1"/>
    <xf numFmtId="0" fontId="42" fillId="0" borderId="0" xfId="0" applyFont="1" applyAlignment="1">
      <alignment horizontal="right"/>
    </xf>
    <xf numFmtId="0" fontId="42" fillId="0" borderId="0" xfId="0" applyFont="1" applyBorder="1"/>
    <xf numFmtId="0" fontId="45" fillId="0" borderId="0" xfId="0" applyFont="1"/>
    <xf numFmtId="0" fontId="42" fillId="0" borderId="0" xfId="0" applyNumberFormat="1" applyFont="1" applyBorder="1"/>
    <xf numFmtId="0" fontId="0" fillId="0" borderId="0" xfId="0" applyFill="1"/>
    <xf numFmtId="10" fontId="6" fillId="0" borderId="0" xfId="61" applyNumberFormat="1" applyFont="1" applyFill="1" applyBorder="1" applyAlignment="1">
      <alignment horizontal="center"/>
    </xf>
    <xf numFmtId="10" fontId="6" fillId="0" borderId="0" xfId="61" applyNumberFormat="1" applyFont="1" applyFill="1" applyBorder="1" applyAlignment="1" applyProtection="1">
      <alignment horizontal="center"/>
      <protection locked="0"/>
    </xf>
    <xf numFmtId="164" fontId="28" fillId="0" borderId="0" xfId="0" applyNumberFormat="1" applyFont="1" applyFill="1" applyBorder="1" applyAlignment="1"/>
    <xf numFmtId="164" fontId="116" fillId="0" borderId="0" xfId="59" applyFill="1" applyBorder="1" applyAlignment="1" applyProtection="1">
      <alignment vertical="center"/>
      <protection locked="0"/>
    </xf>
    <xf numFmtId="167"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164" fontId="38" fillId="0" borderId="0" xfId="59"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16" fillId="0" borderId="0" xfId="56"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164" fontId="68" fillId="0" borderId="0" xfId="48" applyFont="1" applyProtection="1"/>
    <xf numFmtId="164" fontId="68" fillId="0" borderId="0" xfId="50" applyFont="1" applyProtection="1"/>
    <xf numFmtId="0" fontId="68" fillId="0" borderId="10" xfId="0" applyFont="1" applyFill="1" applyBorder="1" applyAlignment="1" applyProtection="1">
      <alignment horizontal="center"/>
    </xf>
    <xf numFmtId="0" fontId="68" fillId="0" borderId="10" xfId="0" applyFont="1" applyFill="1" applyBorder="1" applyProtection="1"/>
    <xf numFmtId="164" fontId="68" fillId="0" borderId="10" xfId="50" applyFont="1" applyBorder="1" applyProtection="1"/>
    <xf numFmtId="0" fontId="69" fillId="0" borderId="10" xfId="0" applyFont="1" applyBorder="1" applyAlignment="1" applyProtection="1">
      <alignment horizontal="left" indent="1"/>
    </xf>
    <xf numFmtId="0" fontId="70" fillId="19" borderId="10" xfId="0" applyFont="1" applyFill="1" applyBorder="1" applyAlignment="1" applyProtection="1">
      <alignment horizontal="center"/>
    </xf>
    <xf numFmtId="0" fontId="70"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62" applyNumberFormat="1" applyFont="1" applyFill="1" applyBorder="1"/>
    <xf numFmtId="9" fontId="15" fillId="20" borderId="11" xfId="61" applyFont="1" applyFill="1" applyBorder="1"/>
    <xf numFmtId="9" fontId="15" fillId="20" borderId="11" xfId="61" applyNumberFormat="1" applyFont="1" applyFill="1" applyBorder="1"/>
    <xf numFmtId="0" fontId="15" fillId="20" borderId="11" xfId="0" applyFont="1" applyFill="1" applyBorder="1"/>
    <xf numFmtId="9" fontId="15" fillId="20" borderId="11" xfId="61" applyFont="1" applyFill="1" applyBorder="1" applyAlignment="1">
      <alignment horizontal="center"/>
    </xf>
    <xf numFmtId="0" fontId="15" fillId="0" borderId="0" xfId="0" applyFont="1"/>
    <xf numFmtId="0" fontId="14" fillId="0" borderId="0" xfId="0" applyFont="1"/>
    <xf numFmtId="0" fontId="45" fillId="0" borderId="0" xfId="0" applyFont="1" applyFill="1"/>
    <xf numFmtId="0" fontId="77" fillId="19" borderId="12" xfId="0" applyFont="1" applyFill="1" applyBorder="1" applyAlignment="1">
      <alignment vertical="center"/>
    </xf>
    <xf numFmtId="0" fontId="75" fillId="0" borderId="0" xfId="52"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0" fillId="20" borderId="0" xfId="0" applyNumberFormat="1" applyFont="1" applyFill="1" applyBorder="1" applyAlignment="1">
      <alignment horizontal="center"/>
    </xf>
    <xf numFmtId="0" fontId="80" fillId="0" borderId="0" xfId="0" applyFont="1" applyFill="1" applyBorder="1" applyAlignment="1" applyProtection="1">
      <alignment horizontal="left"/>
    </xf>
    <xf numFmtId="0" fontId="81" fillId="0" borderId="0" xfId="0" applyFont="1"/>
    <xf numFmtId="164" fontId="38" fillId="0" borderId="0" xfId="59" applyFont="1" applyFill="1" applyBorder="1" applyAlignment="1" applyProtection="1">
      <alignment horizontal="center" vertical="center"/>
      <protection locked="0"/>
    </xf>
    <xf numFmtId="15" fontId="0" fillId="0" borderId="0" xfId="0" applyNumberFormat="1"/>
    <xf numFmtId="164" fontId="31" fillId="0" borderId="14" xfId="59" applyFont="1" applyBorder="1" applyAlignment="1" applyProtection="1"/>
    <xf numFmtId="164" fontId="116" fillId="0" borderId="14" xfId="59" applyFill="1" applyBorder="1" applyAlignment="1" applyProtection="1">
      <alignment vertical="center"/>
    </xf>
    <xf numFmtId="164" fontId="31" fillId="0" borderId="0" xfId="59" applyFont="1" applyBorder="1" applyAlignment="1" applyProtection="1"/>
    <xf numFmtId="164" fontId="116" fillId="0" borderId="0" xfId="59"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8"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61"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64" fontId="37" fillId="0" borderId="18" xfId="59" applyFont="1" applyBorder="1" applyAlignment="1" applyProtection="1"/>
    <xf numFmtId="164" fontId="38" fillId="0" borderId="18" xfId="59" applyFont="1" applyFill="1" applyBorder="1" applyAlignment="1" applyProtection="1">
      <alignment vertical="center"/>
    </xf>
    <xf numFmtId="164" fontId="38" fillId="0" borderId="0" xfId="59" applyFont="1" applyFill="1" applyBorder="1" applyAlignment="1" applyProtection="1">
      <alignment vertical="center"/>
    </xf>
    <xf numFmtId="164" fontId="37" fillId="0" borderId="0" xfId="59" applyFont="1" applyBorder="1" applyAlignment="1" applyProtection="1"/>
    <xf numFmtId="164" fontId="39" fillId="0" borderId="0" xfId="59" applyFont="1" applyFill="1" applyBorder="1" applyAlignment="1" applyProtection="1">
      <alignment vertical="center"/>
    </xf>
    <xf numFmtId="0" fontId="14" fillId="0" borderId="0" xfId="0" applyFont="1" applyBorder="1" applyAlignment="1" applyProtection="1">
      <alignment horizontal="center"/>
    </xf>
    <xf numFmtId="0" fontId="14" fillId="0" borderId="19" xfId="0" applyFont="1" applyBorder="1" applyAlignment="1" applyProtection="1">
      <alignment horizontal="center"/>
    </xf>
    <xf numFmtId="0" fontId="14" fillId="0" borderId="19" xfId="0" applyFont="1" applyBorder="1" applyAlignment="1" applyProtection="1">
      <alignment horizontal="center" wrapText="1"/>
    </xf>
    <xf numFmtId="1" fontId="21" fillId="20" borderId="20" xfId="0" applyNumberFormat="1" applyFont="1" applyFill="1" applyBorder="1" applyAlignment="1" applyProtection="1">
      <alignment horizontal="center"/>
    </xf>
    <xf numFmtId="1" fontId="21" fillId="20" borderId="22" xfId="0" applyNumberFormat="1" applyFont="1" applyFill="1" applyBorder="1" applyAlignment="1" applyProtection="1">
      <alignment horizontal="center"/>
    </xf>
    <xf numFmtId="0" fontId="0" fillId="0" borderId="24" xfId="0" applyBorder="1" applyAlignment="1" applyProtection="1">
      <alignment horizontal="center"/>
    </xf>
    <xf numFmtId="0" fontId="0" fillId="0" borderId="0" xfId="0" applyFill="1" applyBorder="1" applyAlignment="1" applyProtection="1">
      <alignment horizontal="center" wrapText="1"/>
    </xf>
    <xf numFmtId="164" fontId="0" fillId="0" borderId="0" xfId="0" applyNumberFormat="1" applyFill="1" applyBorder="1" applyProtection="1"/>
    <xf numFmtId="164" fontId="67" fillId="0" borderId="25" xfId="59" applyFont="1" applyFill="1" applyBorder="1" applyAlignment="1" applyProtection="1"/>
    <xf numFmtId="164" fontId="38" fillId="0" borderId="25" xfId="59" applyFont="1" applyFill="1" applyBorder="1" applyAlignment="1" applyProtection="1">
      <alignment vertical="center"/>
    </xf>
    <xf numFmtId="168" fontId="28" fillId="0" borderId="0" xfId="62" applyNumberFormat="1" applyFont="1" applyAlignment="1" applyProtection="1">
      <alignment horizontal="left"/>
    </xf>
    <xf numFmtId="15" fontId="28" fillId="0" borderId="0" xfId="0" applyNumberFormat="1" applyFont="1" applyAlignment="1" applyProtection="1">
      <alignment horizontal="left"/>
    </xf>
    <xf numFmtId="164" fontId="28" fillId="0" borderId="0" xfId="0" applyNumberFormat="1" applyFont="1" applyProtection="1"/>
    <xf numFmtId="164" fontId="28" fillId="0" borderId="0" xfId="0" applyNumberFormat="1" applyFont="1" applyBorder="1" applyProtection="1"/>
    <xf numFmtId="164" fontId="28" fillId="0" borderId="0" xfId="0" applyNumberFormat="1" applyFont="1" applyBorder="1" applyAlignment="1" applyProtection="1">
      <alignment horizontal="right"/>
    </xf>
    <xf numFmtId="168" fontId="28" fillId="0" borderId="0" xfId="62"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42" fillId="0" borderId="0" xfId="0" applyFont="1" applyProtection="1"/>
    <xf numFmtId="0" fontId="42" fillId="0" borderId="0" xfId="0" applyFont="1" applyAlignment="1" applyProtection="1">
      <alignment horizontal="right"/>
    </xf>
    <xf numFmtId="0" fontId="42" fillId="0" borderId="0" xfId="0" applyFont="1" applyBorder="1" applyProtection="1"/>
    <xf numFmtId="0" fontId="44" fillId="0" borderId="0" xfId="0" applyFont="1" applyBorder="1" applyAlignment="1" applyProtection="1">
      <alignment horizontal="left" vertical="center"/>
    </xf>
    <xf numFmtId="0" fontId="44" fillId="0" borderId="0" xfId="0" applyFont="1" applyBorder="1" applyAlignment="1" applyProtection="1">
      <alignment horizontal="left"/>
    </xf>
    <xf numFmtId="169" fontId="44" fillId="0" borderId="0" xfId="0" applyNumberFormat="1" applyFont="1" applyBorder="1" applyAlignment="1" applyProtection="1">
      <alignment horizontal="left"/>
    </xf>
    <xf numFmtId="0" fontId="45" fillId="0" borderId="0" xfId="0" applyFont="1" applyProtection="1"/>
    <xf numFmtId="0" fontId="46" fillId="0" borderId="0" xfId="0" applyFont="1" applyFill="1" applyBorder="1" applyProtection="1"/>
    <xf numFmtId="0" fontId="47" fillId="0" borderId="0" xfId="0" applyFont="1" applyFill="1" applyBorder="1" applyProtection="1"/>
    <xf numFmtId="0" fontId="49" fillId="0" borderId="0" xfId="0" applyFont="1" applyFill="1" applyBorder="1" applyAlignment="1" applyProtection="1">
      <alignment horizontal="right"/>
    </xf>
    <xf numFmtId="0" fontId="50"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1" fillId="20" borderId="0" xfId="0" applyFont="1" applyFill="1" applyBorder="1" applyAlignment="1" applyProtection="1">
      <alignment horizontal="left" vertical="center"/>
    </xf>
    <xf numFmtId="3" fontId="56" fillId="0" borderId="0" xfId="0" applyNumberFormat="1" applyFont="1" applyFill="1" applyBorder="1" applyAlignment="1" applyProtection="1">
      <alignment horizontal="right" vertical="center"/>
    </xf>
    <xf numFmtId="0" fontId="57" fillId="20" borderId="0" xfId="0" applyFont="1" applyFill="1" applyBorder="1" applyAlignment="1" applyProtection="1">
      <alignment horizontal="left" vertical="center"/>
    </xf>
    <xf numFmtId="171" fontId="51" fillId="20" borderId="0" xfId="0" applyNumberFormat="1" applyFont="1" applyFill="1" applyBorder="1" applyAlignment="1" applyProtection="1">
      <alignment vertical="center"/>
    </xf>
    <xf numFmtId="0" fontId="52" fillId="20" borderId="0" xfId="0" applyNumberFormat="1" applyFont="1" applyFill="1" applyBorder="1" applyAlignment="1" applyProtection="1">
      <alignment horizontal="right"/>
    </xf>
    <xf numFmtId="0" fontId="62" fillId="20" borderId="0" xfId="0" applyFont="1" applyFill="1" applyBorder="1" applyAlignment="1" applyProtection="1">
      <alignment horizontal="center" vertical="center"/>
    </xf>
    <xf numFmtId="0" fontId="53" fillId="20" borderId="0" xfId="0" applyFont="1" applyFill="1" applyBorder="1" applyAlignment="1" applyProtection="1">
      <alignment horizontal="center" vertical="center"/>
    </xf>
    <xf numFmtId="170" fontId="51" fillId="20" borderId="0" xfId="61" applyNumberFormat="1" applyFont="1" applyFill="1" applyBorder="1" applyAlignment="1" applyProtection="1">
      <alignment horizontal="right"/>
    </xf>
    <xf numFmtId="9" fontId="54" fillId="20" borderId="0" xfId="0" applyNumberFormat="1" applyFont="1" applyFill="1" applyBorder="1" applyProtection="1"/>
    <xf numFmtId="0" fontId="55" fillId="20" borderId="0" xfId="0" applyFont="1" applyFill="1" applyBorder="1" applyAlignment="1" applyProtection="1">
      <alignment horizontal="center" vertical="center"/>
    </xf>
    <xf numFmtId="9" fontId="54" fillId="20" borderId="0" xfId="0" applyNumberFormat="1" applyFont="1" applyFill="1" applyBorder="1" applyAlignment="1" applyProtection="1">
      <alignment horizontal="left"/>
    </xf>
    <xf numFmtId="0" fontId="63"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8" fillId="0" borderId="0" xfId="0" applyFont="1" applyFill="1" applyBorder="1" applyAlignment="1" applyProtection="1">
      <alignment horizontal="right" vertical="center" indent="1"/>
    </xf>
    <xf numFmtId="0" fontId="52" fillId="0" borderId="27" xfId="0" applyNumberFormat="1" applyFont="1" applyFill="1" applyBorder="1" applyAlignment="1" applyProtection="1">
      <alignment horizontal="right"/>
    </xf>
    <xf numFmtId="0" fontId="52" fillId="0" borderId="28" xfId="0" applyNumberFormat="1" applyFont="1" applyFill="1" applyBorder="1" applyAlignment="1" applyProtection="1">
      <alignment horizontal="right"/>
    </xf>
    <xf numFmtId="0" fontId="52" fillId="0" borderId="29" xfId="0" applyNumberFormat="1" applyFont="1" applyFill="1" applyBorder="1" applyAlignment="1" applyProtection="1">
      <alignment horizontal="right"/>
    </xf>
    <xf numFmtId="0" fontId="61" fillId="0" borderId="0" xfId="0" applyFont="1" applyFill="1" applyBorder="1" applyAlignment="1" applyProtection="1">
      <alignment horizontal="center"/>
    </xf>
    <xf numFmtId="0" fontId="52" fillId="0" borderId="0" xfId="0" applyNumberFormat="1" applyFont="1" applyFill="1" applyBorder="1" applyAlignment="1" applyProtection="1">
      <alignment horizontal="right"/>
    </xf>
    <xf numFmtId="0" fontId="62" fillId="0" borderId="0" xfId="0" applyFont="1" applyFill="1" applyBorder="1" applyAlignment="1" applyProtection="1">
      <alignment horizontal="center" vertical="center"/>
    </xf>
    <xf numFmtId="9" fontId="65" fillId="0" borderId="0" xfId="0" applyNumberFormat="1" applyFont="1" applyFill="1" applyBorder="1" applyAlignment="1" applyProtection="1"/>
    <xf numFmtId="9" fontId="65" fillId="0" borderId="0" xfId="0" applyNumberFormat="1" applyFont="1" applyFill="1" applyBorder="1" applyAlignment="1" applyProtection="1">
      <alignment horizontal="center"/>
    </xf>
    <xf numFmtId="0" fontId="52" fillId="0" borderId="30" xfId="0" applyNumberFormat="1" applyFont="1" applyFill="1" applyBorder="1" applyAlignment="1" applyProtection="1">
      <alignment horizontal="right"/>
    </xf>
    <xf numFmtId="9" fontId="54" fillId="0" borderId="0" xfId="0" applyNumberFormat="1" applyFont="1" applyFill="1" applyBorder="1" applyProtection="1"/>
    <xf numFmtId="0" fontId="52" fillId="0" borderId="31" xfId="0" applyNumberFormat="1" applyFont="1" applyFill="1" applyBorder="1" applyAlignment="1" applyProtection="1">
      <alignment horizontal="right"/>
    </xf>
    <xf numFmtId="0" fontId="52" fillId="0" borderId="32" xfId="0" applyNumberFormat="1" applyFont="1" applyFill="1" applyBorder="1" applyAlignment="1" applyProtection="1">
      <alignment horizontal="right"/>
    </xf>
    <xf numFmtId="0" fontId="34" fillId="0" borderId="33" xfId="0" applyNumberFormat="1" applyFont="1" applyFill="1" applyBorder="1" applyAlignment="1" applyProtection="1">
      <alignment vertical="center"/>
    </xf>
    <xf numFmtId="0" fontId="34" fillId="0" borderId="34" xfId="0" applyNumberFormat="1" applyFont="1" applyFill="1" applyBorder="1" applyAlignment="1" applyProtection="1">
      <alignment vertical="center"/>
    </xf>
    <xf numFmtId="0" fontId="34" fillId="0" borderId="35" xfId="0" applyNumberFormat="1" applyFont="1" applyFill="1" applyBorder="1" applyAlignment="1" applyProtection="1">
      <alignment vertical="center"/>
    </xf>
    <xf numFmtId="0" fontId="43" fillId="0" borderId="0" xfId="0" applyFont="1" applyProtection="1"/>
    <xf numFmtId="0" fontId="64" fillId="0" borderId="0" xfId="0" applyFont="1" applyProtection="1"/>
    <xf numFmtId="0" fontId="58" fillId="0" borderId="0" xfId="0" applyFont="1" applyProtection="1"/>
    <xf numFmtId="0" fontId="71" fillId="0" borderId="0" xfId="0" applyFont="1" applyBorder="1" applyAlignment="1" applyProtection="1">
      <alignment wrapText="1"/>
    </xf>
    <xf numFmtId="0" fontId="68" fillId="0" borderId="0" xfId="0" applyFont="1" applyFill="1" applyBorder="1" applyAlignment="1" applyProtection="1"/>
    <xf numFmtId="164"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164" fontId="36" fillId="0" borderId="0" xfId="0" applyNumberFormat="1" applyFont="1" applyBorder="1" applyProtection="1"/>
    <xf numFmtId="164" fontId="36" fillId="0" borderId="0" xfId="0" applyNumberFormat="1" applyFont="1" applyProtection="1"/>
    <xf numFmtId="168" fontId="6" fillId="0" borderId="0" xfId="62" applyNumberFormat="1" applyFont="1" applyFill="1" applyBorder="1" applyAlignment="1" applyProtection="1">
      <protection locked="0"/>
    </xf>
    <xf numFmtId="168" fontId="6" fillId="0" borderId="0" xfId="62" applyNumberFormat="1" applyFont="1" applyFill="1" applyBorder="1" applyProtection="1">
      <protection locked="0"/>
    </xf>
    <xf numFmtId="0" fontId="15" fillId="20" borderId="0" xfId="0" applyFont="1" applyFill="1"/>
    <xf numFmtId="167" fontId="15" fillId="20" borderId="0" xfId="0" applyNumberFormat="1" applyFont="1" applyFill="1"/>
    <xf numFmtId="168" fontId="15" fillId="20" borderId="0" xfId="0" applyNumberFormat="1" applyFont="1" applyFill="1"/>
    <xf numFmtId="3" fontId="15" fillId="20" borderId="0" xfId="0" applyNumberFormat="1" applyFont="1" applyFill="1" applyProtection="1"/>
    <xf numFmtId="167"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164" fontId="17" fillId="0" borderId="0" xfId="46" applyFont="1" applyFill="1" applyAlignment="1" applyProtection="1">
      <alignment horizontal="center" vertical="center"/>
    </xf>
    <xf numFmtId="164" fontId="16" fillId="0" borderId="0" xfId="46" applyFont="1" applyFill="1" applyAlignment="1" applyProtection="1">
      <alignment vertical="center"/>
    </xf>
    <xf numFmtId="0" fontId="82" fillId="0" borderId="0" xfId="0" applyFont="1"/>
    <xf numFmtId="164" fontId="20" fillId="0" borderId="38" xfId="56" applyFont="1" applyBorder="1" applyAlignment="1" applyProtection="1">
      <alignment horizontal="right"/>
    </xf>
    <xf numFmtId="0" fontId="12" fillId="0" borderId="0" xfId="0" applyFont="1"/>
    <xf numFmtId="0" fontId="0" fillId="20" borderId="0" xfId="0" applyFill="1" applyProtection="1"/>
    <xf numFmtId="0" fontId="0" fillId="20" borderId="39" xfId="0" applyFill="1" applyBorder="1" applyProtection="1"/>
    <xf numFmtId="164" fontId="88" fillId="0" borderId="0" xfId="0" applyNumberFormat="1" applyFont="1"/>
    <xf numFmtId="0" fontId="88" fillId="0" borderId="0" xfId="0" applyFont="1"/>
    <xf numFmtId="164" fontId="0" fillId="0" borderId="0" xfId="0" quotePrefix="1" applyNumberFormat="1"/>
    <xf numFmtId="164" fontId="0" fillId="0" borderId="0" xfId="0" applyNumberFormat="1"/>
    <xf numFmtId="0" fontId="34" fillId="0" borderId="40" xfId="0" applyNumberFormat="1" applyFont="1" applyFill="1" applyBorder="1" applyAlignment="1" applyProtection="1">
      <alignment vertical="center"/>
    </xf>
    <xf numFmtId="164" fontId="116" fillId="0" borderId="0" xfId="51" applyFill="1" applyBorder="1" applyAlignment="1" applyProtection="1">
      <alignment horizontal="center"/>
    </xf>
    <xf numFmtId="0" fontId="34" fillId="0" borderId="0" xfId="0" quotePrefix="1" applyFont="1" applyProtection="1"/>
    <xf numFmtId="0" fontId="62" fillId="0" borderId="41" xfId="0" applyFont="1" applyBorder="1" applyAlignment="1">
      <alignment horizontal="justify" vertical="center" wrapText="1"/>
    </xf>
    <xf numFmtId="0" fontId="62" fillId="0" borderId="42" xfId="0" applyFont="1" applyBorder="1" applyAlignment="1">
      <alignment horizontal="justify" vertical="center" wrapText="1"/>
    </xf>
    <xf numFmtId="0" fontId="62" fillId="0" borderId="43" xfId="0" applyFont="1" applyBorder="1" applyAlignment="1">
      <alignment horizontal="justify" vertical="center" wrapText="1"/>
    </xf>
    <xf numFmtId="0" fontId="87" fillId="0" borderId="42" xfId="0" applyFont="1" applyBorder="1" applyAlignment="1">
      <alignment horizontal="justify" vertical="center" wrapText="1"/>
    </xf>
    <xf numFmtId="164" fontId="89" fillId="0" borderId="25" xfId="59" applyFont="1" applyFill="1" applyBorder="1" applyAlignment="1" applyProtection="1"/>
    <xf numFmtId="164" fontId="9" fillId="0" borderId="25" xfId="59" applyFont="1" applyFill="1" applyBorder="1" applyAlignment="1" applyProtection="1">
      <alignment vertical="center"/>
    </xf>
    <xf numFmtId="0" fontId="86" fillId="0" borderId="41" xfId="0" applyFont="1" applyBorder="1" applyAlignment="1">
      <alignment vertical="center" wrapText="1"/>
    </xf>
    <xf numFmtId="0" fontId="2" fillId="0" borderId="44" xfId="0" applyFont="1" applyFill="1" applyBorder="1" applyAlignment="1" applyProtection="1">
      <alignment horizontal="center"/>
    </xf>
    <xf numFmtId="0" fontId="1" fillId="0" borderId="0" xfId="0" applyFont="1"/>
    <xf numFmtId="164" fontId="91" fillId="0" borderId="25" xfId="59" applyFont="1" applyFill="1" applyBorder="1" applyAlignment="1" applyProtection="1">
      <alignment vertical="center"/>
    </xf>
    <xf numFmtId="0" fontId="90"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 fontId="21" fillId="25" borderId="10" xfId="0" applyNumberFormat="1" applyFont="1" applyFill="1" applyBorder="1" applyAlignment="1" applyProtection="1">
      <alignment horizontal="center"/>
      <protection locked="0"/>
    </xf>
    <xf numFmtId="1" fontId="21" fillId="25" borderId="45" xfId="0" applyNumberFormat="1" applyFont="1" applyFill="1" applyBorder="1" applyAlignment="1" applyProtection="1">
      <alignment horizontal="center"/>
      <protection locked="0"/>
    </xf>
    <xf numFmtId="1" fontId="0" fillId="25" borderId="10" xfId="0" applyNumberFormat="1" applyFill="1" applyBorder="1" applyAlignment="1" applyProtection="1">
      <alignment horizontal="center"/>
      <protection locked="0"/>
    </xf>
    <xf numFmtId="168" fontId="0" fillId="0" borderId="0" xfId="0" applyNumberFormat="1" applyProtection="1"/>
    <xf numFmtId="0" fontId="94" fillId="0" borderId="0" xfId="0" applyFont="1" applyFill="1" applyBorder="1" applyAlignment="1" applyProtection="1">
      <alignment horizontal="right"/>
    </xf>
    <xf numFmtId="164" fontId="95" fillId="0" borderId="14" xfId="59" applyFont="1" applyFill="1" applyBorder="1" applyAlignment="1" applyProtection="1">
      <alignment horizontal="left" vertical="center"/>
    </xf>
    <xf numFmtId="0" fontId="94" fillId="0" borderId="0" xfId="0" applyFont="1" applyBorder="1" applyProtection="1"/>
    <xf numFmtId="3" fontId="6" fillId="0" borderId="0" xfId="0" applyNumberFormat="1" applyFont="1" applyAlignment="1" applyProtection="1">
      <alignment horizontal="right"/>
    </xf>
    <xf numFmtId="0" fontId="97" fillId="0" borderId="0" xfId="0" applyFont="1" applyFill="1" applyBorder="1" applyAlignment="1" applyProtection="1">
      <alignment horizontal="center" wrapText="1"/>
    </xf>
    <xf numFmtId="0" fontId="94" fillId="0" borderId="0" xfId="0" applyFont="1" applyFill="1" applyBorder="1" applyAlignment="1" applyProtection="1">
      <alignment horizontal="center"/>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15" fontId="32" fillId="0" borderId="46"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164" fontId="101" fillId="0" borderId="0" xfId="38" applyFont="1" applyFill="1" applyAlignment="1" applyProtection="1">
      <alignment vertical="center"/>
    </xf>
    <xf numFmtId="0" fontId="0" fillId="0" borderId="0" xfId="0" applyBorder="1" applyAlignment="1" applyProtection="1"/>
    <xf numFmtId="3" fontId="0" fillId="0" borderId="0" xfId="0" applyNumberFormat="1" applyFill="1" applyProtection="1"/>
    <xf numFmtId="0" fontId="0" fillId="0" borderId="0" xfId="0" applyFill="1" applyBorder="1" applyProtection="1">
      <protection locked="0"/>
    </xf>
    <xf numFmtId="0" fontId="6" fillId="0" borderId="0" xfId="0" applyFont="1" applyFill="1" applyBorder="1" applyAlignment="1" applyProtection="1">
      <protection locked="0"/>
    </xf>
    <xf numFmtId="0" fontId="98" fillId="0" borderId="0" xfId="0" applyFont="1" applyFill="1" applyBorder="1" applyAlignment="1" applyProtection="1">
      <alignment horizontal="left"/>
      <protection locked="0"/>
    </xf>
    <xf numFmtId="0" fontId="96" fillId="0" borderId="0" xfId="0" applyFont="1" applyFill="1" applyBorder="1" applyAlignment="1" applyProtection="1">
      <alignment horizontal="center" vertical="center"/>
    </xf>
    <xf numFmtId="0" fontId="26" fillId="0" borderId="48" xfId="0" applyFont="1" applyFill="1" applyBorder="1" applyAlignment="1" applyProtection="1"/>
    <xf numFmtId="0" fontId="32" fillId="26" borderId="49" xfId="0" applyFont="1" applyFill="1" applyBorder="1" applyAlignment="1" applyProtection="1">
      <alignment horizontal="centerContinuous"/>
    </xf>
    <xf numFmtId="15" fontId="99" fillId="0" borderId="37" xfId="0" applyNumberFormat="1" applyFont="1" applyFill="1" applyBorder="1" applyAlignment="1" applyProtection="1">
      <alignment horizontal="center" wrapText="1"/>
    </xf>
    <xf numFmtId="15" fontId="99" fillId="0" borderId="50" xfId="0" applyNumberFormat="1" applyFont="1" applyFill="1" applyBorder="1" applyAlignment="1" applyProtection="1">
      <alignment horizontal="center" wrapText="1"/>
    </xf>
    <xf numFmtId="0" fontId="36" fillId="0" borderId="48" xfId="0" applyFont="1" applyFill="1" applyBorder="1" applyAlignment="1" applyProtection="1">
      <alignment horizontal="center"/>
    </xf>
    <xf numFmtId="0" fontId="36" fillId="0" borderId="51" xfId="0" applyFont="1" applyFill="1" applyBorder="1" applyAlignment="1" applyProtection="1">
      <alignment horizontal="center"/>
    </xf>
    <xf numFmtId="0" fontId="32" fillId="26" borderId="52"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15" fontId="0" fillId="0" borderId="0" xfId="0" applyNumberFormat="1" applyFill="1" applyBorder="1" applyAlignment="1" applyProtection="1">
      <alignment horizontal="center"/>
      <protection locked="0"/>
    </xf>
    <xf numFmtId="14" fontId="0" fillId="0" borderId="10" xfId="0" applyNumberFormat="1" applyBorder="1" applyAlignment="1" applyProtection="1">
      <alignment horizontal="center"/>
      <protection locked="0"/>
    </xf>
    <xf numFmtId="3" fontId="2" fillId="23" borderId="10" xfId="0" applyNumberFormat="1" applyFont="1" applyFill="1" applyBorder="1" applyAlignment="1" applyProtection="1">
      <alignment horizontal="right" vertical="center"/>
      <protection locked="0"/>
    </xf>
    <xf numFmtId="0" fontId="75" fillId="0" borderId="55" xfId="0" applyFont="1" applyFill="1" applyBorder="1" applyAlignment="1" applyProtection="1">
      <alignment horizontal="center" vertical="center"/>
    </xf>
    <xf numFmtId="0" fontId="24" fillId="0" borderId="0" xfId="0" applyFont="1" applyProtection="1"/>
    <xf numFmtId="164" fontId="99" fillId="0" borderId="0" xfId="0" applyNumberFormat="1" applyFont="1" applyBorder="1" applyAlignment="1" applyProtection="1">
      <alignment vertical="center" wrapText="1"/>
    </xf>
    <xf numFmtId="0" fontId="99" fillId="0" borderId="0" xfId="0" applyFont="1" applyFill="1" applyBorder="1" applyAlignment="1" applyProtection="1">
      <alignment wrapText="1"/>
    </xf>
    <xf numFmtId="164" fontId="20" fillId="0" borderId="38" xfId="56" applyFont="1" applyFill="1" applyBorder="1" applyAlignment="1" applyProtection="1">
      <alignment horizontal="right"/>
    </xf>
    <xf numFmtId="0" fontId="28" fillId="0" borderId="0" xfId="0" applyFont="1" applyFill="1" applyBorder="1" applyAlignment="1" applyProtection="1">
      <alignment wrapText="1"/>
    </xf>
    <xf numFmtId="164" fontId="28" fillId="0" borderId="0" xfId="0" applyNumberFormat="1" applyFont="1" applyAlignment="1" applyProtection="1"/>
    <xf numFmtId="15" fontId="28" fillId="0" borderId="0" xfId="0" applyNumberFormat="1" applyFont="1"/>
    <xf numFmtId="0" fontId="0" fillId="0" borderId="25" xfId="0" applyFill="1" applyBorder="1" applyProtection="1"/>
    <xf numFmtId="9" fontId="15" fillId="0" borderId="0" xfId="61" applyFont="1" applyProtection="1"/>
    <xf numFmtId="164" fontId="24" fillId="25" borderId="38" xfId="56" applyFont="1" applyFill="1" applyBorder="1" applyAlignment="1" applyProtection="1">
      <alignment horizontal="center" vertical="center"/>
    </xf>
    <xf numFmtId="15" fontId="24" fillId="25" borderId="38" xfId="56" applyNumberFormat="1" applyFont="1" applyFill="1" applyBorder="1" applyAlignment="1" applyProtection="1">
      <alignment horizontal="center" vertical="center"/>
    </xf>
    <xf numFmtId="164" fontId="88" fillId="0" borderId="0" xfId="0" applyNumberFormat="1" applyFont="1" applyAlignment="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49" fontId="0" fillId="0" borderId="0" xfId="0" applyNumberFormat="1" applyProtection="1"/>
    <xf numFmtId="3" fontId="0" fillId="25"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173" fontId="21" fillId="20" borderId="0" xfId="0" applyNumberFormat="1" applyFont="1" applyFill="1"/>
    <xf numFmtId="4" fontId="0" fillId="0" borderId="0" xfId="0" applyNumberFormat="1" applyFill="1" applyBorder="1" applyProtection="1">
      <protection locked="0"/>
    </xf>
    <xf numFmtId="4" fontId="0" fillId="0" borderId="0" xfId="0" applyNumberFormat="1" applyProtection="1"/>
    <xf numFmtId="167" fontId="32" fillId="19" borderId="59" xfId="0" applyNumberFormat="1" applyFont="1" applyFill="1" applyBorder="1" applyAlignment="1" applyProtection="1">
      <alignment horizontal="center"/>
      <protection locked="0"/>
    </xf>
    <xf numFmtId="167" fontId="32" fillId="19" borderId="60" xfId="0" applyNumberFormat="1" applyFont="1" applyFill="1" applyBorder="1" applyAlignment="1" applyProtection="1">
      <alignment horizontal="center"/>
      <protection locked="0"/>
    </xf>
    <xf numFmtId="167" fontId="32" fillId="19" borderId="61" xfId="0" applyNumberFormat="1" applyFont="1" applyFill="1" applyBorder="1" applyAlignment="1" applyProtection="1">
      <alignment horizontal="center"/>
      <protection locked="0"/>
    </xf>
    <xf numFmtId="167" fontId="32" fillId="19" borderId="62" xfId="0" applyNumberFormat="1" applyFont="1" applyFill="1" applyBorder="1" applyAlignment="1" applyProtection="1">
      <alignment horizontal="center"/>
      <protection locked="0"/>
    </xf>
    <xf numFmtId="0" fontId="0" fillId="0" borderId="0" xfId="0" applyBorder="1" applyAlignment="1">
      <alignment horizontal="left" wrapText="1"/>
    </xf>
    <xf numFmtId="164" fontId="35" fillId="0" borderId="0" xfId="0" applyNumberFormat="1" applyFont="1"/>
    <xf numFmtId="0" fontId="0" fillId="0" borderId="0" xfId="0" applyBorder="1" applyAlignment="1">
      <alignment horizontal="left"/>
    </xf>
    <xf numFmtId="3" fontId="28" fillId="26" borderId="59" xfId="0" applyNumberFormat="1" applyFont="1" applyFill="1" applyBorder="1" applyAlignment="1" applyProtection="1">
      <protection locked="0"/>
    </xf>
    <xf numFmtId="3" fontId="28" fillId="26" borderId="64"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58" xfId="0" applyNumberFormat="1" applyFont="1" applyFill="1" applyBorder="1" applyAlignment="1" applyProtection="1"/>
    <xf numFmtId="167" fontId="14" fillId="19" borderId="65" xfId="0" applyNumberFormat="1" applyFont="1" applyFill="1" applyBorder="1" applyAlignment="1" applyProtection="1">
      <alignment horizontal="center"/>
      <protection locked="0"/>
    </xf>
    <xf numFmtId="0" fontId="0" fillId="26" borderId="10" xfId="0" applyFill="1" applyBorder="1" applyProtection="1"/>
    <xf numFmtId="0" fontId="0" fillId="25" borderId="10" xfId="0" applyFill="1" applyBorder="1" applyProtection="1"/>
    <xf numFmtId="3" fontId="1" fillId="26" borderId="66" xfId="62" applyNumberFormat="1" applyFont="1" applyFill="1" applyBorder="1" applyAlignment="1" applyProtection="1">
      <protection locked="0"/>
    </xf>
    <xf numFmtId="3" fontId="1" fillId="26" borderId="66" xfId="62" applyNumberFormat="1" applyFont="1" applyFill="1" applyBorder="1" applyProtection="1">
      <protection locked="0"/>
    </xf>
    <xf numFmtId="49" fontId="26" fillId="0" borderId="67" xfId="0" applyNumberFormat="1" applyFont="1" applyFill="1" applyBorder="1" applyAlignment="1" applyProtection="1">
      <alignment wrapText="1"/>
      <protection locked="0"/>
    </xf>
    <xf numFmtId="3" fontId="1" fillId="26" borderId="68" xfId="62" applyNumberFormat="1" applyFont="1" applyFill="1" applyBorder="1" applyProtection="1">
      <protection locked="0"/>
    </xf>
    <xf numFmtId="49" fontId="26" fillId="0" borderId="67" xfId="0" applyNumberFormat="1" applyFont="1" applyFill="1" applyBorder="1" applyAlignment="1" applyProtection="1">
      <protection locked="0"/>
    </xf>
    <xf numFmtId="0" fontId="0" fillId="0" borderId="69" xfId="0" applyBorder="1" applyAlignment="1" applyProtection="1"/>
    <xf numFmtId="0" fontId="0" fillId="0" borderId="72" xfId="0" applyNumberFormat="1" applyFill="1" applyBorder="1"/>
    <xf numFmtId="49" fontId="82" fillId="0" borderId="10" xfId="0" applyNumberFormat="1" applyFont="1" applyBorder="1" applyAlignment="1" applyProtection="1">
      <alignment horizontal="center"/>
      <protection locked="0"/>
    </xf>
    <xf numFmtId="0" fontId="68" fillId="0" borderId="10" xfId="0" applyFont="1" applyBorder="1" applyAlignment="1" applyProtection="1">
      <alignment horizontal="center"/>
    </xf>
    <xf numFmtId="0" fontId="75" fillId="0" borderId="74" xfId="0" applyFont="1" applyFill="1" applyBorder="1" applyAlignment="1" applyProtection="1">
      <alignment horizontal="center" vertical="center" wrapText="1"/>
    </xf>
    <xf numFmtId="0" fontId="75" fillId="0" borderId="75" xfId="0" applyFont="1" applyFill="1" applyBorder="1" applyAlignment="1" applyProtection="1">
      <alignment horizontal="center"/>
    </xf>
    <xf numFmtId="0" fontId="75" fillId="0" borderId="76" xfId="0" applyFont="1" applyFill="1" applyBorder="1" applyAlignment="1" applyProtection="1">
      <alignment horizontal="center"/>
    </xf>
    <xf numFmtId="0" fontId="75" fillId="0" borderId="77" xfId="0" applyNumberFormat="1" applyFont="1" applyFill="1" applyBorder="1" applyAlignment="1" applyProtection="1">
      <alignment horizontal="center"/>
    </xf>
    <xf numFmtId="0" fontId="75" fillId="0" borderId="78" xfId="0" applyNumberFormat="1" applyFont="1" applyFill="1" applyBorder="1" applyAlignment="1" applyProtection="1">
      <alignment horizontal="center"/>
    </xf>
    <xf numFmtId="0" fontId="75" fillId="0" borderId="78" xfId="0" applyNumberFormat="1" applyFont="1" applyFill="1" applyBorder="1" applyAlignment="1" applyProtection="1">
      <alignment horizontal="center" vertical="center"/>
    </xf>
    <xf numFmtId="0" fontId="75" fillId="0" borderId="79" xfId="0" applyNumberFormat="1" applyFont="1" applyFill="1" applyBorder="1" applyAlignment="1" applyProtection="1">
      <alignment horizontal="center" vertical="center"/>
    </xf>
    <xf numFmtId="0" fontId="79" fillId="0" borderId="80" xfId="0" applyNumberFormat="1" applyFont="1" applyFill="1" applyBorder="1" applyAlignment="1" applyProtection="1">
      <alignment horizontal="center" vertical="center"/>
    </xf>
    <xf numFmtId="0" fontId="79" fillId="0" borderId="81" xfId="0" applyNumberFormat="1" applyFont="1" applyFill="1" applyBorder="1" applyAlignment="1" applyProtection="1">
      <alignment horizontal="center" vertical="center"/>
    </xf>
    <xf numFmtId="0" fontId="79" fillId="0" borderId="82" xfId="0" applyNumberFormat="1" applyFont="1" applyFill="1" applyBorder="1" applyAlignment="1" applyProtection="1">
      <alignment horizontal="center" vertical="center"/>
    </xf>
    <xf numFmtId="0" fontId="0" fillId="0" borderId="19" xfId="0" applyBorder="1" applyAlignment="1" applyProtection="1">
      <alignment horizontal="center"/>
    </xf>
    <xf numFmtId="0" fontId="0" fillId="0" borderId="10" xfId="0" applyNumberFormat="1" applyBorder="1"/>
    <xf numFmtId="0" fontId="0" fillId="0" borderId="10" xfId="0" applyNumberFormat="1" applyBorder="1" applyAlignment="1">
      <alignment horizontal="center"/>
    </xf>
    <xf numFmtId="0" fontId="14" fillId="0" borderId="19" xfId="0" applyFont="1" applyBorder="1" applyAlignment="1" applyProtection="1">
      <alignment horizontal="center" vertical="center" wrapText="1"/>
    </xf>
    <xf numFmtId="0" fontId="14" fillId="0" borderId="24" xfId="0" applyFont="1" applyBorder="1" applyAlignment="1" applyProtection="1">
      <alignment horizontal="center" vertical="center"/>
    </xf>
    <xf numFmtId="0" fontId="75" fillId="0" borderId="83" xfId="0" applyFont="1" applyFill="1" applyBorder="1" applyAlignment="1" applyProtection="1">
      <alignment horizontal="center" vertical="center" wrapText="1"/>
    </xf>
    <xf numFmtId="3" fontId="24" fillId="25" borderId="38" xfId="56" applyNumberFormat="1" applyFont="1" applyFill="1" applyBorder="1" applyAlignment="1" applyProtection="1">
      <alignment horizontal="center" wrapText="1"/>
    </xf>
    <xf numFmtId="14" fontId="24" fillId="25" borderId="38" xfId="56" applyNumberFormat="1" applyFont="1" applyFill="1" applyBorder="1" applyAlignment="1" applyProtection="1">
      <alignment horizontal="center" vertical="center" wrapText="1"/>
    </xf>
    <xf numFmtId="174" fontId="24" fillId="25" borderId="38" xfId="56" applyNumberFormat="1" applyFont="1" applyFill="1" applyBorder="1" applyAlignment="1" applyProtection="1">
      <alignment horizontal="center" wrapText="1"/>
    </xf>
    <xf numFmtId="164" fontId="1" fillId="0" borderId="38" xfId="56" applyFont="1" applyBorder="1" applyAlignment="1" applyProtection="1">
      <alignment horizontal="right" vertical="center"/>
    </xf>
    <xf numFmtId="164" fontId="1" fillId="0" borderId="38" xfId="56" applyFont="1" applyBorder="1" applyAlignment="1" applyProtection="1">
      <alignment horizontal="right" vertical="center" wrapText="1"/>
    </xf>
    <xf numFmtId="164" fontId="28" fillId="0" borderId="0" xfId="0" applyNumberFormat="1" applyFont="1" applyAlignment="1" applyProtection="1">
      <alignment horizontal="right" wrapText="1"/>
    </xf>
    <xf numFmtId="49" fontId="25" fillId="0" borderId="84" xfId="0" applyNumberFormat="1" applyFont="1" applyFill="1" applyBorder="1" applyAlignment="1" applyProtection="1">
      <alignment vertical="center" wrapText="1"/>
    </xf>
    <xf numFmtId="0" fontId="0" fillId="0" borderId="0" xfId="0" applyAlignment="1">
      <alignment vertical="center" wrapText="1"/>
    </xf>
    <xf numFmtId="164" fontId="28" fillId="0" borderId="0" xfId="0" applyNumberFormat="1" applyFont="1" applyAlignment="1">
      <alignment horizontal="right" vertical="center" wrapText="1"/>
    </xf>
    <xf numFmtId="0" fontId="33" fillId="0" borderId="0" xfId="0" applyFont="1" applyAlignment="1"/>
    <xf numFmtId="0" fontId="30" fillId="0" borderId="0" xfId="0" applyFont="1" applyFill="1" applyBorder="1" applyAlignment="1" applyProtection="1">
      <alignment horizontal="left" wrapText="1"/>
      <protection locked="0"/>
    </xf>
    <xf numFmtId="164" fontId="1" fillId="0" borderId="38" xfId="56" applyFont="1" applyBorder="1" applyAlignment="1" applyProtection="1">
      <alignment horizontal="right" wrapText="1"/>
    </xf>
    <xf numFmtId="164" fontId="28" fillId="0" borderId="38" xfId="56" applyFont="1" applyBorder="1" applyAlignment="1" applyProtection="1">
      <alignment horizontal="center"/>
    </xf>
    <xf numFmtId="164" fontId="34" fillId="0" borderId="0" xfId="0" applyNumberFormat="1" applyFont="1" applyAlignment="1" applyProtection="1">
      <alignment horizontal="center" wrapText="1"/>
    </xf>
    <xf numFmtId="164" fontId="112" fillId="0" borderId="0" xfId="0" applyNumberFormat="1" applyFont="1" applyAlignment="1" applyProtection="1">
      <alignment horizontal="right"/>
    </xf>
    <xf numFmtId="164" fontId="112" fillId="0" borderId="0" xfId="0" applyNumberFormat="1" applyFont="1" applyAlignment="1">
      <alignment horizontal="right"/>
    </xf>
    <xf numFmtId="164" fontId="34" fillId="0" borderId="0" xfId="0" applyNumberFormat="1" applyFont="1" applyAlignment="1">
      <alignment horizontal="left" vertical="center" wrapText="1"/>
    </xf>
    <xf numFmtId="164" fontId="34" fillId="0" borderId="0" xfId="0" applyNumberFormat="1" applyFont="1" applyAlignment="1" applyProtection="1">
      <alignment horizontal="left" wrapText="1"/>
    </xf>
    <xf numFmtId="0" fontId="0" fillId="0" borderId="87" xfId="0" applyBorder="1"/>
    <xf numFmtId="0" fontId="0" fillId="0" borderId="0" xfId="0" applyAlignment="1">
      <alignment horizontal="center"/>
    </xf>
    <xf numFmtId="0" fontId="0" fillId="0" borderId="21" xfId="0" applyFill="1" applyBorder="1" applyAlignment="1" applyProtection="1">
      <alignment horizontal="center"/>
    </xf>
    <xf numFmtId="0" fontId="0" fillId="20" borderId="0" xfId="0" applyFill="1"/>
    <xf numFmtId="3" fontId="2" fillId="28"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3" fontId="2" fillId="28" borderId="10" xfId="0" applyNumberFormat="1" applyFont="1" applyFill="1" applyBorder="1" applyAlignment="1" applyProtection="1">
      <alignment horizontal="right" vertical="center"/>
      <protection locked="0"/>
    </xf>
    <xf numFmtId="0" fontId="79" fillId="0" borderId="93" xfId="0" applyNumberFormat="1" applyFont="1" applyFill="1" applyBorder="1" applyAlignment="1" applyProtection="1">
      <alignment horizontal="center" vertical="center"/>
    </xf>
    <xf numFmtId="0" fontId="35" fillId="0" borderId="10" xfId="0" applyFont="1" applyBorder="1" applyAlignment="1" applyProtection="1">
      <alignment horizontal="center" vertical="center" wrapText="1"/>
    </xf>
    <xf numFmtId="3" fontId="117" fillId="0" borderId="41" xfId="0" applyNumberFormat="1" applyFont="1" applyFill="1" applyBorder="1" applyAlignment="1" applyProtection="1">
      <alignment horizontal="center" vertical="center" wrapText="1"/>
      <protection locked="0"/>
    </xf>
    <xf numFmtId="9" fontId="120" fillId="27" borderId="10" xfId="61" applyFont="1" applyFill="1" applyBorder="1" applyAlignment="1" applyProtection="1">
      <alignment horizontal="center" vertical="center" wrapText="1"/>
    </xf>
    <xf numFmtId="14" fontId="0" fillId="0" borderId="10" xfId="56" applyNumberFormat="1" applyFont="1" applyFill="1" applyBorder="1" applyAlignment="1" applyProtection="1">
      <alignment horizontal="center"/>
      <protection locked="0"/>
    </xf>
    <xf numFmtId="15" fontId="26" fillId="0" borderId="88" xfId="0" applyNumberFormat="1" applyFont="1" applyFill="1" applyBorder="1" applyAlignment="1" applyProtection="1">
      <alignment horizontal="center"/>
    </xf>
    <xf numFmtId="0" fontId="0" fillId="0" borderId="0" xfId="0" applyFill="1" applyProtection="1"/>
    <xf numFmtId="0" fontId="0" fillId="0" borderId="0" xfId="0" applyAlignment="1">
      <alignment wrapText="1"/>
    </xf>
    <xf numFmtId="3" fontId="0" fillId="0" borderId="0" xfId="0" applyNumberFormat="1"/>
    <xf numFmtId="3" fontId="28" fillId="0" borderId="10" xfId="0" applyNumberFormat="1" applyFont="1" applyBorder="1"/>
    <xf numFmtId="3" fontId="0" fillId="0" borderId="0" xfId="0" quotePrefix="1" applyNumberFormat="1" applyProtection="1"/>
    <xf numFmtId="0" fontId="25" fillId="0" borderId="121" xfId="0" applyFont="1" applyBorder="1" applyAlignment="1" applyProtection="1">
      <alignment vertical="distributed"/>
    </xf>
    <xf numFmtId="15" fontId="27" fillId="0" borderId="226" xfId="0" applyNumberFormat="1" applyFont="1" applyFill="1" applyBorder="1" applyAlignment="1" applyProtection="1">
      <alignment horizontal="center" vertical="center" wrapText="1"/>
    </xf>
    <xf numFmtId="15" fontId="27" fillId="0" borderId="227" xfId="0" applyNumberFormat="1" applyFont="1" applyFill="1" applyBorder="1" applyAlignment="1" applyProtection="1">
      <alignment horizontal="center" vertical="center" wrapText="1"/>
    </xf>
    <xf numFmtId="0" fontId="6" fillId="0" borderId="48" xfId="0" applyFont="1" applyBorder="1" applyAlignment="1" applyProtection="1"/>
    <xf numFmtId="0" fontId="6" fillId="0" borderId="51" xfId="0" applyFont="1" applyBorder="1" applyAlignment="1" applyProtection="1"/>
    <xf numFmtId="3" fontId="6" fillId="0" borderId="49" xfId="62" applyNumberFormat="1" applyFont="1" applyFill="1" applyBorder="1" applyAlignment="1" applyProtection="1"/>
    <xf numFmtId="3" fontId="6" fillId="0" borderId="52" xfId="62" applyNumberFormat="1" applyFont="1" applyFill="1" applyBorder="1" applyAlignment="1" applyProtection="1"/>
    <xf numFmtId="0" fontId="0" fillId="0" borderId="37" xfId="0" applyFill="1" applyBorder="1" applyProtection="1"/>
    <xf numFmtId="0" fontId="0" fillId="0" borderId="63" xfId="0" applyFill="1" applyBorder="1" applyAlignment="1" applyProtection="1">
      <alignment horizontal="center"/>
    </xf>
    <xf numFmtId="0" fontId="0" fillId="0" borderId="53" xfId="0" applyFill="1" applyBorder="1" applyAlignment="1" applyProtection="1">
      <alignment horizontal="center"/>
    </xf>
    <xf numFmtId="3" fontId="2" fillId="23" borderId="10" xfId="0" applyNumberFormat="1" applyFont="1" applyFill="1" applyBorder="1" applyAlignment="1" applyProtection="1">
      <alignment vertical="center" wrapText="1"/>
      <protection locked="0"/>
    </xf>
    <xf numFmtId="4" fontId="28" fillId="26" borderId="59" xfId="0" applyNumberFormat="1" applyFont="1" applyFill="1" applyBorder="1" applyAlignment="1" applyProtection="1">
      <protection locked="0"/>
    </xf>
    <xf numFmtId="4" fontId="1" fillId="37" borderId="66" xfId="62" applyNumberFormat="1" applyFont="1" applyFill="1" applyBorder="1" applyAlignment="1" applyProtection="1">
      <protection locked="0"/>
    </xf>
    <xf numFmtId="4" fontId="1" fillId="37" borderId="66" xfId="62" applyNumberFormat="1" applyFont="1" applyFill="1" applyBorder="1" applyProtection="1">
      <protection locked="0"/>
    </xf>
    <xf numFmtId="15" fontId="26" fillId="0" borderId="53" xfId="0" applyNumberFormat="1" applyFont="1" applyFill="1" applyBorder="1" applyAlignment="1" applyProtection="1"/>
    <xf numFmtId="15" fontId="26" fillId="0" borderId="207" xfId="0" applyNumberFormat="1" applyFont="1" applyFill="1" applyBorder="1" applyAlignment="1" applyProtection="1">
      <alignment horizontal="center"/>
    </xf>
    <xf numFmtId="0" fontId="26" fillId="0" borderId="48" xfId="0" applyFont="1" applyFill="1" applyBorder="1" applyProtection="1"/>
    <xf numFmtId="0" fontId="26" fillId="0" borderId="51" xfId="0" applyFont="1" applyFill="1" applyBorder="1" applyProtection="1"/>
    <xf numFmtId="0" fontId="0" fillId="0" borderId="57" xfId="0" applyBorder="1"/>
    <xf numFmtId="15" fontId="27" fillId="0" borderId="105" xfId="0" applyNumberFormat="1" applyFont="1" applyFill="1" applyBorder="1" applyAlignment="1" applyProtection="1">
      <alignment horizontal="center" vertical="center" wrapText="1"/>
    </xf>
    <xf numFmtId="3" fontId="0" fillId="26" borderId="68" xfId="62" applyNumberFormat="1" applyFont="1" applyFill="1" applyBorder="1" applyProtection="1">
      <protection locked="0"/>
    </xf>
    <xf numFmtId="49" fontId="125" fillId="38" borderId="41" xfId="0" applyNumberFormat="1" applyFont="1" applyFill="1" applyBorder="1" applyAlignment="1" applyProtection="1">
      <alignment horizontal="center" vertical="center" wrapText="1"/>
    </xf>
    <xf numFmtId="3" fontId="126" fillId="0" borderId="10" xfId="0" applyNumberFormat="1" applyFont="1" applyFill="1" applyBorder="1" applyAlignment="1" applyProtection="1"/>
    <xf numFmtId="3" fontId="126" fillId="0" borderId="58" xfId="0" applyNumberFormat="1" applyFont="1" applyFill="1" applyBorder="1" applyAlignment="1" applyProtection="1"/>
    <xf numFmtId="3" fontId="126" fillId="26" borderId="59" xfId="0" applyNumberFormat="1" applyFont="1" applyFill="1" applyBorder="1" applyAlignment="1" applyProtection="1">
      <protection locked="0"/>
    </xf>
    <xf numFmtId="4" fontId="126" fillId="26" borderId="59" xfId="0" applyNumberFormat="1" applyFont="1" applyFill="1" applyBorder="1" applyAlignment="1" applyProtection="1">
      <protection locked="0"/>
    </xf>
    <xf numFmtId="164" fontId="28" fillId="26" borderId="59" xfId="62" applyFont="1" applyFill="1" applyBorder="1" applyAlignment="1" applyProtection="1">
      <protection locked="0"/>
    </xf>
    <xf numFmtId="164" fontId="28" fillId="0" borderId="10" xfId="62" applyFont="1" applyFill="1" applyBorder="1" applyAlignment="1" applyProtection="1"/>
    <xf numFmtId="164" fontId="28" fillId="0" borderId="58" xfId="62" applyFont="1" applyFill="1" applyBorder="1" applyAlignment="1" applyProtection="1"/>
    <xf numFmtId="49" fontId="26" fillId="0" borderId="67" xfId="0" applyNumberFormat="1" applyFont="1" applyFill="1" applyBorder="1" applyAlignment="1" applyProtection="1">
      <alignment horizontal="left" wrapText="1"/>
      <protection locked="0"/>
    </xf>
    <xf numFmtId="49" fontId="26" fillId="0" borderId="67" xfId="0" applyNumberFormat="1" applyFont="1" applyFill="1" applyBorder="1" applyAlignment="1" applyProtection="1">
      <alignment vertical="top" wrapText="1"/>
      <protection locked="0"/>
    </xf>
    <xf numFmtId="3" fontId="21" fillId="26" borderId="10" xfId="62" applyNumberFormat="1" applyFont="1" applyFill="1" applyBorder="1" applyAlignment="1" applyProtection="1">
      <protection locked="0"/>
    </xf>
    <xf numFmtId="1" fontId="0" fillId="26" borderId="10" xfId="0" applyNumberFormat="1" applyFill="1" applyBorder="1" applyAlignment="1" applyProtection="1">
      <alignment horizontal="center"/>
      <protection locked="0"/>
    </xf>
    <xf numFmtId="1" fontId="0" fillId="26" borderId="58" xfId="0" applyNumberFormat="1" applyFill="1" applyBorder="1" applyAlignment="1" applyProtection="1">
      <alignment horizontal="center"/>
      <protection locked="0"/>
    </xf>
    <xf numFmtId="164" fontId="127" fillId="0" borderId="25" xfId="59" applyFont="1" applyFill="1" applyBorder="1" applyAlignment="1" applyProtection="1">
      <alignment vertical="center"/>
    </xf>
    <xf numFmtId="164" fontId="128" fillId="0" borderId="25" xfId="59" applyFont="1" applyFill="1" applyBorder="1" applyAlignment="1" applyProtection="1">
      <alignment vertical="center"/>
    </xf>
    <xf numFmtId="0" fontId="128" fillId="0" borderId="25" xfId="0" applyFont="1" applyBorder="1" applyProtection="1"/>
    <xf numFmtId="0" fontId="128" fillId="0" borderId="25" xfId="0" applyFont="1" applyBorder="1"/>
    <xf numFmtId="0" fontId="128" fillId="22" borderId="92" xfId="0" applyFont="1" applyFill="1" applyBorder="1"/>
    <xf numFmtId="0" fontId="129" fillId="0" borderId="10" xfId="0" applyFont="1" applyFill="1" applyBorder="1" applyAlignment="1" applyProtection="1">
      <alignment horizontal="center"/>
    </xf>
    <xf numFmtId="3" fontId="129" fillId="22" borderId="10" xfId="0" applyNumberFormat="1" applyFont="1" applyFill="1" applyBorder="1" applyAlignment="1" applyProtection="1">
      <alignment vertical="center"/>
      <protection locked="0"/>
    </xf>
    <xf numFmtId="3" fontId="129" fillId="22" borderId="10" xfId="0" applyNumberFormat="1" applyFont="1" applyFill="1" applyBorder="1" applyAlignment="1" applyProtection="1">
      <alignment horizontal="right" vertical="center"/>
      <protection locked="0"/>
    </xf>
    <xf numFmtId="3" fontId="129" fillId="22" borderId="10" xfId="0" applyNumberFormat="1" applyFont="1" applyFill="1" applyBorder="1" applyAlignment="1" applyProtection="1">
      <alignment horizontal="right" vertical="center" wrapText="1"/>
      <protection locked="0"/>
    </xf>
    <xf numFmtId="3" fontId="129" fillId="22" borderId="26" xfId="0" applyNumberFormat="1" applyFont="1" applyFill="1" applyBorder="1" applyAlignment="1" applyProtection="1">
      <alignment vertical="center"/>
      <protection locked="0"/>
    </xf>
    <xf numFmtId="0" fontId="129" fillId="24" borderId="10" xfId="0" applyFont="1" applyFill="1" applyBorder="1" applyAlignment="1" applyProtection="1">
      <alignment horizontal="center"/>
    </xf>
    <xf numFmtId="3" fontId="129" fillId="28" borderId="10" xfId="0" applyNumberFormat="1" applyFont="1" applyFill="1" applyBorder="1" applyAlignment="1" applyProtection="1">
      <alignment vertical="center"/>
      <protection locked="0"/>
    </xf>
    <xf numFmtId="3" fontId="129" fillId="23" borderId="10" xfId="0" applyNumberFormat="1" applyFont="1" applyFill="1" applyBorder="1" applyAlignment="1" applyProtection="1">
      <alignment vertical="center"/>
      <protection locked="0"/>
    </xf>
    <xf numFmtId="3" fontId="129" fillId="23" borderId="10" xfId="0" applyNumberFormat="1" applyFont="1" applyFill="1" applyBorder="1" applyAlignment="1" applyProtection="1">
      <alignment horizontal="right" vertical="center"/>
      <protection locked="0"/>
    </xf>
    <xf numFmtId="3" fontId="129" fillId="23" borderId="10" xfId="0" applyNumberFormat="1" applyFont="1" applyFill="1" applyBorder="1" applyAlignment="1" applyProtection="1">
      <alignment horizontal="right" vertical="center" wrapText="1"/>
      <protection locked="0"/>
    </xf>
    <xf numFmtId="3" fontId="129" fillId="23" borderId="26" xfId="0" applyNumberFormat="1" applyFont="1" applyFill="1" applyBorder="1" applyAlignment="1" applyProtection="1">
      <alignment vertical="center"/>
      <protection locked="0"/>
    </xf>
    <xf numFmtId="3" fontId="129" fillId="28" borderId="10" xfId="0" applyNumberFormat="1" applyFont="1" applyFill="1" applyBorder="1" applyAlignment="1" applyProtection="1">
      <alignment horizontal="right" vertical="center"/>
      <protection locked="0"/>
    </xf>
    <xf numFmtId="9" fontId="129" fillId="28" borderId="10" xfId="0" applyNumberFormat="1" applyFont="1" applyFill="1" applyBorder="1" applyAlignment="1" applyProtection="1">
      <alignment horizontal="right" vertical="center"/>
      <protection locked="0"/>
    </xf>
    <xf numFmtId="3" fontId="129" fillId="28" borderId="10" xfId="0" applyNumberFormat="1" applyFont="1" applyFill="1" applyBorder="1" applyAlignment="1" applyProtection="1">
      <alignment horizontal="right" vertical="center" wrapText="1"/>
      <protection locked="0"/>
    </xf>
    <xf numFmtId="3" fontId="129" fillId="28" borderId="26" xfId="0" applyNumberFormat="1" applyFont="1" applyFill="1" applyBorder="1" applyAlignment="1" applyProtection="1">
      <alignment vertical="center"/>
      <protection locked="0"/>
    </xf>
    <xf numFmtId="3" fontId="129" fillId="29" borderId="10" xfId="0" applyNumberFormat="1" applyFont="1" applyFill="1" applyBorder="1" applyAlignment="1" applyProtection="1">
      <alignment vertical="center"/>
      <protection locked="0"/>
    </xf>
    <xf numFmtId="3" fontId="129" fillId="29" borderId="10" xfId="0" applyNumberFormat="1" applyFont="1" applyFill="1" applyBorder="1" applyAlignment="1" applyProtection="1">
      <alignment horizontal="right" vertical="center"/>
      <protection locked="0"/>
    </xf>
    <xf numFmtId="3" fontId="129" fillId="29" borderId="10" xfId="0" applyNumberFormat="1" applyFont="1" applyFill="1" applyBorder="1" applyAlignment="1" applyProtection="1">
      <alignment horizontal="right" vertical="center" wrapText="1"/>
      <protection locked="0"/>
    </xf>
    <xf numFmtId="3" fontId="129" fillId="29" borderId="26" xfId="0" applyNumberFormat="1" applyFont="1" applyFill="1" applyBorder="1" applyAlignment="1" applyProtection="1">
      <alignment vertical="center"/>
      <protection locked="0"/>
    </xf>
    <xf numFmtId="3" fontId="129" fillId="28" borderId="26" xfId="0" applyNumberFormat="1" applyFont="1" applyFill="1" applyBorder="1" applyAlignment="1" applyProtection="1">
      <alignment horizontal="right" vertical="center"/>
      <protection locked="0"/>
    </xf>
    <xf numFmtId="9" fontId="129" fillId="29" borderId="10" xfId="0" applyNumberFormat="1" applyFont="1" applyFill="1" applyBorder="1" applyAlignment="1" applyProtection="1">
      <alignment horizontal="right" vertical="center"/>
      <protection locked="0"/>
    </xf>
    <xf numFmtId="3" fontId="129" fillId="0" borderId="10" xfId="0" applyNumberFormat="1" applyFont="1" applyFill="1" applyBorder="1" applyAlignment="1" applyProtection="1">
      <alignment vertical="center"/>
    </xf>
    <xf numFmtId="3" fontId="129" fillId="0" borderId="10" xfId="0" applyNumberFormat="1" applyFont="1" applyFill="1" applyBorder="1" applyAlignment="1" applyProtection="1">
      <alignment horizontal="right" vertical="center"/>
    </xf>
    <xf numFmtId="3" fontId="129" fillId="24" borderId="10" xfId="0" applyNumberFormat="1" applyFont="1" applyFill="1" applyBorder="1" applyAlignment="1" applyProtection="1">
      <alignment vertical="center"/>
    </xf>
    <xf numFmtId="3" fontId="129" fillId="24" borderId="10" xfId="0" applyNumberFormat="1" applyFont="1" applyFill="1" applyBorder="1" applyAlignment="1" applyProtection="1">
      <alignment horizontal="right" vertical="center"/>
    </xf>
    <xf numFmtId="0" fontId="129" fillId="0" borderId="87" xfId="0" applyFont="1" applyFill="1" applyBorder="1" applyAlignment="1" applyProtection="1">
      <alignment horizontal="center"/>
    </xf>
    <xf numFmtId="0" fontId="0" fillId="0" borderId="23" xfId="0" applyBorder="1" applyAlignment="1" applyProtection="1">
      <alignment horizontal="center" vertical="center"/>
    </xf>
    <xf numFmtId="0" fontId="0" fillId="25" borderId="10" xfId="0" applyNumberFormat="1" applyFill="1" applyBorder="1" applyAlignment="1" applyProtection="1">
      <alignment horizontal="center"/>
      <protection locked="0"/>
    </xf>
    <xf numFmtId="0" fontId="0" fillId="25" borderId="57" xfId="0" applyNumberFormat="1" applyFill="1" applyBorder="1" applyAlignment="1" applyProtection="1">
      <alignment horizontal="center"/>
      <protection locked="0"/>
    </xf>
    <xf numFmtId="15" fontId="121" fillId="0" borderId="0" xfId="0" applyNumberFormat="1" applyFont="1" applyAlignment="1" applyProtection="1">
      <alignment horizontal="center"/>
    </xf>
    <xf numFmtId="9" fontId="131" fillId="27" borderId="10" xfId="61" applyFont="1" applyFill="1" applyBorder="1" applyAlignment="1" applyProtection="1">
      <alignment horizontal="center" vertical="center" wrapText="1"/>
    </xf>
    <xf numFmtId="9" fontId="21" fillId="20" borderId="10" xfId="0" applyNumberFormat="1" applyFont="1" applyFill="1" applyBorder="1" applyAlignment="1" applyProtection="1">
      <alignment horizontal="left" vertical="center" wrapText="1"/>
    </xf>
    <xf numFmtId="3" fontId="21" fillId="20" borderId="10" xfId="0" applyNumberFormat="1" applyFont="1" applyFill="1" applyBorder="1" applyAlignment="1" applyProtection="1">
      <alignment vertical="center" wrapText="1"/>
    </xf>
    <xf numFmtId="9" fontId="15" fillId="20" borderId="0" xfId="61" applyFont="1" applyFill="1" applyBorder="1"/>
    <xf numFmtId="4" fontId="0" fillId="0" borderId="70" xfId="0" applyNumberFormat="1" applyFill="1" applyBorder="1" applyProtection="1"/>
    <xf numFmtId="3" fontId="0" fillId="25" borderId="10" xfId="0" applyNumberFormat="1" applyFill="1" applyBorder="1" applyAlignment="1" applyProtection="1">
      <alignment horizontal="center" vertical="center" wrapText="1"/>
      <protection locked="0"/>
    </xf>
    <xf numFmtId="3" fontId="0" fillId="0" borderId="10" xfId="0" applyNumberFormat="1" applyBorder="1" applyAlignment="1" applyProtection="1">
      <alignment horizontal="center" vertical="center" wrapText="1"/>
    </xf>
    <xf numFmtId="9" fontId="2" fillId="28" borderId="10" xfId="0" applyNumberFormat="1" applyFont="1" applyFill="1" applyBorder="1" applyAlignment="1" applyProtection="1">
      <alignment horizontal="right" vertical="center"/>
      <protection locked="0"/>
    </xf>
    <xf numFmtId="164" fontId="132" fillId="0" borderId="25" xfId="59" applyFont="1" applyFill="1" applyBorder="1" applyAlignment="1" applyProtection="1"/>
    <xf numFmtId="0" fontId="0" fillId="0" borderId="37" xfId="0" applyBorder="1" applyProtection="1"/>
    <xf numFmtId="0" fontId="32" fillId="0" borderId="36" xfId="0" applyFont="1" applyBorder="1" applyAlignment="1" applyProtection="1">
      <alignment horizontal="center" vertical="center"/>
    </xf>
    <xf numFmtId="0" fontId="32" fillId="0" borderId="50" xfId="0" applyFont="1" applyBorder="1" applyAlignment="1" applyProtection="1">
      <alignment horizontal="center" vertical="center" wrapText="1"/>
    </xf>
    <xf numFmtId="0" fontId="14" fillId="0" borderId="48" xfId="0" applyFont="1" applyBorder="1" applyAlignment="1" applyProtection="1">
      <alignment horizontal="center"/>
    </xf>
    <xf numFmtId="1" fontId="0" fillId="0" borderId="49" xfId="0" applyNumberFormat="1" applyFill="1" applyBorder="1" applyAlignment="1" applyProtection="1">
      <alignment horizontal="center"/>
    </xf>
    <xf numFmtId="0" fontId="14" fillId="0" borderId="51" xfId="0" applyFont="1" applyBorder="1" applyAlignment="1" applyProtection="1">
      <alignment horizontal="center"/>
    </xf>
    <xf numFmtId="1" fontId="21" fillId="0" borderId="57" xfId="0" applyNumberFormat="1" applyFont="1" applyFill="1" applyBorder="1" applyAlignment="1" applyProtection="1">
      <alignment horizontal="center"/>
      <protection locked="0"/>
    </xf>
    <xf numFmtId="1" fontId="0" fillId="0" borderId="57" xfId="0" applyNumberFormat="1" applyFill="1" applyBorder="1" applyAlignment="1" applyProtection="1">
      <alignment horizontal="center"/>
      <protection locked="0"/>
    </xf>
    <xf numFmtId="1" fontId="0" fillId="0" borderId="52" xfId="0" applyNumberFormat="1" applyFill="1" applyBorder="1" applyAlignment="1" applyProtection="1">
      <alignment horizontal="center"/>
    </xf>
    <xf numFmtId="167" fontId="32" fillId="19" borderId="240" xfId="0" applyNumberFormat="1" applyFont="1" applyFill="1" applyBorder="1" applyAlignment="1" applyProtection="1">
      <alignment horizontal="center"/>
      <protection locked="0"/>
    </xf>
    <xf numFmtId="3" fontId="0" fillId="25" borderId="49" xfId="0" applyNumberFormat="1" applyFill="1" applyBorder="1" applyAlignment="1" applyProtection="1">
      <alignment horizontal="right" wrapText="1"/>
      <protection locked="0"/>
    </xf>
    <xf numFmtId="3" fontId="0" fillId="0" borderId="49" xfId="0" applyNumberFormat="1" applyBorder="1" applyAlignment="1" applyProtection="1">
      <alignment horizontal="right" wrapText="1"/>
    </xf>
    <xf numFmtId="0" fontId="0" fillId="0" borderId="51" xfId="0" applyFill="1" applyBorder="1" applyAlignment="1" applyProtection="1">
      <alignment horizontal="center" wrapText="1"/>
    </xf>
    <xf numFmtId="3" fontId="1" fillId="0" borderId="57" xfId="62" applyNumberFormat="1" applyFont="1" applyFill="1" applyBorder="1" applyAlignment="1" applyProtection="1">
      <alignment horizontal="center" vertical="center"/>
    </xf>
    <xf numFmtId="3" fontId="0" fillId="0" borderId="57" xfId="0" applyNumberFormat="1" applyBorder="1" applyAlignment="1" applyProtection="1">
      <alignment horizontal="right" wrapText="1"/>
    </xf>
    <xf numFmtId="3" fontId="0" fillId="0" borderId="52" xfId="0" applyNumberFormat="1" applyBorder="1" applyAlignment="1" applyProtection="1">
      <alignment horizontal="right" wrapText="1"/>
    </xf>
    <xf numFmtId="0" fontId="0" fillId="0" borderId="36" xfId="0" applyFill="1" applyBorder="1" applyAlignment="1" applyProtection="1">
      <alignment horizontal="center"/>
    </xf>
    <xf numFmtId="0" fontId="0" fillId="0" borderId="36" xfId="0" applyBorder="1" applyAlignment="1" applyProtection="1">
      <alignment horizontal="center"/>
    </xf>
    <xf numFmtId="0" fontId="0" fillId="0" borderId="36" xfId="0" applyBorder="1" applyAlignment="1" applyProtection="1">
      <alignment horizontal="center" wrapText="1"/>
    </xf>
    <xf numFmtId="0" fontId="0" fillId="0" borderId="50" xfId="0" applyBorder="1" applyAlignment="1" applyProtection="1">
      <alignment horizontal="center" wrapText="1"/>
    </xf>
    <xf numFmtId="0" fontId="0" fillId="0" borderId="48" xfId="0" applyBorder="1" applyAlignment="1" applyProtection="1">
      <alignment horizontal="center"/>
    </xf>
    <xf numFmtId="0" fontId="0" fillId="0" borderId="51" xfId="0" applyBorder="1" applyAlignment="1" applyProtection="1">
      <alignment horizontal="center"/>
    </xf>
    <xf numFmtId="0" fontId="0" fillId="25" borderId="52" xfId="0" applyNumberFormat="1" applyFill="1" applyBorder="1" applyAlignment="1" applyProtection="1">
      <alignment horizontal="center"/>
      <protection locked="0"/>
    </xf>
    <xf numFmtId="0" fontId="133" fillId="42" borderId="37" xfId="0" applyFont="1" applyFill="1" applyBorder="1" applyAlignment="1" applyProtection="1">
      <alignment horizontal="center"/>
    </xf>
    <xf numFmtId="0" fontId="133" fillId="0" borderId="36" xfId="0" applyFont="1" applyFill="1" applyBorder="1" applyAlignment="1" applyProtection="1">
      <alignment horizontal="center" wrapText="1"/>
    </xf>
    <xf numFmtId="0" fontId="121" fillId="0" borderId="36" xfId="0" applyFont="1" applyBorder="1" applyAlignment="1">
      <alignment horizontal="center" wrapText="1"/>
    </xf>
    <xf numFmtId="0" fontId="133" fillId="35" borderId="36" xfId="0" applyFont="1" applyFill="1" applyBorder="1" applyAlignment="1">
      <alignment horizontal="center" wrapText="1"/>
    </xf>
    <xf numFmtId="0" fontId="133" fillId="0" borderId="36" xfId="0" applyFont="1" applyBorder="1" applyAlignment="1">
      <alignment horizontal="center" wrapText="1"/>
    </xf>
    <xf numFmtId="0" fontId="133" fillId="0" borderId="50" xfId="0" applyFont="1" applyFill="1" applyBorder="1" applyAlignment="1" applyProtection="1">
      <alignment horizontal="center" wrapText="1"/>
    </xf>
    <xf numFmtId="0" fontId="30" fillId="22" borderId="103" xfId="0" applyFont="1" applyFill="1" applyBorder="1" applyAlignment="1" applyProtection="1">
      <alignment horizontal="left" vertical="top" wrapText="1"/>
      <protection locked="0"/>
    </xf>
    <xf numFmtId="0" fontId="30" fillId="22" borderId="103" xfId="0" applyFont="1" applyFill="1" applyBorder="1" applyAlignment="1" applyProtection="1">
      <alignment horizontal="left" vertical="top"/>
      <protection locked="0"/>
    </xf>
    <xf numFmtId="0" fontId="34" fillId="0" borderId="0" xfId="0" applyFont="1" applyFill="1" applyBorder="1" applyAlignment="1" applyProtection="1">
      <alignment horizontal="left" vertical="top" wrapText="1"/>
      <protection locked="0"/>
    </xf>
    <xf numFmtId="0" fontId="0" fillId="0" borderId="0" xfId="0" applyBorder="1" applyAlignment="1">
      <alignment horizontal="left" vertical="top"/>
    </xf>
    <xf numFmtId="0" fontId="98" fillId="22" borderId="243" xfId="0" applyFont="1" applyFill="1" applyBorder="1" applyAlignment="1" applyProtection="1">
      <alignment horizontal="right" vertical="top"/>
      <protection locked="0"/>
    </xf>
    <xf numFmtId="0" fontId="98" fillId="22" borderId="244" xfId="0" applyFont="1" applyFill="1" applyBorder="1" applyAlignment="1" applyProtection="1">
      <alignment horizontal="right" vertical="top"/>
      <protection locked="0"/>
    </xf>
    <xf numFmtId="49" fontId="169" fillId="0" borderId="248" xfId="0" applyNumberFormat="1" applyFont="1" applyFill="1" applyBorder="1" applyAlignment="1" applyProtection="1">
      <alignment horizontal="left" vertical="center" wrapText="1"/>
      <protection locked="0"/>
    </xf>
    <xf numFmtId="3" fontId="0" fillId="0" borderId="10" xfId="0" applyNumberFormat="1" applyFont="1" applyBorder="1" applyAlignment="1" applyProtection="1">
      <alignment vertical="center" wrapText="1"/>
    </xf>
    <xf numFmtId="3" fontId="0" fillId="35" borderId="10" xfId="0" applyNumberFormat="1" applyFill="1" applyBorder="1" applyAlignment="1" applyProtection="1">
      <alignment horizontal="center" vertical="center"/>
      <protection locked="0"/>
    </xf>
    <xf numFmtId="49" fontId="21" fillId="36" borderId="10" xfId="0" applyNumberFormat="1" applyFont="1" applyFill="1" applyBorder="1" applyProtection="1">
      <protection locked="0"/>
    </xf>
    <xf numFmtId="0" fontId="170" fillId="36" borderId="87" xfId="0" applyFont="1" applyFill="1" applyBorder="1" applyAlignment="1">
      <alignment horizontal="center" wrapText="1"/>
    </xf>
    <xf numFmtId="0" fontId="128" fillId="36" borderId="10" xfId="0" applyNumberFormat="1" applyFont="1" applyFill="1" applyBorder="1" applyAlignment="1" applyProtection="1">
      <alignment horizontal="center" vertical="center"/>
      <protection locked="0"/>
    </xf>
    <xf numFmtId="1" fontId="21" fillId="36" borderId="10" xfId="0" applyNumberFormat="1" applyFont="1" applyFill="1" applyBorder="1" applyAlignment="1" applyProtection="1">
      <alignment horizontal="center" vertical="center"/>
    </xf>
    <xf numFmtId="0" fontId="21" fillId="36" borderId="10" xfId="0" applyNumberFormat="1" applyFont="1" applyFill="1" applyBorder="1" applyAlignment="1" applyProtection="1">
      <alignment horizontal="center" vertical="center"/>
      <protection locked="0"/>
    </xf>
    <xf numFmtId="1" fontId="21" fillId="36" borderId="49" xfId="0" applyNumberFormat="1" applyFont="1" applyFill="1" applyBorder="1" applyAlignment="1" applyProtection="1">
      <alignment horizontal="center" vertical="center"/>
    </xf>
    <xf numFmtId="49" fontId="21" fillId="36" borderId="10" xfId="0" applyNumberFormat="1" applyFont="1" applyFill="1" applyBorder="1" applyAlignment="1" applyProtection="1">
      <alignment horizontal="left"/>
      <protection locked="0"/>
    </xf>
    <xf numFmtId="0" fontId="94" fillId="0" borderId="0" xfId="0" applyFont="1" applyProtection="1"/>
    <xf numFmtId="164" fontId="1" fillId="0" borderId="14" xfId="59" applyFont="1" applyFill="1" applyBorder="1" applyAlignment="1" applyProtection="1">
      <alignment vertical="center"/>
    </xf>
    <xf numFmtId="164" fontId="80" fillId="0" borderId="14" xfId="59" applyFont="1" applyFill="1" applyBorder="1" applyAlignment="1" applyProtection="1">
      <alignment horizontal="left" vertical="center"/>
    </xf>
    <xf numFmtId="164" fontId="21" fillId="0" borderId="14" xfId="59" applyFont="1" applyFill="1" applyBorder="1" applyAlignment="1" applyProtection="1">
      <alignment vertical="center"/>
    </xf>
    <xf numFmtId="164" fontId="21" fillId="26" borderId="89" xfId="59" applyFont="1" applyFill="1" applyBorder="1" applyAlignment="1" applyProtection="1">
      <alignment vertical="center"/>
    </xf>
    <xf numFmtId="164" fontId="1" fillId="0" borderId="0" xfId="59" applyFont="1" applyFill="1" applyBorder="1" applyAlignment="1" applyProtection="1">
      <alignment vertical="center"/>
    </xf>
    <xf numFmtId="0" fontId="25" fillId="0" borderId="85" xfId="0" applyNumberFormat="1" applyFont="1" applyFill="1" applyBorder="1" applyAlignment="1" applyProtection="1">
      <alignment horizontal="center" vertical="center" wrapText="1"/>
    </xf>
    <xf numFmtId="0" fontId="25" fillId="0" borderId="86"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164" fontId="80" fillId="0" borderId="18" xfId="59" applyFont="1" applyFill="1" applyBorder="1" applyAlignment="1" applyProtection="1">
      <alignment vertical="center"/>
    </xf>
    <xf numFmtId="164" fontId="21" fillId="0" borderId="18" xfId="59" applyFont="1" applyFill="1" applyBorder="1" applyAlignment="1" applyProtection="1">
      <alignment vertical="center"/>
    </xf>
    <xf numFmtId="164" fontId="21" fillId="0" borderId="18" xfId="59" applyFont="1" applyFill="1" applyBorder="1" applyAlignment="1" applyProtection="1">
      <alignment horizontal="center" vertical="center"/>
    </xf>
    <xf numFmtId="164" fontId="21" fillId="25" borderId="91" xfId="59" applyFont="1" applyFill="1" applyBorder="1" applyAlignment="1" applyProtection="1">
      <alignment horizontal="center" vertical="center"/>
    </xf>
    <xf numFmtId="0" fontId="1" fillId="0" borderId="0" xfId="0" applyFont="1" applyFill="1" applyBorder="1" applyAlignment="1" applyProtection="1">
      <alignment horizontal="center"/>
    </xf>
    <xf numFmtId="0" fontId="38" fillId="0" borderId="0" xfId="0" applyFont="1" applyFill="1" applyBorder="1" applyAlignment="1" applyProtection="1">
      <alignment horizontal="center" vertical="center"/>
    </xf>
    <xf numFmtId="15" fontId="1" fillId="0" borderId="0" xfId="0" applyNumberFormat="1" applyFont="1" applyFill="1" applyBorder="1" applyAlignment="1" applyProtection="1">
      <alignment horizontal="left"/>
    </xf>
    <xf numFmtId="9" fontId="1" fillId="0" borderId="0" xfId="61" applyFont="1" applyBorder="1" applyProtection="1"/>
    <xf numFmtId="164" fontId="1" fillId="0" borderId="0" xfId="62" applyFont="1" applyFill="1" applyBorder="1" applyProtection="1"/>
    <xf numFmtId="164" fontId="80" fillId="0" borderId="25" xfId="59" applyFont="1" applyFill="1" applyBorder="1" applyAlignment="1" applyProtection="1">
      <alignment vertical="center"/>
    </xf>
    <xf numFmtId="164" fontId="21" fillId="0" borderId="25" xfId="59" applyFont="1" applyFill="1" applyBorder="1" applyAlignment="1" applyProtection="1">
      <alignment vertical="center"/>
    </xf>
    <xf numFmtId="0" fontId="21" fillId="0" borderId="25" xfId="0" applyFont="1" applyBorder="1" applyProtection="1"/>
    <xf numFmtId="0" fontId="21" fillId="0" borderId="25" xfId="0" applyFont="1" applyBorder="1"/>
    <xf numFmtId="0" fontId="21" fillId="22" borderId="92" xfId="0" applyFont="1" applyFill="1" applyBorder="1"/>
    <xf numFmtId="0" fontId="2" fillId="0" borderId="10" xfId="0" applyFont="1" applyFill="1" applyBorder="1" applyAlignment="1" applyProtection="1">
      <alignment horizontal="center"/>
    </xf>
    <xf numFmtId="0" fontId="2" fillId="24" borderId="10" xfId="0" applyFont="1" applyFill="1" applyBorder="1" applyAlignment="1" applyProtection="1">
      <alignment horizontal="center"/>
    </xf>
    <xf numFmtId="3" fontId="2" fillId="0" borderId="10" xfId="0" applyNumberFormat="1" applyFont="1" applyFill="1" applyBorder="1" applyAlignment="1" applyProtection="1">
      <alignment vertical="center"/>
    </xf>
    <xf numFmtId="0" fontId="2" fillId="0" borderId="90" xfId="0" applyFont="1" applyFill="1" applyBorder="1" applyAlignment="1" applyProtection="1">
      <alignment horizontal="center"/>
    </xf>
    <xf numFmtId="3" fontId="2" fillId="24" borderId="10" xfId="0" applyNumberFormat="1" applyFont="1" applyFill="1" applyBorder="1" applyAlignment="1" applyProtection="1">
      <alignment vertical="center"/>
    </xf>
    <xf numFmtId="0" fontId="2" fillId="0" borderId="87" xfId="0" applyFont="1" applyFill="1" applyBorder="1" applyAlignment="1" applyProtection="1">
      <alignment horizontal="center"/>
    </xf>
    <xf numFmtId="9" fontId="2" fillId="0" borderId="10" xfId="0" applyNumberFormat="1" applyFont="1" applyFill="1" applyBorder="1" applyAlignment="1" applyProtection="1">
      <alignment vertical="center"/>
    </xf>
    <xf numFmtId="0" fontId="2" fillId="0" borderId="54" xfId="0" applyFont="1" applyFill="1" applyBorder="1" applyAlignment="1" applyProtection="1">
      <alignment horizontal="center"/>
    </xf>
    <xf numFmtId="3" fontId="2" fillId="0" borderId="54" xfId="0" applyNumberFormat="1" applyFont="1" applyFill="1" applyBorder="1" applyAlignment="1" applyProtection="1">
      <alignment vertical="center"/>
    </xf>
    <xf numFmtId="9" fontId="2" fillId="0" borderId="54" xfId="0" applyNumberFormat="1" applyFont="1" applyFill="1" applyBorder="1" applyAlignment="1" applyProtection="1">
      <alignment vertical="center"/>
    </xf>
    <xf numFmtId="0" fontId="81" fillId="0" borderId="0" xfId="0" applyFont="1" applyFill="1" applyBorder="1" applyProtection="1"/>
    <xf numFmtId="164" fontId="34" fillId="0" borderId="0" xfId="50" applyFont="1" applyFill="1" applyBorder="1" applyProtection="1"/>
    <xf numFmtId="0" fontId="100" fillId="0" borderId="0" xfId="0" applyFont="1" applyAlignment="1"/>
    <xf numFmtId="0" fontId="1" fillId="0" borderId="10" xfId="0" applyFont="1" applyBorder="1"/>
    <xf numFmtId="176" fontId="129" fillId="29" borderId="10" xfId="0" applyNumberFormat="1" applyFont="1" applyFill="1" applyBorder="1" applyAlignment="1" applyProtection="1">
      <alignment horizontal="right" vertical="center" wrapText="1"/>
      <protection locked="0"/>
    </xf>
    <xf numFmtId="176" fontId="129" fillId="0" borderId="10" xfId="0" applyNumberFormat="1" applyFont="1" applyFill="1" applyBorder="1" applyAlignment="1" applyProtection="1">
      <alignment vertical="center"/>
    </xf>
    <xf numFmtId="0" fontId="21" fillId="25" borderId="57" xfId="0" applyNumberFormat="1" applyFont="1" applyFill="1" applyBorder="1" applyAlignment="1" applyProtection="1">
      <alignment horizontal="center"/>
      <protection locked="0"/>
    </xf>
    <xf numFmtId="1" fontId="28" fillId="53" borderId="10" xfId="0" applyNumberFormat="1" applyFont="1" applyFill="1" applyBorder="1"/>
    <xf numFmtId="1" fontId="28" fillId="53" borderId="49" xfId="0" applyNumberFormat="1" applyFont="1" applyFill="1" applyBorder="1"/>
    <xf numFmtId="0" fontId="28" fillId="53" borderId="10" xfId="0" applyFont="1" applyFill="1" applyBorder="1"/>
    <xf numFmtId="3" fontId="129" fillId="22" borderId="10" xfId="0" applyNumberFormat="1" applyFont="1" applyFill="1" applyBorder="1" applyAlignment="1" applyProtection="1">
      <alignment vertical="center" wrapText="1"/>
      <protection locked="0"/>
    </xf>
    <xf numFmtId="0" fontId="98" fillId="36" borderId="87" xfId="0" applyFont="1" applyFill="1" applyBorder="1" applyAlignment="1">
      <alignment horizontal="center" wrapText="1"/>
    </xf>
    <xf numFmtId="0" fontId="21" fillId="36" borderId="87" xfId="0" applyFont="1" applyFill="1" applyBorder="1" applyAlignment="1">
      <alignment horizontal="center" wrapText="1"/>
    </xf>
    <xf numFmtId="3" fontId="21" fillId="36" borderId="10" xfId="0" applyNumberFormat="1" applyFont="1" applyFill="1" applyBorder="1" applyAlignment="1">
      <alignment horizontal="center" vertical="center"/>
    </xf>
    <xf numFmtId="0" fontId="21" fillId="0" borderId="0" xfId="0" applyFont="1" applyBorder="1" applyProtection="1"/>
    <xf numFmtId="0" fontId="21" fillId="0" borderId="0" xfId="0" applyFont="1" applyFill="1" applyBorder="1"/>
    <xf numFmtId="0" fontId="21" fillId="0" borderId="0" xfId="0" applyFont="1" applyBorder="1"/>
    <xf numFmtId="0" fontId="21" fillId="0" borderId="0" xfId="0" applyFont="1" applyFill="1"/>
    <xf numFmtId="1" fontId="128" fillId="36" borderId="10" xfId="0" applyNumberFormat="1" applyFont="1" applyFill="1" applyBorder="1" applyAlignment="1" applyProtection="1">
      <alignment horizontal="center" vertical="center"/>
    </xf>
    <xf numFmtId="1" fontId="128" fillId="36" borderId="49" xfId="0" applyNumberFormat="1" applyFont="1" applyFill="1" applyBorder="1" applyAlignment="1" applyProtection="1">
      <alignment horizontal="center" vertical="center"/>
    </xf>
    <xf numFmtId="1" fontId="28" fillId="53" borderId="90" xfId="0" applyNumberFormat="1" applyFont="1" applyFill="1" applyBorder="1"/>
    <xf numFmtId="1" fontId="28" fillId="53" borderId="205" xfId="0" applyNumberFormat="1" applyFont="1" applyFill="1" applyBorder="1"/>
    <xf numFmtId="1" fontId="172" fillId="53" borderId="10" xfId="0" applyNumberFormat="1" applyFont="1" applyFill="1" applyBorder="1"/>
    <xf numFmtId="0" fontId="28" fillId="53" borderId="90" xfId="0" applyFont="1" applyFill="1" applyBorder="1" applyAlignment="1">
      <alignment wrapText="1"/>
    </xf>
    <xf numFmtId="0" fontId="121" fillId="0" borderId="37" xfId="0" applyFont="1" applyFill="1" applyBorder="1" applyAlignment="1" applyProtection="1">
      <alignment horizontal="center" vertical="top" wrapText="1"/>
    </xf>
    <xf numFmtId="0" fontId="121" fillId="0" borderId="36" xfId="0" applyFont="1" applyFill="1" applyBorder="1" applyAlignment="1" applyProtection="1">
      <alignment vertical="top" wrapText="1"/>
    </xf>
    <xf numFmtId="0" fontId="121" fillId="0" borderId="36" xfId="0" applyFont="1" applyFill="1" applyBorder="1" applyAlignment="1" applyProtection="1">
      <alignment horizontal="center" vertical="top" wrapText="1"/>
    </xf>
    <xf numFmtId="0" fontId="121" fillId="0" borderId="50" xfId="0" applyFont="1" applyFill="1" applyBorder="1" applyAlignment="1" applyProtection="1">
      <alignment horizontal="center" vertical="top" wrapText="1"/>
    </xf>
    <xf numFmtId="0" fontId="21" fillId="25" borderId="45" xfId="0" applyNumberFormat="1" applyFont="1" applyFill="1" applyBorder="1" applyAlignment="1" applyProtection="1">
      <alignment horizontal="center"/>
      <protection locked="0"/>
    </xf>
    <xf numFmtId="49" fontId="129" fillId="28" borderId="108" xfId="0" applyNumberFormat="1" applyFont="1" applyFill="1" applyBorder="1" applyAlignment="1" applyProtection="1">
      <alignment horizontal="left" vertical="center" wrapText="1"/>
      <protection locked="0"/>
    </xf>
    <xf numFmtId="0" fontId="129" fillId="24" borderId="106" xfId="0" applyFont="1" applyFill="1" applyBorder="1" applyAlignment="1" applyProtection="1">
      <alignment horizontal="left" vertical="center" wrapText="1"/>
    </xf>
    <xf numFmtId="0" fontId="129" fillId="24" borderId="107" xfId="0" applyFont="1" applyFill="1" applyBorder="1" applyAlignment="1" applyProtection="1">
      <alignment horizontal="left" vertical="center" wrapText="1"/>
    </xf>
    <xf numFmtId="49" fontId="129" fillId="41" borderId="108" xfId="0" applyNumberFormat="1" applyFont="1" applyFill="1" applyBorder="1" applyAlignment="1" applyProtection="1">
      <alignment horizontal="left" vertical="center" wrapText="1"/>
      <protection locked="0"/>
    </xf>
    <xf numFmtId="0" fontId="129" fillId="0" borderId="106" xfId="0" applyFont="1" applyFill="1" applyBorder="1" applyAlignment="1" applyProtection="1">
      <alignment horizontal="left" vertical="center" wrapText="1"/>
    </xf>
    <xf numFmtId="0" fontId="129" fillId="0" borderId="107" xfId="0" applyFont="1" applyFill="1" applyBorder="1" applyAlignment="1" applyProtection="1">
      <alignment horizontal="left" vertical="center" wrapText="1"/>
    </xf>
    <xf numFmtId="0" fontId="75" fillId="0" borderId="115" xfId="0" applyFont="1" applyFill="1" applyBorder="1" applyAlignment="1" applyProtection="1">
      <alignment horizontal="center" vertical="center"/>
    </xf>
    <xf numFmtId="49" fontId="129" fillId="22" borderId="116" xfId="0" applyNumberFormat="1" applyFont="1" applyFill="1" applyBorder="1" applyAlignment="1" applyProtection="1">
      <alignment horizontal="left" vertical="center" wrapText="1"/>
      <protection locked="0"/>
    </xf>
    <xf numFmtId="49" fontId="129" fillId="22" borderId="108" xfId="0" applyNumberFormat="1" applyFont="1" applyFill="1" applyBorder="1" applyAlignment="1" applyProtection="1">
      <alignment horizontal="left" vertical="center" wrapText="1"/>
      <protection locked="0"/>
    </xf>
    <xf numFmtId="49" fontId="2" fillId="40" borderId="228" xfId="0" applyNumberFormat="1" applyFont="1" applyFill="1" applyBorder="1" applyAlignment="1" applyProtection="1">
      <alignment horizontal="left" vertical="center" wrapText="1"/>
      <protection locked="0"/>
    </xf>
    <xf numFmtId="49" fontId="2" fillId="39" borderId="229" xfId="0" applyNumberFormat="1" applyFont="1" applyFill="1" applyBorder="1" applyAlignment="1" applyProtection="1">
      <alignment horizontal="left" vertical="center" wrapText="1"/>
      <protection locked="0"/>
    </xf>
    <xf numFmtId="49" fontId="2" fillId="38" borderId="228" xfId="0" applyNumberFormat="1" applyFont="1" applyFill="1" applyBorder="1" applyAlignment="1" applyProtection="1">
      <alignment horizontal="left" vertical="center" wrapText="1"/>
      <protection locked="0"/>
    </xf>
    <xf numFmtId="49" fontId="2" fillId="38" borderId="229" xfId="0" applyNumberFormat="1" applyFont="1" applyFill="1" applyBorder="1" applyAlignment="1" applyProtection="1">
      <alignment horizontal="left" vertical="center" wrapText="1"/>
      <protection locked="0"/>
    </xf>
    <xf numFmtId="1" fontId="28" fillId="54" borderId="252" xfId="0" applyNumberFormat="1" applyFont="1" applyFill="1" applyBorder="1"/>
    <xf numFmtId="1" fontId="28" fillId="54" borderId="10" xfId="0" applyNumberFormat="1" applyFont="1" applyFill="1" applyBorder="1"/>
    <xf numFmtId="0" fontId="28" fillId="54" borderId="255" xfId="0" applyFont="1" applyFill="1" applyBorder="1"/>
    <xf numFmtId="1" fontId="28" fillId="54" borderId="255" xfId="0" applyNumberFormat="1" applyFont="1" applyFill="1" applyBorder="1" applyAlignment="1">
      <alignment horizontal="right" vertical="center"/>
    </xf>
    <xf numFmtId="0" fontId="133" fillId="42" borderId="250" xfId="0" applyFont="1" applyFill="1" applyBorder="1" applyAlignment="1" applyProtection="1">
      <alignment horizontal="center"/>
    </xf>
    <xf numFmtId="0" fontId="133" fillId="0" borderId="87" xfId="0" applyFont="1" applyFill="1" applyBorder="1" applyAlignment="1" applyProtection="1">
      <alignment horizontal="center" wrapText="1"/>
    </xf>
    <xf numFmtId="0" fontId="121" fillId="0" borderId="87" xfId="0" applyFont="1" applyBorder="1" applyAlignment="1">
      <alignment horizontal="center" wrapText="1"/>
    </xf>
    <xf numFmtId="0" fontId="133" fillId="35" borderId="87" xfId="0" applyFont="1" applyFill="1" applyBorder="1" applyAlignment="1">
      <alignment horizontal="center" wrapText="1"/>
    </xf>
    <xf numFmtId="0" fontId="133" fillId="0" borderId="87" xfId="0" applyFont="1" applyBorder="1" applyAlignment="1">
      <alignment horizontal="center" wrapText="1"/>
    </xf>
    <xf numFmtId="0" fontId="121" fillId="0" borderId="87" xfId="0" applyFont="1" applyBorder="1" applyAlignment="1">
      <alignment horizontal="center" vertical="center" wrapText="1"/>
    </xf>
    <xf numFmtId="0" fontId="133" fillId="0" borderId="207" xfId="0" applyFont="1" applyFill="1" applyBorder="1" applyAlignment="1" applyProtection="1">
      <alignment horizontal="center" wrapText="1"/>
    </xf>
    <xf numFmtId="0" fontId="21" fillId="36" borderId="10" xfId="0" applyFont="1" applyFill="1" applyBorder="1" applyAlignment="1">
      <alignment horizontal="center" vertical="center"/>
    </xf>
    <xf numFmtId="1" fontId="98" fillId="53" borderId="10" xfId="0" applyNumberFormat="1" applyFont="1" applyFill="1" applyBorder="1"/>
    <xf numFmtId="1" fontId="98" fillId="53" borderId="49" xfId="0" applyNumberFormat="1" applyFont="1" applyFill="1" applyBorder="1"/>
    <xf numFmtId="0" fontId="98" fillId="22" borderId="103" xfId="0" applyFont="1" applyFill="1" applyBorder="1" applyAlignment="1" applyProtection="1">
      <alignment horizontal="left" vertical="top"/>
      <protection locked="0"/>
    </xf>
    <xf numFmtId="0" fontId="98" fillId="22" borderId="104" xfId="0" applyFont="1" applyFill="1" applyBorder="1" applyAlignment="1" applyProtection="1">
      <alignment horizontal="left" vertical="top"/>
      <protection locked="0"/>
    </xf>
    <xf numFmtId="4" fontId="0" fillId="0" borderId="71" xfId="0" applyNumberFormat="1" applyFill="1" applyBorder="1" applyProtection="1"/>
    <xf numFmtId="1" fontId="0" fillId="0" borderId="10" xfId="0" applyNumberFormat="1" applyFill="1" applyBorder="1" applyAlignment="1" applyProtection="1">
      <alignment horizontal="center"/>
      <protection locked="0"/>
    </xf>
    <xf numFmtId="168" fontId="1" fillId="0" borderId="233" xfId="62" applyNumberFormat="1" applyFont="1" applyFill="1" applyBorder="1" applyAlignment="1" applyProtection="1">
      <alignment horizontal="center"/>
      <protection locked="0"/>
    </xf>
    <xf numFmtId="3" fontId="126" fillId="26" borderId="59" xfId="0" applyNumberFormat="1" applyFont="1" applyFill="1" applyBorder="1" applyProtection="1">
      <protection locked="0"/>
    </xf>
    <xf numFmtId="3" fontId="28" fillId="26" borderId="59" xfId="0" applyNumberFormat="1" applyFont="1" applyFill="1" applyBorder="1" applyProtection="1">
      <protection locked="0"/>
    </xf>
    <xf numFmtId="3" fontId="28" fillId="26" borderId="64" xfId="0" applyNumberFormat="1" applyFont="1" applyFill="1" applyBorder="1" applyProtection="1">
      <protection locked="0"/>
    </xf>
    <xf numFmtId="3" fontId="28" fillId="0" borderId="58" xfId="0" applyNumberFormat="1" applyFont="1" applyBorder="1"/>
    <xf numFmtId="0" fontId="0" fillId="0" borderId="0" xfId="0" applyAlignment="1"/>
    <xf numFmtId="0" fontId="62" fillId="0" borderId="41" xfId="0" applyFont="1" applyBorder="1" applyAlignment="1" applyProtection="1">
      <alignment horizontal="left" vertical="center" wrapText="1"/>
      <protection locked="0"/>
    </xf>
    <xf numFmtId="0" fontId="62" fillId="0" borderId="42" xfId="0" applyFont="1" applyBorder="1" applyAlignment="1" applyProtection="1">
      <alignment horizontal="left" vertical="center" wrapText="1"/>
      <protection locked="0"/>
    </xf>
    <xf numFmtId="0" fontId="62" fillId="0" borderId="43" xfId="0" applyFont="1" applyBorder="1" applyAlignment="1" applyProtection="1">
      <alignment horizontal="left" vertical="center" wrapText="1"/>
      <protection locked="0"/>
    </xf>
    <xf numFmtId="0" fontId="86" fillId="0" borderId="42" xfId="0" applyFont="1" applyBorder="1" applyAlignment="1">
      <alignment vertical="center" wrapText="1"/>
    </xf>
    <xf numFmtId="0" fontId="0" fillId="0" borderId="0" xfId="0" applyBorder="1" applyAlignment="1">
      <alignment horizontal="center"/>
    </xf>
    <xf numFmtId="49" fontId="0" fillId="0" borderId="41" xfId="0" applyNumberFormat="1" applyBorder="1" applyAlignment="1" applyProtection="1">
      <alignment horizontal="center"/>
      <protection locked="0"/>
    </xf>
    <xf numFmtId="49" fontId="0" fillId="0" borderId="42" xfId="0" applyNumberFormat="1" applyBorder="1" applyAlignment="1" applyProtection="1">
      <alignment horizontal="center"/>
      <protection locked="0"/>
    </xf>
    <xf numFmtId="49" fontId="0" fillId="0" borderId="43" xfId="0" applyNumberFormat="1" applyBorder="1" applyAlignment="1" applyProtection="1">
      <alignment horizontal="center"/>
      <protection locked="0"/>
    </xf>
    <xf numFmtId="0" fontId="0" fillId="0" borderId="0" xfId="0" applyAlignment="1" applyProtection="1"/>
    <xf numFmtId="0" fontId="94" fillId="0" borderId="0" xfId="0" applyFont="1" applyAlignment="1" applyProtection="1">
      <alignment horizontal="right"/>
    </xf>
    <xf numFmtId="15" fontId="0" fillId="0" borderId="10" xfId="56" applyNumberFormat="1" applyFont="1" applyFill="1" applyBorder="1" applyAlignment="1" applyProtection="1">
      <alignment horizontal="center"/>
      <protection locked="0"/>
    </xf>
    <xf numFmtId="0" fontId="94" fillId="0" borderId="47" xfId="0" applyFont="1" applyBorder="1" applyAlignment="1" applyProtection="1">
      <alignment horizontal="right"/>
    </xf>
    <xf numFmtId="0" fontId="94" fillId="0" borderId="0" xfId="0" applyFont="1" applyBorder="1" applyAlignment="1" applyProtection="1">
      <alignment horizontal="right"/>
    </xf>
    <xf numFmtId="49" fontId="0" fillId="0" borderId="10" xfId="0" applyNumberFormat="1" applyBorder="1" applyAlignment="1" applyProtection="1">
      <alignment horizontal="center"/>
      <protection locked="0"/>
    </xf>
    <xf numFmtId="164" fontId="24" fillId="25" borderId="38" xfId="56" applyFont="1" applyFill="1" applyBorder="1" applyAlignment="1" applyProtection="1">
      <alignment horizontal="center"/>
    </xf>
    <xf numFmtId="164" fontId="1" fillId="0" borderId="38" xfId="56" applyFont="1" applyBorder="1" applyAlignment="1" applyProtection="1">
      <alignment horizontal="right"/>
    </xf>
    <xf numFmtId="164" fontId="20" fillId="0" borderId="0" xfId="49" applyFont="1" applyFill="1" applyAlignment="1" applyProtection="1">
      <alignment horizontal="right" vertical="center"/>
    </xf>
    <xf numFmtId="15" fontId="24" fillId="25" borderId="38" xfId="56" applyNumberFormat="1" applyFont="1" applyFill="1" applyBorder="1" applyAlignment="1" applyProtection="1">
      <alignment horizontal="center"/>
    </xf>
    <xf numFmtId="164" fontId="28" fillId="0" borderId="0" xfId="0" applyNumberFormat="1" applyFont="1" applyAlignment="1" applyProtection="1">
      <alignment horizontal="right"/>
    </xf>
    <xf numFmtId="15" fontId="28" fillId="0" borderId="0" xfId="0" applyNumberFormat="1" applyFont="1" applyAlignment="1" applyProtection="1">
      <alignment horizontal="right"/>
    </xf>
    <xf numFmtId="164" fontId="14" fillId="0" borderId="0" xfId="0" applyNumberFormat="1" applyFont="1" applyAlignment="1" applyProtection="1">
      <alignment horizontal="center"/>
    </xf>
    <xf numFmtId="164" fontId="28" fillId="0" borderId="0" xfId="0" applyNumberFormat="1" applyFont="1" applyAlignment="1">
      <alignment horizontal="right"/>
    </xf>
    <xf numFmtId="164" fontId="35" fillId="0" borderId="0" xfId="0" applyNumberFormat="1" applyFont="1" applyAlignment="1">
      <alignment horizontal="left" vertical="center" wrapText="1"/>
    </xf>
    <xf numFmtId="0" fontId="14" fillId="0" borderId="0" xfId="0" applyFont="1" applyBorder="1" applyAlignment="1">
      <alignment horizontal="center"/>
    </xf>
    <xf numFmtId="0" fontId="30" fillId="22" borderId="0" xfId="0" applyFont="1" applyFill="1" applyBorder="1" applyAlignment="1" applyProtection="1">
      <alignment horizontal="left" vertical="top" wrapText="1"/>
      <protection locked="0"/>
    </xf>
    <xf numFmtId="0" fontId="83" fillId="0" borderId="0" xfId="0" applyFont="1" applyAlignment="1">
      <alignment horizontal="left" wrapText="1"/>
    </xf>
    <xf numFmtId="164" fontId="100" fillId="0" borderId="0" xfId="0" applyNumberFormat="1" applyFont="1" applyAlignment="1" applyProtection="1">
      <alignment horizontal="center"/>
    </xf>
    <xf numFmtId="0" fontId="0" fillId="0" borderId="0" xfId="0" applyAlignment="1">
      <alignment horizontal="center"/>
    </xf>
    <xf numFmtId="0" fontId="34" fillId="0" borderId="10" xfId="0" applyFont="1" applyBorder="1" applyAlignment="1" applyProtection="1">
      <alignment horizontal="center" vertical="center" wrapText="1"/>
    </xf>
    <xf numFmtId="0" fontId="75" fillId="21" borderId="13" xfId="52" applyNumberFormat="1" applyFont="1" applyFill="1" applyBorder="1" applyAlignment="1">
      <alignment horizontal="center" vertical="center" wrapText="1"/>
    </xf>
    <xf numFmtId="0" fontId="33" fillId="0" borderId="0" xfId="0" applyFont="1" applyAlignment="1">
      <alignment horizontal="center"/>
    </xf>
    <xf numFmtId="3" fontId="128" fillId="36" borderId="10" xfId="0" applyNumberFormat="1" applyFont="1" applyFill="1" applyBorder="1" applyAlignment="1">
      <alignment horizontal="center" vertical="center"/>
    </xf>
    <xf numFmtId="0" fontId="21" fillId="36" borderId="10" xfId="0" applyFont="1" applyFill="1" applyBorder="1" applyAlignment="1" applyProtection="1">
      <alignment horizontal="center" vertical="center"/>
      <protection locked="0"/>
    </xf>
    <xf numFmtId="0" fontId="128" fillId="36" borderId="10" xfId="0" applyFont="1" applyFill="1" applyBorder="1" applyAlignment="1" applyProtection="1">
      <alignment horizontal="center" vertical="center"/>
      <protection locked="0"/>
    </xf>
    <xf numFmtId="1" fontId="21" fillId="36" borderId="10" xfId="0" applyNumberFormat="1" applyFont="1" applyFill="1" applyBorder="1" applyAlignment="1">
      <alignment horizontal="center" vertical="center"/>
    </xf>
    <xf numFmtId="3" fontId="21" fillId="20" borderId="10" xfId="0" applyNumberFormat="1" applyFont="1" applyFill="1" applyBorder="1" applyAlignment="1">
      <alignment horizontal="left" vertical="center" wrapText="1"/>
    </xf>
    <xf numFmtId="3" fontId="129" fillId="55" borderId="10" xfId="0" applyNumberFormat="1" applyFont="1" applyFill="1" applyBorder="1" applyAlignment="1" applyProtection="1">
      <alignment horizontal="right" vertical="center" wrapText="1"/>
      <protection locked="0"/>
    </xf>
    <xf numFmtId="3" fontId="128" fillId="20" borderId="10" xfId="0" applyNumberFormat="1" applyFont="1" applyFill="1" applyBorder="1" applyAlignment="1" applyProtection="1">
      <alignment vertical="center" wrapText="1"/>
    </xf>
    <xf numFmtId="3" fontId="129" fillId="23" borderId="26" xfId="0" applyNumberFormat="1" applyFont="1" applyFill="1" applyBorder="1" applyAlignment="1" applyProtection="1">
      <alignment vertical="center" wrapText="1"/>
      <protection locked="0"/>
    </xf>
    <xf numFmtId="2" fontId="129" fillId="22" borderId="10" xfId="61" applyNumberFormat="1" applyFont="1" applyFill="1" applyBorder="1" applyAlignment="1" applyProtection="1">
      <alignment vertical="top" wrapText="1"/>
      <protection locked="0"/>
    </xf>
    <xf numFmtId="176" fontId="129" fillId="22" borderId="10" xfId="61" applyNumberFormat="1" applyFont="1" applyFill="1" applyBorder="1" applyAlignment="1" applyProtection="1">
      <alignment vertical="top" wrapText="1"/>
      <protection locked="0"/>
    </xf>
    <xf numFmtId="10" fontId="129" fillId="29" borderId="10" xfId="0" applyNumberFormat="1" applyFont="1" applyFill="1" applyBorder="1" applyAlignment="1" applyProtection="1">
      <alignment horizontal="right" vertical="center"/>
      <protection locked="0"/>
    </xf>
    <xf numFmtId="3" fontId="0" fillId="0" borderId="10" xfId="0" applyNumberFormat="1" applyBorder="1" applyAlignment="1">
      <alignment wrapText="1"/>
    </xf>
    <xf numFmtId="3" fontId="0" fillId="0" borderId="10" xfId="0" applyNumberFormat="1" applyBorder="1" applyAlignment="1">
      <alignment vertical="center" wrapText="1"/>
    </xf>
    <xf numFmtId="9" fontId="21" fillId="20" borderId="10" xfId="0" applyNumberFormat="1" applyFont="1" applyFill="1" applyBorder="1" applyAlignment="1">
      <alignment horizontal="left" vertical="center" wrapText="1"/>
    </xf>
    <xf numFmtId="10" fontId="21" fillId="20" borderId="10" xfId="0" applyNumberFormat="1" applyFont="1" applyFill="1" applyBorder="1" applyAlignment="1">
      <alignment horizontal="left" vertical="center" wrapText="1"/>
    </xf>
    <xf numFmtId="49" fontId="0" fillId="0" borderId="87" xfId="0" applyNumberFormat="1" applyBorder="1" applyProtection="1">
      <protection locked="0"/>
    </xf>
    <xf numFmtId="0" fontId="21" fillId="35" borderId="87" xfId="0" applyFont="1" applyFill="1" applyBorder="1" applyAlignment="1" applyProtection="1">
      <alignment horizontal="center" vertical="center"/>
      <protection locked="0"/>
    </xf>
    <xf numFmtId="0" fontId="21" fillId="35" borderId="87" xfId="0" applyFont="1" applyFill="1" applyBorder="1" applyAlignment="1">
      <alignment horizontal="center" vertical="center"/>
    </xf>
    <xf numFmtId="3" fontId="0" fillId="35" borderId="10" xfId="0" applyNumberFormat="1" applyFill="1" applyBorder="1" applyAlignment="1">
      <alignment horizontal="center" vertical="center"/>
    </xf>
    <xf numFmtId="1" fontId="21" fillId="35" borderId="10" xfId="0" applyNumberFormat="1" applyFont="1" applyFill="1" applyBorder="1" applyAlignment="1">
      <alignment horizontal="center" vertical="center"/>
    </xf>
    <xf numFmtId="0" fontId="0" fillId="35" borderId="10" xfId="0" applyFill="1" applyBorder="1" applyAlignment="1" applyProtection="1">
      <alignment horizontal="center" vertical="center"/>
      <protection locked="0"/>
    </xf>
    <xf numFmtId="1" fontId="0" fillId="35" borderId="49" xfId="0" applyNumberFormat="1" applyFill="1" applyBorder="1" applyAlignment="1">
      <alignment horizontal="center" vertical="center"/>
    </xf>
    <xf numFmtId="49" fontId="0" fillId="0" borderId="10" xfId="0" applyNumberFormat="1" applyBorder="1" applyProtection="1">
      <protection locked="0"/>
    </xf>
    <xf numFmtId="0" fontId="21" fillId="35" borderId="10" xfId="0" applyFont="1" applyFill="1" applyBorder="1" applyAlignment="1" applyProtection="1">
      <alignment horizontal="center" vertical="center"/>
      <protection locked="0"/>
    </xf>
    <xf numFmtId="0" fontId="21" fillId="35" borderId="10" xfId="0" applyFont="1" applyFill="1" applyBorder="1" applyAlignment="1">
      <alignment horizontal="center" vertical="center"/>
    </xf>
    <xf numFmtId="0" fontId="21" fillId="0" borderId="10" xfId="0" applyFont="1" applyBorder="1" applyAlignment="1" applyProtection="1">
      <alignment horizontal="center" vertical="center"/>
      <protection locked="0"/>
    </xf>
    <xf numFmtId="0" fontId="21" fillId="0" borderId="10" xfId="0" applyFont="1" applyBorder="1" applyAlignment="1">
      <alignment horizontal="center" vertical="center"/>
    </xf>
    <xf numFmtId="3" fontId="0" fillId="0" borderId="10" xfId="0" applyNumberFormat="1" applyBorder="1" applyAlignment="1" applyProtection="1">
      <alignment horizontal="center" vertical="center"/>
      <protection locked="0"/>
    </xf>
    <xf numFmtId="3" fontId="0" fillId="0" borderId="10" xfId="0" applyNumberFormat="1" applyBorder="1" applyAlignment="1">
      <alignment horizontal="center" vertical="center"/>
    </xf>
    <xf numFmtId="1" fontId="21" fillId="0" borderId="10" xfId="0" applyNumberFormat="1" applyFont="1" applyBorder="1" applyAlignment="1">
      <alignment horizontal="center" vertical="center"/>
    </xf>
    <xf numFmtId="0" fontId="0" fillId="0" borderId="10" xfId="0" applyBorder="1" applyAlignment="1" applyProtection="1">
      <alignment horizontal="center" vertical="center"/>
      <protection locked="0"/>
    </xf>
    <xf numFmtId="1" fontId="0" fillId="0" borderId="49" xfId="0" applyNumberFormat="1" applyBorder="1" applyAlignment="1">
      <alignment horizontal="center" vertical="center"/>
    </xf>
    <xf numFmtId="49" fontId="123" fillId="0" borderId="10" xfId="0" applyNumberFormat="1" applyFont="1" applyBorder="1" applyProtection="1">
      <protection locked="0"/>
    </xf>
    <xf numFmtId="49" fontId="0" fillId="0" borderId="10" xfId="0" applyNumberFormat="1" applyBorder="1" applyAlignment="1" applyProtection="1">
      <alignment horizontal="left"/>
      <protection locked="0"/>
    </xf>
    <xf numFmtId="49" fontId="0" fillId="0" borderId="90" xfId="0" applyNumberFormat="1" applyBorder="1" applyAlignment="1" applyProtection="1">
      <alignment horizontal="left"/>
      <protection locked="0"/>
    </xf>
    <xf numFmtId="0" fontId="21" fillId="0" borderId="90" xfId="0" applyFont="1" applyBorder="1" applyAlignment="1" applyProtection="1">
      <alignment horizontal="center" vertical="center"/>
      <protection locked="0"/>
    </xf>
    <xf numFmtId="3" fontId="0" fillId="0" borderId="10" xfId="0" applyNumberFormat="1" applyBorder="1" applyAlignment="1" applyProtection="1">
      <alignment horizontal="center" vertical="top"/>
      <protection locked="0"/>
    </xf>
    <xf numFmtId="3" fontId="0" fillId="0" borderId="10" xfId="0" applyNumberFormat="1" applyBorder="1" applyAlignment="1" applyProtection="1">
      <alignment horizontal="center"/>
      <protection locked="0"/>
    </xf>
    <xf numFmtId="0" fontId="21" fillId="0" borderId="90" xfId="0" applyFont="1" applyBorder="1" applyAlignment="1">
      <alignment horizontal="center" vertical="center"/>
    </xf>
    <xf numFmtId="3" fontId="0" fillId="0" borderId="90" xfId="0" applyNumberFormat="1" applyBorder="1" applyAlignment="1" applyProtection="1">
      <alignment horizontal="center" vertical="top"/>
      <protection locked="0"/>
    </xf>
    <xf numFmtId="1" fontId="0" fillId="0" borderId="90" xfId="0" applyNumberFormat="1" applyBorder="1" applyAlignment="1">
      <alignment horizontal="center"/>
    </xf>
    <xf numFmtId="3" fontId="0" fillId="0" borderId="90" xfId="0" applyNumberFormat="1" applyBorder="1" applyAlignment="1" applyProtection="1">
      <alignment horizontal="center"/>
      <protection locked="0"/>
    </xf>
    <xf numFmtId="1" fontId="21" fillId="0" borderId="90" xfId="0" applyNumberFormat="1" applyFont="1" applyBorder="1" applyAlignment="1">
      <alignment horizontal="center" vertical="center"/>
    </xf>
    <xf numFmtId="0" fontId="0" fillId="0" borderId="90" xfId="0" applyBorder="1" applyAlignment="1" applyProtection="1">
      <alignment horizontal="center" vertical="center"/>
      <protection locked="0"/>
    </xf>
    <xf numFmtId="1" fontId="0" fillId="0" borderId="205" xfId="0" applyNumberFormat="1" applyBorder="1" applyAlignment="1">
      <alignment horizontal="center" vertical="center"/>
    </xf>
    <xf numFmtId="49" fontId="0" fillId="0" borderId="57" xfId="0" applyNumberFormat="1" applyBorder="1" applyAlignment="1" applyProtection="1">
      <alignment horizontal="left"/>
      <protection locked="0"/>
    </xf>
    <xf numFmtId="0" fontId="21" fillId="0" borderId="57" xfId="0" applyFont="1" applyBorder="1" applyAlignment="1" applyProtection="1">
      <alignment horizontal="center" vertical="center"/>
      <protection locked="0"/>
    </xf>
    <xf numFmtId="0" fontId="21" fillId="0" borderId="57" xfId="0" applyFont="1" applyBorder="1" applyAlignment="1">
      <alignment horizontal="center" vertical="center"/>
    </xf>
    <xf numFmtId="3" fontId="0" fillId="0" borderId="57" xfId="0" applyNumberFormat="1" applyBorder="1" applyAlignment="1" applyProtection="1">
      <alignment horizontal="center" vertical="top"/>
      <protection locked="0"/>
    </xf>
    <xf numFmtId="1" fontId="0" fillId="0" borderId="57" xfId="0" applyNumberFormat="1" applyBorder="1" applyAlignment="1">
      <alignment horizontal="center"/>
    </xf>
    <xf numFmtId="3" fontId="0" fillId="0" borderId="57" xfId="0" applyNumberFormat="1" applyBorder="1" applyAlignment="1" applyProtection="1">
      <alignment horizontal="center"/>
      <protection locked="0"/>
    </xf>
    <xf numFmtId="1" fontId="21" fillId="0" borderId="57" xfId="0" applyNumberFormat="1" applyFont="1" applyBorder="1" applyAlignment="1">
      <alignment horizontal="center" vertical="center"/>
    </xf>
    <xf numFmtId="0" fontId="0" fillId="0" borderId="57" xfId="0" applyBorder="1" applyAlignment="1" applyProtection="1">
      <alignment horizontal="center" vertical="center"/>
      <protection locked="0"/>
    </xf>
    <xf numFmtId="1" fontId="0" fillId="0" borderId="52" xfId="0" applyNumberFormat="1" applyBorder="1" applyAlignment="1">
      <alignment horizontal="center" vertical="center"/>
    </xf>
    <xf numFmtId="1" fontId="21" fillId="54" borderId="10" xfId="0" applyNumberFormat="1" applyFont="1" applyFill="1" applyBorder="1" applyAlignment="1">
      <alignment horizontal="right" vertical="center"/>
    </xf>
    <xf numFmtId="0" fontId="0" fillId="54" borderId="10" xfId="0" applyFill="1" applyBorder="1" applyAlignment="1" applyProtection="1">
      <alignment horizontal="right" vertical="center"/>
      <protection locked="0"/>
    </xf>
    <xf numFmtId="1" fontId="0" fillId="54" borderId="49" xfId="0" applyNumberFormat="1" applyFill="1" applyBorder="1" applyAlignment="1">
      <alignment horizontal="right" vertical="center"/>
    </xf>
    <xf numFmtId="1" fontId="21" fillId="54" borderId="90" xfId="0" applyNumberFormat="1" applyFont="1" applyFill="1" applyBorder="1" applyAlignment="1">
      <alignment horizontal="right" vertical="center"/>
    </xf>
    <xf numFmtId="0" fontId="0" fillId="54" borderId="90" xfId="0" applyFill="1" applyBorder="1" applyAlignment="1" applyProtection="1">
      <alignment horizontal="right" vertical="center"/>
      <protection locked="0"/>
    </xf>
    <xf numFmtId="1" fontId="21" fillId="54" borderId="57" xfId="0" applyNumberFormat="1" applyFont="1" applyFill="1" applyBorder="1" applyAlignment="1">
      <alignment horizontal="right" vertical="center"/>
    </xf>
    <xf numFmtId="0" fontId="0" fillId="54" borderId="57" xfId="0" applyFill="1" applyBorder="1" applyAlignment="1" applyProtection="1">
      <alignment horizontal="right" vertical="center"/>
      <protection locked="0"/>
    </xf>
    <xf numFmtId="9" fontId="117" fillId="0" borderId="41" xfId="61" applyFont="1" applyFill="1" applyBorder="1" applyAlignment="1" applyProtection="1">
      <alignment horizontal="center" vertical="center" wrapText="1"/>
      <protection locked="0"/>
    </xf>
    <xf numFmtId="0" fontId="75" fillId="0" borderId="258" xfId="0" applyFont="1" applyFill="1" applyBorder="1" applyAlignment="1" applyProtection="1">
      <alignment horizontal="center" vertical="center"/>
    </xf>
    <xf numFmtId="49" fontId="2" fillId="0" borderId="10" xfId="0" applyNumberFormat="1"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49" fontId="2" fillId="24" borderId="10" xfId="0" applyNumberFormat="1" applyFont="1" applyFill="1" applyBorder="1" applyAlignment="1" applyProtection="1">
      <alignment horizontal="left" vertical="center" wrapText="1"/>
    </xf>
    <xf numFmtId="0" fontId="2" fillId="24" borderId="10" xfId="0" applyFont="1" applyFill="1" applyBorder="1" applyAlignment="1" applyProtection="1">
      <alignment horizontal="left" vertical="center" wrapText="1"/>
    </xf>
    <xf numFmtId="10" fontId="129" fillId="22" borderId="10" xfId="61" applyNumberFormat="1" applyFont="1" applyFill="1" applyBorder="1" applyAlignment="1" applyProtection="1">
      <alignment vertical="top" wrapText="1"/>
      <protection locked="0"/>
    </xf>
    <xf numFmtId="164" fontId="33" fillId="0" borderId="0" xfId="0" applyNumberFormat="1" applyFont="1" applyAlignment="1">
      <alignment horizontal="center"/>
    </xf>
    <xf numFmtId="0" fontId="0" fillId="0" borderId="0" xfId="0" applyAlignment="1"/>
    <xf numFmtId="0" fontId="109" fillId="0" borderId="0" xfId="0" applyFont="1" applyAlignment="1">
      <alignment horizontal="center"/>
    </xf>
    <xf numFmtId="0" fontId="110" fillId="0" borderId="0" xfId="0" applyFont="1" applyAlignment="1">
      <alignment horizontal="center"/>
    </xf>
    <xf numFmtId="164" fontId="115" fillId="30" borderId="0" xfId="47" applyFont="1" applyFill="1" applyAlignment="1">
      <alignment horizontal="center" vertical="center"/>
    </xf>
    <xf numFmtId="0" fontId="62" fillId="0" borderId="41" xfId="0" applyFont="1" applyBorder="1" applyAlignment="1" applyProtection="1">
      <alignment horizontal="justify" vertical="center" wrapText="1"/>
      <protection locked="0"/>
    </xf>
    <xf numFmtId="0" fontId="0" fillId="0" borderId="42" xfId="0" applyFont="1" applyBorder="1" applyAlignment="1">
      <alignment horizontal="justify" vertical="center" wrapText="1"/>
    </xf>
    <xf numFmtId="0" fontId="0" fillId="0" borderId="43" xfId="0" applyFont="1" applyBorder="1" applyAlignment="1">
      <alignment horizontal="justify" vertical="center" wrapText="1"/>
    </xf>
    <xf numFmtId="0" fontId="62" fillId="0" borderId="41" xfId="0" applyFont="1" applyBorder="1" applyAlignment="1" applyProtection="1">
      <alignment horizontal="left" vertical="center" wrapText="1"/>
      <protection locked="0"/>
    </xf>
    <xf numFmtId="0" fontId="0" fillId="0" borderId="42" xfId="0" applyBorder="1" applyAlignment="1">
      <alignment horizontal="left" vertical="center" wrapText="1"/>
    </xf>
    <xf numFmtId="0" fontId="0" fillId="0" borderId="43" xfId="0" applyBorder="1" applyAlignment="1">
      <alignment horizontal="left" vertical="center" wrapText="1"/>
    </xf>
    <xf numFmtId="0" fontId="62" fillId="0" borderId="41" xfId="0" applyFont="1" applyBorder="1" applyAlignment="1" applyProtection="1">
      <alignment horizontal="justify" vertical="top" wrapText="1"/>
      <protection locked="0"/>
    </xf>
    <xf numFmtId="0" fontId="0" fillId="0" borderId="42" xfId="0" applyFont="1" applyBorder="1" applyAlignment="1">
      <alignment horizontal="justify" vertical="top" wrapText="1"/>
    </xf>
    <xf numFmtId="0" fontId="0" fillId="0" borderId="43" xfId="0" applyFont="1" applyBorder="1" applyAlignment="1">
      <alignment horizontal="justify" vertical="top" wrapText="1"/>
    </xf>
    <xf numFmtId="0" fontId="87" fillId="35" borderId="41" xfId="0" applyFont="1" applyFill="1" applyBorder="1" applyAlignment="1" applyProtection="1">
      <alignment vertical="center" wrapText="1"/>
      <protection locked="0"/>
    </xf>
    <xf numFmtId="0" fontId="87" fillId="35" borderId="42" xfId="0" applyFont="1" applyFill="1" applyBorder="1" applyAlignment="1" applyProtection="1">
      <alignment vertical="center" wrapText="1"/>
      <protection locked="0"/>
    </xf>
    <xf numFmtId="0" fontId="87" fillId="35" borderId="43" xfId="0" applyFont="1" applyFill="1" applyBorder="1" applyAlignment="1" applyProtection="1">
      <alignment vertical="center" wrapText="1"/>
      <protection locked="0"/>
    </xf>
    <xf numFmtId="0" fontId="87" fillId="0" borderId="42" xfId="0" applyFont="1" applyBorder="1" applyAlignment="1" applyProtection="1">
      <alignment horizontal="justify" vertical="center" wrapText="1"/>
      <protection locked="0"/>
    </xf>
    <xf numFmtId="0" fontId="87" fillId="0" borderId="43" xfId="0" applyFont="1" applyBorder="1" applyAlignment="1" applyProtection="1">
      <alignment horizontal="justify" vertical="center" wrapText="1"/>
      <protection locked="0"/>
    </xf>
    <xf numFmtId="0" fontId="62" fillId="0" borderId="42" xfId="0" applyFont="1" applyBorder="1" applyAlignment="1" applyProtection="1">
      <alignment horizontal="left" vertical="center" wrapText="1"/>
      <protection locked="0"/>
    </xf>
    <xf numFmtId="0" fontId="62" fillId="0" borderId="43" xfId="0" applyFont="1" applyBorder="1" applyAlignment="1" applyProtection="1">
      <alignment horizontal="left" vertical="center" wrapText="1"/>
      <protection locked="0"/>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24" fillId="22" borderId="41" xfId="0" applyFont="1" applyFill="1" applyBorder="1" applyAlignment="1">
      <alignment horizontal="center"/>
    </xf>
    <xf numFmtId="0" fontId="24" fillId="22" borderId="42" xfId="0" applyFont="1" applyFill="1" applyBorder="1" applyAlignment="1">
      <alignment horizontal="center"/>
    </xf>
    <xf numFmtId="0" fontId="24" fillId="22" borderId="43" xfId="0" applyFont="1" applyFill="1" applyBorder="1" applyAlignment="1">
      <alignment horizontal="center"/>
    </xf>
    <xf numFmtId="0" fontId="24" fillId="22" borderId="41" xfId="0" applyFont="1" applyFill="1" applyBorder="1" applyAlignment="1">
      <alignment horizontal="center" wrapText="1"/>
    </xf>
    <xf numFmtId="0" fontId="24" fillId="22" borderId="42" xfId="0" applyFont="1" applyFill="1" applyBorder="1" applyAlignment="1">
      <alignment horizontal="center" wrapText="1"/>
    </xf>
    <xf numFmtId="0" fontId="24" fillId="22" borderId="43" xfId="0" applyFont="1" applyFill="1" applyBorder="1" applyAlignment="1">
      <alignment horizontal="center" wrapText="1"/>
    </xf>
    <xf numFmtId="0" fontId="92" fillId="0" borderId="41" xfId="0" applyFont="1" applyFill="1" applyBorder="1" applyAlignment="1" applyProtection="1">
      <alignment vertical="center" wrapText="1"/>
      <protection locked="0"/>
    </xf>
    <xf numFmtId="0" fontId="0" fillId="0" borderId="42" xfId="0" applyBorder="1" applyAlignment="1">
      <alignment vertical="center" wrapText="1"/>
    </xf>
    <xf numFmtId="0" fontId="0" fillId="0" borderId="43" xfId="0" applyBorder="1" applyAlignment="1">
      <alignment vertical="center" wrapText="1"/>
    </xf>
    <xf numFmtId="0" fontId="0" fillId="0" borderId="42" xfId="0" applyBorder="1" applyAlignment="1">
      <alignment horizontal="justify" vertical="center" wrapText="1"/>
    </xf>
    <xf numFmtId="0" fontId="0" fillId="0" borderId="43" xfId="0" applyBorder="1" applyAlignment="1">
      <alignment horizontal="justify" vertical="center" wrapText="1"/>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3" xfId="0" applyFont="1" applyBorder="1" applyAlignment="1">
      <alignment horizontal="center" vertical="center" wrapText="1"/>
    </xf>
    <xf numFmtId="0" fontId="92" fillId="0" borderId="42" xfId="0" applyFont="1" applyFill="1" applyBorder="1" applyAlignment="1" applyProtection="1">
      <alignment vertical="center" wrapText="1"/>
      <protection locked="0"/>
    </xf>
    <xf numFmtId="0" fontId="92" fillId="0" borderId="43" xfId="0" applyFont="1" applyFill="1" applyBorder="1" applyAlignment="1" applyProtection="1">
      <alignment vertical="center" wrapText="1"/>
      <protection locked="0"/>
    </xf>
    <xf numFmtId="0" fontId="62" fillId="0" borderId="41" xfId="0" applyNumberFormat="1" applyFont="1" applyBorder="1" applyAlignment="1" applyProtection="1">
      <alignment horizontal="left" vertical="center" wrapText="1"/>
      <protection locked="0"/>
    </xf>
    <xf numFmtId="0" fontId="62" fillId="0" borderId="42" xfId="0" applyNumberFormat="1" applyFont="1" applyBorder="1" applyAlignment="1" applyProtection="1">
      <alignment horizontal="left" vertical="center" wrapText="1"/>
      <protection locked="0"/>
    </xf>
    <xf numFmtId="0" fontId="62" fillId="0" borderId="43" xfId="0" applyNumberFormat="1" applyFont="1" applyBorder="1" applyAlignment="1" applyProtection="1">
      <alignment horizontal="left" vertical="center" wrapText="1"/>
      <protection locked="0"/>
    </xf>
    <xf numFmtId="0" fontId="62" fillId="0" borderId="42" xfId="0" applyFont="1" applyBorder="1" applyAlignment="1" applyProtection="1">
      <alignment horizontal="justify" vertical="center" wrapText="1"/>
      <protection locked="0"/>
    </xf>
    <xf numFmtId="0" fontId="62" fillId="0" borderId="43" xfId="0" applyFont="1" applyBorder="1" applyAlignment="1" applyProtection="1">
      <alignment horizontal="justify" vertical="center" wrapText="1"/>
      <protection locked="0"/>
    </xf>
    <xf numFmtId="0" fontId="62" fillId="0" borderId="41" xfId="0" applyFont="1" applyBorder="1" applyAlignment="1" applyProtection="1">
      <alignment horizontal="center" vertical="center" wrapText="1"/>
      <protection locked="0"/>
    </xf>
    <xf numFmtId="0" fontId="62" fillId="0" borderId="42" xfId="0" applyFont="1" applyBorder="1" applyAlignment="1" applyProtection="1">
      <alignment horizontal="center" vertical="center" wrapText="1"/>
      <protection locked="0"/>
    </xf>
    <xf numFmtId="0" fontId="62" fillId="0" borderId="43" xfId="0" applyFont="1" applyBorder="1" applyAlignment="1" applyProtection="1">
      <alignment horizontal="center" vertical="center" wrapText="1"/>
      <protection locked="0"/>
    </xf>
    <xf numFmtId="0" fontId="62" fillId="0" borderId="41" xfId="0" applyFont="1" applyFill="1" applyBorder="1" applyAlignment="1" applyProtection="1">
      <alignment horizontal="left" vertical="center" wrapText="1"/>
      <protection locked="0"/>
    </xf>
    <xf numFmtId="0" fontId="62" fillId="0" borderId="42" xfId="0" applyFont="1" applyFill="1" applyBorder="1" applyAlignment="1" applyProtection="1">
      <alignment horizontal="left" vertical="center" wrapText="1"/>
      <protection locked="0"/>
    </xf>
    <xf numFmtId="0" fontId="62" fillId="0" borderId="43" xfId="0" applyFont="1" applyFill="1" applyBorder="1" applyAlignment="1" applyProtection="1">
      <alignment horizontal="left" vertical="center" wrapText="1"/>
      <protection locked="0"/>
    </xf>
    <xf numFmtId="0" fontId="87" fillId="0" borderId="41" xfId="0" applyFont="1" applyFill="1" applyBorder="1" applyAlignment="1" applyProtection="1">
      <alignment horizontal="left" vertical="center" wrapText="1"/>
      <protection locked="0"/>
    </xf>
    <xf numFmtId="0" fontId="87" fillId="0" borderId="42" xfId="0" applyFont="1" applyFill="1" applyBorder="1" applyAlignment="1" applyProtection="1">
      <alignment horizontal="left" vertical="center" wrapText="1"/>
      <protection locked="0"/>
    </xf>
    <xf numFmtId="0" fontId="87" fillId="0" borderId="43" xfId="0" applyFont="1" applyFill="1" applyBorder="1" applyAlignment="1" applyProtection="1">
      <alignment horizontal="left" vertical="center" wrapText="1"/>
      <protection locked="0"/>
    </xf>
    <xf numFmtId="0" fontId="62" fillId="0" borderId="41" xfId="0" applyFont="1" applyBorder="1" applyAlignment="1">
      <alignment horizontal="left" vertical="center" wrapText="1"/>
    </xf>
    <xf numFmtId="0" fontId="62" fillId="0" borderId="42" xfId="0" applyFont="1" applyBorder="1" applyAlignment="1">
      <alignment horizontal="left" vertical="center" wrapText="1"/>
    </xf>
    <xf numFmtId="0" fontId="62" fillId="0" borderId="43" xfId="0" applyFont="1" applyBorder="1" applyAlignment="1">
      <alignment horizontal="left" vertical="center" wrapText="1"/>
    </xf>
    <xf numFmtId="164" fontId="86" fillId="0" borderId="41" xfId="0" applyNumberFormat="1" applyFont="1" applyBorder="1" applyAlignment="1">
      <alignment vertical="center" wrapText="1"/>
    </xf>
    <xf numFmtId="0" fontId="86" fillId="0" borderId="42" xfId="0" applyFont="1" applyBorder="1" applyAlignment="1">
      <alignment vertical="center" wrapText="1"/>
    </xf>
    <xf numFmtId="0" fontId="86" fillId="0" borderId="43" xfId="0" applyFont="1" applyBorder="1" applyAlignment="1">
      <alignment vertical="center" wrapText="1"/>
    </xf>
    <xf numFmtId="0" fontId="87" fillId="0" borderId="41" xfId="0" applyFont="1" applyBorder="1" applyAlignment="1">
      <alignment horizontal="left" vertical="center" wrapText="1"/>
    </xf>
    <xf numFmtId="0" fontId="87" fillId="0" borderId="42" xfId="0" applyFont="1" applyBorder="1" applyAlignment="1">
      <alignment horizontal="left" vertical="center" wrapText="1"/>
    </xf>
    <xf numFmtId="0" fontId="87" fillId="0" borderId="43" xfId="0" applyFont="1" applyBorder="1" applyAlignment="1">
      <alignment horizontal="left" vertical="center" wrapText="1"/>
    </xf>
    <xf numFmtId="0" fontId="106" fillId="0" borderId="41" xfId="0" applyFont="1" applyBorder="1" applyAlignment="1">
      <alignment horizontal="left" vertical="center" wrapText="1"/>
    </xf>
    <xf numFmtId="0" fontId="106" fillId="0" borderId="42" xfId="0" applyFont="1" applyBorder="1" applyAlignment="1">
      <alignment horizontal="left" vertical="center" wrapText="1"/>
    </xf>
    <xf numFmtId="0" fontId="106" fillId="0" borderId="43" xfId="0" applyFont="1" applyBorder="1" applyAlignment="1">
      <alignment horizontal="left" vertical="center" wrapText="1"/>
    </xf>
    <xf numFmtId="0" fontId="87" fillId="0" borderId="88" xfId="0" applyFont="1" applyBorder="1" applyAlignment="1">
      <alignment horizontal="justify" vertical="center" wrapText="1"/>
    </xf>
    <xf numFmtId="0" fontId="87" fillId="0" borderId="97" xfId="0" applyFont="1" applyBorder="1" applyAlignment="1">
      <alignment horizontal="justify" vertical="center" wrapText="1"/>
    </xf>
    <xf numFmtId="0" fontId="87" fillId="0" borderId="98" xfId="0" applyFont="1" applyBorder="1" applyAlignment="1">
      <alignment horizontal="justify" vertical="center" wrapText="1"/>
    </xf>
    <xf numFmtId="164" fontId="86" fillId="0" borderId="41" xfId="0" applyNumberFormat="1" applyFont="1" applyBorder="1" applyAlignment="1">
      <alignment horizontal="left" vertical="center" wrapText="1"/>
    </xf>
    <xf numFmtId="0" fontId="86" fillId="0" borderId="42" xfId="0" applyFont="1" applyBorder="1" applyAlignment="1">
      <alignment horizontal="left" vertical="center" wrapText="1"/>
    </xf>
    <xf numFmtId="0" fontId="86" fillId="0" borderId="43" xfId="0" applyFont="1" applyBorder="1" applyAlignment="1">
      <alignment horizontal="left" vertical="center" wrapText="1"/>
    </xf>
    <xf numFmtId="164" fontId="86" fillId="0" borderId="95" xfId="0" applyNumberFormat="1" applyFont="1" applyBorder="1" applyAlignment="1">
      <alignment vertical="center" wrapText="1"/>
    </xf>
    <xf numFmtId="0" fontId="86" fillId="0" borderId="245" xfId="0" applyFont="1" applyBorder="1" applyAlignment="1">
      <alignment vertical="center" wrapText="1"/>
    </xf>
    <xf numFmtId="0" fontId="86" fillId="0" borderId="96" xfId="0" applyFont="1" applyBorder="1" applyAlignment="1">
      <alignment vertical="center" wrapText="1"/>
    </xf>
    <xf numFmtId="0" fontId="86" fillId="0" borderId="88" xfId="0" applyFont="1" applyBorder="1" applyAlignment="1">
      <alignment vertical="center" wrapText="1"/>
    </xf>
    <xf numFmtId="0" fontId="86" fillId="0" borderId="97" xfId="0" applyFont="1" applyBorder="1" applyAlignment="1">
      <alignment vertical="center" wrapText="1"/>
    </xf>
    <xf numFmtId="0" fontId="86" fillId="0" borderId="98" xfId="0" applyFont="1" applyBorder="1" applyAlignment="1">
      <alignment vertical="center" wrapText="1"/>
    </xf>
    <xf numFmtId="0" fontId="87" fillId="0" borderId="41" xfId="0" applyFont="1" applyFill="1" applyBorder="1" applyAlignment="1" applyProtection="1">
      <alignment vertical="center" wrapText="1"/>
      <protection locked="0"/>
    </xf>
    <xf numFmtId="0" fontId="87" fillId="0" borderId="42" xfId="0" applyFont="1" applyFill="1" applyBorder="1" applyAlignment="1" applyProtection="1">
      <alignment vertical="center" wrapText="1"/>
      <protection locked="0"/>
    </xf>
    <xf numFmtId="0" fontId="87" fillId="0" borderId="43" xfId="0" applyFont="1" applyFill="1" applyBorder="1" applyAlignment="1" applyProtection="1">
      <alignment vertical="center" wrapText="1"/>
      <protection locked="0"/>
    </xf>
    <xf numFmtId="0" fontId="62" fillId="0" borderId="95" xfId="0" applyFont="1" applyBorder="1" applyAlignment="1">
      <alignment horizontal="justify" wrapText="1"/>
    </xf>
    <xf numFmtId="0" fontId="62" fillId="0" borderId="245" xfId="0" applyFont="1" applyBorder="1" applyAlignment="1">
      <alignment horizontal="justify" wrapText="1"/>
    </xf>
    <xf numFmtId="0" fontId="62" fillId="0" borderId="96" xfId="0" applyFont="1" applyBorder="1" applyAlignment="1">
      <alignment horizontal="justify" wrapText="1"/>
    </xf>
    <xf numFmtId="0" fontId="84" fillId="0" borderId="0" xfId="0" applyFont="1" applyAlignment="1">
      <alignment horizontal="center"/>
    </xf>
    <xf numFmtId="0" fontId="14" fillId="22" borderId="41" xfId="0" applyFont="1" applyFill="1" applyBorder="1" applyAlignment="1">
      <alignment horizontal="center" vertical="center" wrapText="1"/>
    </xf>
    <xf numFmtId="0" fontId="14" fillId="22" borderId="42" xfId="0" applyFont="1" applyFill="1" applyBorder="1" applyAlignment="1">
      <alignment horizontal="center" vertical="center"/>
    </xf>
    <xf numFmtId="0" fontId="14" fillId="22" borderId="43" xfId="0" applyFont="1" applyFill="1" applyBorder="1" applyAlignment="1">
      <alignment horizontal="center" vertical="center"/>
    </xf>
    <xf numFmtId="0" fontId="24" fillId="22" borderId="41" xfId="0" applyFont="1" applyFill="1" applyBorder="1" applyAlignment="1">
      <alignment horizontal="center" vertical="center"/>
    </xf>
    <xf numFmtId="0" fontId="24" fillId="22" borderId="42" xfId="0" applyFont="1" applyFill="1" applyBorder="1" applyAlignment="1">
      <alignment horizontal="center" vertical="center"/>
    </xf>
    <xf numFmtId="0" fontId="24" fillId="22" borderId="43" xfId="0" applyFont="1" applyFill="1" applyBorder="1" applyAlignment="1">
      <alignment horizontal="center" vertical="center"/>
    </xf>
    <xf numFmtId="0" fontId="85" fillId="25" borderId="41" xfId="0" applyFont="1" applyFill="1" applyBorder="1" applyAlignment="1">
      <alignment horizontal="center"/>
    </xf>
    <xf numFmtId="0" fontId="85" fillId="25" borderId="42" xfId="0" applyFont="1" applyFill="1" applyBorder="1" applyAlignment="1">
      <alignment horizontal="center"/>
    </xf>
    <xf numFmtId="0" fontId="85" fillId="25" borderId="43" xfId="0" applyFont="1" applyFill="1" applyBorder="1" applyAlignment="1">
      <alignment horizontal="center"/>
    </xf>
    <xf numFmtId="0" fontId="62" fillId="0" borderId="41" xfId="0" applyFont="1" applyBorder="1" applyAlignment="1">
      <alignment vertical="center" wrapText="1"/>
    </xf>
    <xf numFmtId="0" fontId="62" fillId="0" borderId="42" xfId="0" applyFont="1" applyBorder="1" applyAlignment="1">
      <alignment vertical="center" wrapText="1"/>
    </xf>
    <xf numFmtId="0" fontId="62" fillId="0" borderId="43" xfId="0" applyFont="1" applyBorder="1" applyAlignment="1">
      <alignment vertical="center" wrapText="1"/>
    </xf>
    <xf numFmtId="0" fontId="0" fillId="0" borderId="245" xfId="0" applyBorder="1" applyAlignment="1">
      <alignment horizontal="center" wrapText="1"/>
    </xf>
    <xf numFmtId="0" fontId="0" fillId="0" borderId="0" xfId="0" applyBorder="1" applyAlignment="1">
      <alignment horizontal="center" wrapText="1"/>
    </xf>
    <xf numFmtId="164" fontId="17" fillId="30" borderId="0" xfId="46" applyFont="1" applyFill="1" applyAlignment="1" applyProtection="1">
      <alignment horizontal="center" vertical="center"/>
    </xf>
    <xf numFmtId="0" fontId="85" fillId="26" borderId="41" xfId="0" applyFont="1" applyFill="1" applyBorder="1" applyAlignment="1">
      <alignment horizontal="center"/>
    </xf>
    <xf numFmtId="0" fontId="85" fillId="26" borderId="42" xfId="0" applyFont="1" applyFill="1" applyBorder="1" applyAlignment="1">
      <alignment horizontal="center"/>
    </xf>
    <xf numFmtId="0" fontId="85" fillId="26" borderId="43" xfId="0" applyFont="1" applyFill="1" applyBorder="1" applyAlignment="1">
      <alignment horizontal="center"/>
    </xf>
    <xf numFmtId="9" fontId="87" fillId="0" borderId="41" xfId="61" applyFont="1" applyBorder="1" applyAlignment="1">
      <alignment horizontal="left" vertical="center" wrapText="1"/>
    </xf>
    <xf numFmtId="9" fontId="87" fillId="0" borderId="42" xfId="61" applyFont="1" applyBorder="1" applyAlignment="1">
      <alignment horizontal="left" vertical="center" wrapText="1"/>
    </xf>
    <xf numFmtId="9" fontId="87" fillId="0" borderId="43" xfId="61" applyFont="1" applyBorder="1" applyAlignment="1">
      <alignment horizontal="left" vertical="center" wrapText="1"/>
    </xf>
    <xf numFmtId="0" fontId="86" fillId="0" borderId="42" xfId="0" applyFont="1" applyBorder="1" applyAlignment="1">
      <alignment horizontal="left" vertical="center"/>
    </xf>
    <xf numFmtId="0" fontId="86" fillId="0" borderId="43" xfId="0" applyFont="1" applyBorder="1" applyAlignment="1">
      <alignment horizontal="left" vertical="center"/>
    </xf>
    <xf numFmtId="0" fontId="86" fillId="0" borderId="42" xfId="0" applyFont="1" applyBorder="1" applyAlignment="1">
      <alignment vertical="center"/>
    </xf>
    <xf numFmtId="0" fontId="86" fillId="0" borderId="43" xfId="0" applyFont="1" applyBorder="1" applyAlignment="1">
      <alignment vertical="center"/>
    </xf>
    <xf numFmtId="0" fontId="0" fillId="0" borderId="0" xfId="0" applyBorder="1" applyAlignment="1">
      <alignment horizontal="center"/>
    </xf>
    <xf numFmtId="0" fontId="0" fillId="0" borderId="245" xfId="0" applyBorder="1" applyAlignment="1">
      <alignment horizontal="center"/>
    </xf>
    <xf numFmtId="0" fontId="62" fillId="0" borderId="95" xfId="0" applyFont="1" applyBorder="1" applyAlignment="1">
      <alignment horizontal="left" vertical="center" wrapText="1"/>
    </xf>
    <xf numFmtId="0" fontId="62" fillId="0" borderId="245" xfId="0" applyFont="1" applyBorder="1" applyAlignment="1">
      <alignment horizontal="left" vertical="center" wrapText="1"/>
    </xf>
    <xf numFmtId="0" fontId="62" fillId="0" borderId="96" xfId="0" applyFont="1" applyBorder="1" applyAlignment="1">
      <alignment horizontal="left" vertical="center" wrapText="1"/>
    </xf>
    <xf numFmtId="0" fontId="62" fillId="0" borderId="88" xfId="0" applyFont="1" applyBorder="1" applyAlignment="1">
      <alignment horizontal="left" vertical="center" wrapText="1"/>
    </xf>
    <xf numFmtId="0" fontId="62" fillId="0" borderId="97" xfId="0" applyFont="1" applyBorder="1" applyAlignment="1">
      <alignment horizontal="left" vertical="center" wrapText="1"/>
    </xf>
    <xf numFmtId="0" fontId="62" fillId="0" borderId="98" xfId="0" applyFont="1" applyBorder="1" applyAlignment="1">
      <alignment horizontal="left" vertical="center" wrapText="1"/>
    </xf>
    <xf numFmtId="0" fontId="106" fillId="0" borderId="41" xfId="0" applyFont="1" applyBorder="1" applyAlignment="1">
      <alignment horizontal="justify" vertical="center" wrapText="1"/>
    </xf>
    <xf numFmtId="0" fontId="106" fillId="0" borderId="42" xfId="0" applyFont="1" applyBorder="1" applyAlignment="1">
      <alignment horizontal="justify" vertical="center" wrapText="1"/>
    </xf>
    <xf numFmtId="0" fontId="106" fillId="0" borderId="43" xfId="0" applyFont="1" applyBorder="1" applyAlignment="1">
      <alignment horizontal="justify" vertical="center" wrapText="1"/>
    </xf>
    <xf numFmtId="0" fontId="104" fillId="0" borderId="42" xfId="0" applyFont="1" applyBorder="1" applyAlignment="1">
      <alignment horizontal="left" vertical="center" wrapText="1"/>
    </xf>
    <xf numFmtId="0" fontId="104" fillId="0" borderId="43" xfId="0" applyFont="1" applyBorder="1" applyAlignment="1">
      <alignment horizontal="left" vertical="center" wrapText="1"/>
    </xf>
    <xf numFmtId="0" fontId="62" fillId="0" borderId="41" xfId="0" applyFont="1" applyFill="1" applyBorder="1" applyAlignment="1">
      <alignment horizontal="left" vertical="center" wrapText="1"/>
    </xf>
    <xf numFmtId="0" fontId="62" fillId="0" borderId="42" xfId="0" applyFont="1" applyFill="1" applyBorder="1" applyAlignment="1">
      <alignment horizontal="left" vertical="center" wrapText="1"/>
    </xf>
    <xf numFmtId="0" fontId="62" fillId="0" borderId="43" xfId="0" applyFont="1" applyFill="1" applyBorder="1" applyAlignment="1">
      <alignment horizontal="left" vertical="center" wrapText="1"/>
    </xf>
    <xf numFmtId="0" fontId="0" fillId="0" borderId="42" xfId="0" applyBorder="1" applyAlignment="1">
      <alignment horizontal="left"/>
    </xf>
    <xf numFmtId="0" fontId="0" fillId="0" borderId="43" xfId="0" applyBorder="1" applyAlignment="1">
      <alignment horizontal="left"/>
    </xf>
    <xf numFmtId="0" fontId="87" fillId="0" borderId="42" xfId="0" applyFont="1" applyBorder="1" applyAlignment="1" applyProtection="1">
      <alignment horizontal="left" vertical="center" wrapText="1"/>
      <protection locked="0"/>
    </xf>
    <xf numFmtId="0" fontId="87" fillId="0" borderId="43" xfId="0" applyFont="1" applyBorder="1" applyAlignment="1" applyProtection="1">
      <alignment horizontal="left" vertical="center" wrapText="1"/>
      <protection locked="0"/>
    </xf>
    <xf numFmtId="0" fontId="62" fillId="35" borderId="41" xfId="0" applyFont="1" applyFill="1" applyBorder="1" applyAlignment="1" applyProtection="1">
      <alignment horizontal="left" vertical="center" wrapText="1"/>
      <protection locked="0"/>
    </xf>
    <xf numFmtId="0" fontId="62" fillId="35" borderId="42" xfId="0" applyFont="1" applyFill="1" applyBorder="1" applyAlignment="1" applyProtection="1">
      <alignment horizontal="left" vertical="center" wrapText="1"/>
      <protection locked="0"/>
    </xf>
    <xf numFmtId="0" fontId="62" fillId="35" borderId="43" xfId="0" applyFont="1" applyFill="1" applyBorder="1" applyAlignment="1" applyProtection="1">
      <alignment horizontal="left" vertical="center" wrapText="1"/>
      <protection locked="0"/>
    </xf>
    <xf numFmtId="49" fontId="0" fillId="0" borderId="41" xfId="0" applyNumberFormat="1" applyBorder="1" applyAlignment="1" applyProtection="1">
      <alignment horizontal="center"/>
      <protection locked="0"/>
    </xf>
    <xf numFmtId="49" fontId="0" fillId="0" borderId="42" xfId="0" applyNumberFormat="1" applyBorder="1" applyAlignment="1" applyProtection="1">
      <alignment horizontal="center"/>
      <protection locked="0"/>
    </xf>
    <xf numFmtId="49" fontId="0" fillId="0" borderId="43" xfId="0" applyNumberFormat="1" applyBorder="1" applyAlignment="1" applyProtection="1">
      <alignment horizontal="center"/>
      <protection locked="0"/>
    </xf>
    <xf numFmtId="0" fontId="129" fillId="22" borderId="102" xfId="0" applyNumberFormat="1" applyFont="1" applyFill="1" applyBorder="1" applyAlignment="1" applyProtection="1">
      <alignment horizontal="center" vertical="center" wrapText="1"/>
      <protection locked="0"/>
    </xf>
    <xf numFmtId="49" fontId="2" fillId="22" borderId="232" xfId="0" applyNumberFormat="1" applyFont="1" applyFill="1" applyBorder="1" applyAlignment="1" applyProtection="1">
      <alignment horizontal="center" vertical="center" wrapText="1"/>
      <protection locked="0"/>
    </xf>
    <xf numFmtId="49" fontId="2" fillId="22" borderId="116" xfId="0" applyNumberFormat="1" applyFont="1" applyFill="1" applyBorder="1" applyAlignment="1" applyProtection="1">
      <alignment horizontal="center" vertical="center" wrapText="1"/>
      <protection locked="0"/>
    </xf>
    <xf numFmtId="0" fontId="129" fillId="28" borderId="102" xfId="0" applyNumberFormat="1" applyFont="1" applyFill="1" applyBorder="1" applyAlignment="1" applyProtection="1">
      <alignment horizontal="center" vertical="center" wrapText="1"/>
      <protection locked="0"/>
    </xf>
    <xf numFmtId="0" fontId="0" fillId="0" borderId="0" xfId="0" applyAlignment="1" applyProtection="1"/>
    <xf numFmtId="164" fontId="60" fillId="30" borderId="0" xfId="38" applyFont="1" applyFill="1" applyAlignment="1" applyProtection="1">
      <alignment horizontal="center" vertical="center"/>
    </xf>
    <xf numFmtId="0" fontId="94" fillId="0" borderId="0" xfId="0" applyFont="1" applyAlignment="1" applyProtection="1">
      <alignment horizontal="right"/>
    </xf>
    <xf numFmtId="3" fontId="0" fillId="0" borderId="41" xfId="0" applyNumberFormat="1" applyBorder="1" applyAlignment="1" applyProtection="1">
      <alignment horizontal="center"/>
      <protection locked="0"/>
    </xf>
    <xf numFmtId="3" fontId="0" fillId="0" borderId="43" xfId="0" applyNumberFormat="1" applyBorder="1" applyAlignment="1" applyProtection="1">
      <alignment horizontal="center"/>
      <protection locked="0"/>
    </xf>
    <xf numFmtId="15" fontId="0" fillId="0" borderId="10" xfId="56" applyNumberFormat="1" applyFont="1" applyFill="1" applyBorder="1" applyAlignment="1" applyProtection="1">
      <alignment horizontal="center"/>
      <protection locked="0"/>
    </xf>
    <xf numFmtId="15" fontId="116" fillId="0" borderId="10" xfId="56" applyNumberFormat="1" applyFill="1" applyBorder="1" applyAlignment="1" applyProtection="1">
      <alignment horizontal="center"/>
      <protection locked="0"/>
    </xf>
    <xf numFmtId="0" fontId="94" fillId="0" borderId="47" xfId="0" applyFont="1" applyBorder="1" applyAlignment="1" applyProtection="1">
      <alignment horizontal="right"/>
    </xf>
    <xf numFmtId="49" fontId="124" fillId="0" borderId="10" xfId="0" applyNumberFormat="1" applyFont="1" applyFill="1" applyBorder="1" applyAlignment="1" applyProtection="1">
      <alignment horizontal="center"/>
      <protection locked="0"/>
    </xf>
    <xf numFmtId="0" fontId="94" fillId="0" borderId="0" xfId="0" applyFont="1" applyBorder="1" applyAlignment="1" applyProtection="1">
      <alignment horizontal="right"/>
    </xf>
    <xf numFmtId="0" fontId="94" fillId="0" borderId="117" xfId="0" applyFont="1" applyBorder="1" applyAlignment="1" applyProtection="1">
      <alignment horizontal="right"/>
    </xf>
    <xf numFmtId="164" fontId="15" fillId="32" borderId="10" xfId="56" applyFont="1" applyFill="1" applyBorder="1" applyAlignment="1" applyProtection="1">
      <alignment horizontal="center"/>
      <protection locked="0"/>
    </xf>
    <xf numFmtId="49" fontId="2" fillId="28" borderId="232" xfId="0" applyNumberFormat="1" applyFont="1" applyFill="1" applyBorder="1" applyAlignment="1" applyProtection="1">
      <alignment horizontal="center" vertical="center" wrapText="1"/>
      <protection locked="0"/>
    </xf>
    <xf numFmtId="49" fontId="2" fillId="28" borderId="116" xfId="0" applyNumberFormat="1" applyFont="1" applyFill="1" applyBorder="1" applyAlignment="1" applyProtection="1">
      <alignment horizontal="center" vertical="center" wrapText="1"/>
      <protection locked="0"/>
    </xf>
    <xf numFmtId="0" fontId="82" fillId="0" borderId="111" xfId="0" applyFont="1" applyBorder="1" applyAlignment="1" applyProtection="1">
      <alignment horizontal="right"/>
    </xf>
    <xf numFmtId="0" fontId="14" fillId="0" borderId="111" xfId="0" applyFont="1" applyBorder="1" applyAlignment="1"/>
    <xf numFmtId="0" fontId="0" fillId="0" borderId="237" xfId="0" applyBorder="1" applyAlignment="1" applyProtection="1">
      <alignment horizontal="center"/>
    </xf>
    <xf numFmtId="0" fontId="0" fillId="0" borderId="238" xfId="0" applyBorder="1" applyAlignment="1" applyProtection="1">
      <alignment horizontal="center"/>
    </xf>
    <xf numFmtId="0" fontId="26" fillId="0" borderId="103" xfId="0" applyFont="1" applyBorder="1" applyAlignment="1" applyProtection="1">
      <alignment horizontal="center" wrapText="1"/>
    </xf>
    <xf numFmtId="0" fontId="26" fillId="0" borderId="104" xfId="0" applyFont="1" applyBorder="1" applyAlignment="1" applyProtection="1">
      <alignment horizontal="center" wrapText="1"/>
    </xf>
    <xf numFmtId="0" fontId="26" fillId="0" borderId="105" xfId="0" applyFont="1" applyBorder="1" applyAlignment="1" applyProtection="1">
      <alignment horizontal="center" wrapText="1"/>
    </xf>
    <xf numFmtId="49" fontId="14" fillId="0" borderId="236" xfId="0" applyNumberFormat="1" applyFont="1" applyFill="1" applyBorder="1" applyAlignment="1" applyProtection="1">
      <alignment horizontal="center"/>
    </xf>
    <xf numFmtId="49" fontId="14" fillId="0" borderId="43" xfId="0" applyNumberFormat="1" applyFont="1" applyFill="1" applyBorder="1" applyAlignment="1" applyProtection="1">
      <alignment horizontal="center"/>
    </xf>
    <xf numFmtId="164" fontId="14" fillId="0" borderId="112" xfId="0" applyNumberFormat="1" applyFont="1" applyBorder="1" applyAlignment="1" applyProtection="1">
      <alignment horizontal="center"/>
    </xf>
    <xf numFmtId="0" fontId="14" fillId="0" borderId="113" xfId="0" applyFont="1" applyBorder="1" applyAlignment="1" applyProtection="1">
      <alignment horizontal="center"/>
    </xf>
    <xf numFmtId="0" fontId="14" fillId="0" borderId="114" xfId="0" applyFont="1" applyBorder="1" applyAlignment="1" applyProtection="1">
      <alignment horizontal="center"/>
    </xf>
    <xf numFmtId="49" fontId="14" fillId="0" borderId="234" xfId="0" applyNumberFormat="1" applyFont="1" applyFill="1" applyBorder="1" applyAlignment="1" applyProtection="1">
      <alignment horizontal="center"/>
    </xf>
    <xf numFmtId="49" fontId="14" fillId="0" borderId="235" xfId="0" applyNumberFormat="1" applyFont="1" applyFill="1" applyBorder="1" applyAlignment="1" applyProtection="1">
      <alignment horizontal="center"/>
    </xf>
    <xf numFmtId="0" fontId="0" fillId="22" borderId="41" xfId="0" applyFill="1" applyBorder="1" applyAlignment="1" applyProtection="1">
      <alignment horizontal="center"/>
    </xf>
    <xf numFmtId="0" fontId="0" fillId="22" borderId="43" xfId="0" applyFill="1" applyBorder="1" applyAlignment="1" applyProtection="1">
      <alignment horizontal="center"/>
    </xf>
    <xf numFmtId="49" fontId="0" fillId="0" borderId="10" xfId="0" applyNumberFormat="1" applyBorder="1" applyAlignment="1" applyProtection="1">
      <alignment horizontal="center"/>
      <protection locked="0"/>
    </xf>
    <xf numFmtId="0" fontId="2" fillId="0" borderId="259" xfId="0" applyFont="1" applyFill="1" applyBorder="1" applyAlignment="1" applyProtection="1">
      <alignment horizontal="center" vertical="center" wrapText="1"/>
    </xf>
    <xf numFmtId="0" fontId="2" fillId="0" borderId="261" xfId="0" applyFont="1" applyFill="1" applyBorder="1" applyAlignment="1" applyProtection="1">
      <alignment horizontal="center" vertical="center" wrapText="1"/>
    </xf>
    <xf numFmtId="0" fontId="2" fillId="0" borderId="232" xfId="0" applyFont="1" applyFill="1" applyBorder="1" applyAlignment="1" applyProtection="1">
      <alignment horizontal="center" vertical="center" wrapText="1"/>
    </xf>
    <xf numFmtId="0" fontId="2" fillId="0" borderId="239" xfId="0" applyFont="1" applyFill="1" applyBorder="1" applyAlignment="1" applyProtection="1">
      <alignment horizontal="center" vertical="center" wrapText="1"/>
    </xf>
    <xf numFmtId="0" fontId="2" fillId="24" borderId="232" xfId="0" applyFont="1" applyFill="1" applyBorder="1" applyAlignment="1" applyProtection="1">
      <alignment horizontal="center" vertical="center" wrapText="1"/>
    </xf>
    <xf numFmtId="0" fontId="2" fillId="24" borderId="116" xfId="0" applyFont="1" applyFill="1" applyBorder="1" applyAlignment="1" applyProtection="1">
      <alignment horizontal="center" vertical="center" wrapText="1"/>
    </xf>
    <xf numFmtId="0" fontId="2" fillId="0" borderId="260" xfId="0" applyFont="1" applyFill="1" applyBorder="1" applyAlignment="1" applyProtection="1">
      <alignment horizontal="center" vertical="center" wrapText="1"/>
    </xf>
    <xf numFmtId="0" fontId="2" fillId="0" borderId="116" xfId="0" applyFont="1" applyFill="1" applyBorder="1" applyAlignment="1" applyProtection="1">
      <alignment horizontal="center" vertical="center" wrapText="1"/>
    </xf>
    <xf numFmtId="0" fontId="129" fillId="28" borderId="230" xfId="0" applyNumberFormat="1" applyFont="1" applyFill="1" applyBorder="1" applyAlignment="1" applyProtection="1">
      <alignment horizontal="center" vertical="center" wrapText="1"/>
      <protection locked="0"/>
    </xf>
    <xf numFmtId="0" fontId="129" fillId="28" borderId="231" xfId="0" applyNumberFormat="1" applyFont="1" applyFill="1" applyBorder="1" applyAlignment="1" applyProtection="1">
      <alignment horizontal="center" vertical="center" wrapText="1"/>
      <protection locked="0"/>
    </xf>
    <xf numFmtId="0" fontId="2" fillId="24" borderId="259" xfId="0" applyFont="1" applyFill="1" applyBorder="1" applyAlignment="1" applyProtection="1">
      <alignment horizontal="center" vertical="center" wrapText="1"/>
    </xf>
    <xf numFmtId="0" fontId="2" fillId="24" borderId="260" xfId="0" applyFont="1" applyFill="1" applyBorder="1" applyAlignment="1" applyProtection="1">
      <alignment horizontal="center" vertical="center" wrapText="1"/>
    </xf>
    <xf numFmtId="0" fontId="0" fillId="31" borderId="103" xfId="0" applyFill="1" applyBorder="1" applyAlignment="1" applyProtection="1">
      <alignment horizontal="center"/>
    </xf>
    <xf numFmtId="0" fontId="0" fillId="31" borderId="104" xfId="0" applyFill="1" applyBorder="1" applyAlignment="1" applyProtection="1">
      <alignment horizontal="center"/>
    </xf>
    <xf numFmtId="0" fontId="0" fillId="31" borderId="105" xfId="0" applyFill="1" applyBorder="1" applyAlignment="1" applyProtection="1">
      <alignment horizontal="center"/>
    </xf>
    <xf numFmtId="49" fontId="129" fillId="22" borderId="43" xfId="0" applyNumberFormat="1" applyFont="1" applyFill="1" applyBorder="1" applyAlignment="1" applyProtection="1">
      <alignment horizontal="center" vertical="center" wrapText="1"/>
      <protection locked="0"/>
    </xf>
    <xf numFmtId="49" fontId="129" fillId="28" borderId="43" xfId="0" applyNumberFormat="1" applyFont="1" applyFill="1" applyBorder="1" applyAlignment="1" applyProtection="1">
      <alignment horizontal="center" vertical="center" wrapText="1"/>
      <protection locked="0"/>
    </xf>
    <xf numFmtId="9" fontId="33" fillId="0" borderId="99" xfId="61" applyFont="1" applyFill="1" applyBorder="1" applyAlignment="1" applyProtection="1">
      <alignment horizontal="center" vertical="center"/>
    </xf>
    <xf numFmtId="9" fontId="33" fillId="0" borderId="100" xfId="61" applyFont="1" applyFill="1" applyBorder="1" applyAlignment="1" applyProtection="1">
      <alignment horizontal="center" vertical="center"/>
    </xf>
    <xf numFmtId="9" fontId="33" fillId="0" borderId="101" xfId="61" applyFont="1" applyFill="1" applyBorder="1" applyAlignment="1" applyProtection="1">
      <alignment horizontal="center" vertical="center"/>
    </xf>
    <xf numFmtId="0" fontId="121" fillId="0" borderId="256" xfId="0" applyFont="1" applyBorder="1" applyAlignment="1">
      <alignment horizontal="center" vertical="center" wrapText="1"/>
    </xf>
    <xf numFmtId="0" fontId="121" fillId="0" borderId="257" xfId="0" applyFont="1" applyBorder="1" applyAlignment="1">
      <alignment horizontal="center" vertical="center" wrapText="1"/>
    </xf>
    <xf numFmtId="0" fontId="133" fillId="42" borderId="249" xfId="0" applyFont="1" applyFill="1" applyBorder="1" applyAlignment="1" applyProtection="1">
      <alignment horizontal="center" vertical="center"/>
      <protection locked="0"/>
    </xf>
    <xf numFmtId="0" fontId="133" fillId="42" borderId="250" xfId="0" applyFont="1" applyFill="1" applyBorder="1" applyAlignment="1" applyProtection="1">
      <alignment horizontal="center" vertical="center"/>
      <protection locked="0"/>
    </xf>
    <xf numFmtId="0" fontId="133" fillId="42" borderId="53" xfId="0" applyFont="1" applyFill="1" applyBorder="1" applyAlignment="1" applyProtection="1">
      <alignment horizontal="center" vertical="center"/>
      <protection locked="0"/>
    </xf>
    <xf numFmtId="0" fontId="133" fillId="42" borderId="96" xfId="0" applyFont="1" applyFill="1" applyBorder="1" applyAlignment="1" applyProtection="1">
      <alignment horizontal="center" vertical="center"/>
    </xf>
    <xf numFmtId="0" fontId="133" fillId="42" borderId="117" xfId="0" applyFont="1" applyFill="1" applyBorder="1" applyAlignment="1" applyProtection="1">
      <alignment horizontal="center" vertical="center"/>
    </xf>
    <xf numFmtId="0" fontId="129" fillId="22" borderId="230" xfId="0" applyNumberFormat="1" applyFont="1" applyFill="1" applyBorder="1" applyAlignment="1" applyProtection="1">
      <alignment horizontal="center" vertical="center" wrapText="1"/>
      <protection locked="0"/>
    </xf>
    <xf numFmtId="0" fontId="129" fillId="22" borderId="231" xfId="0" applyNumberFormat="1" applyFont="1" applyFill="1" applyBorder="1" applyAlignment="1" applyProtection="1">
      <alignment horizontal="center" vertical="center" wrapText="1"/>
      <protection locked="0"/>
    </xf>
    <xf numFmtId="0" fontId="129" fillId="0" borderId="102" xfId="0" applyFont="1" applyFill="1" applyBorder="1" applyAlignment="1" applyProtection="1">
      <alignment horizontal="center" vertical="center" wrapText="1"/>
    </xf>
    <xf numFmtId="0" fontId="129" fillId="24" borderId="102" xfId="0" applyFont="1" applyFill="1" applyBorder="1" applyAlignment="1" applyProtection="1">
      <alignment horizontal="center" vertical="center" wrapText="1"/>
    </xf>
    <xf numFmtId="0" fontId="129" fillId="24" borderId="43" xfId="0" applyFont="1" applyFill="1" applyBorder="1" applyAlignment="1" applyProtection="1">
      <alignment horizontal="center" vertical="center" wrapText="1"/>
    </xf>
    <xf numFmtId="0" fontId="129" fillId="0" borderId="109" xfId="0" applyFont="1" applyFill="1" applyBorder="1" applyAlignment="1" applyProtection="1">
      <alignment horizontal="center" vertical="center" wrapText="1"/>
    </xf>
    <xf numFmtId="0" fontId="129" fillId="0" borderId="43" xfId="0" applyFont="1" applyFill="1" applyBorder="1" applyAlignment="1" applyProtection="1">
      <alignment horizontal="center" vertical="center" wrapText="1"/>
    </xf>
    <xf numFmtId="0" fontId="129" fillId="0" borderId="110" xfId="0" applyFont="1" applyFill="1" applyBorder="1" applyAlignment="1" applyProtection="1">
      <alignment horizontal="center" vertical="center" wrapText="1"/>
    </xf>
    <xf numFmtId="49" fontId="129" fillId="41" borderId="230" xfId="0" applyNumberFormat="1" applyFont="1" applyFill="1" applyBorder="1" applyAlignment="1" applyProtection="1">
      <alignment horizontal="left" vertical="center" wrapText="1"/>
      <protection locked="0"/>
    </xf>
    <xf numFmtId="49" fontId="129" fillId="41" borderId="231" xfId="0" applyNumberFormat="1" applyFont="1" applyFill="1" applyBorder="1" applyAlignment="1" applyProtection="1">
      <alignment horizontal="left" vertical="center" wrapText="1"/>
      <protection locked="0"/>
    </xf>
    <xf numFmtId="49" fontId="129" fillId="28" borderId="230" xfId="0" applyNumberFormat="1" applyFont="1" applyFill="1" applyBorder="1" applyAlignment="1" applyProtection="1">
      <alignment horizontal="left" vertical="center" wrapText="1"/>
      <protection locked="0"/>
    </xf>
    <xf numFmtId="49" fontId="129" fillId="28" borderId="231" xfId="0" applyNumberFormat="1" applyFont="1" applyFill="1" applyBorder="1" applyAlignment="1" applyProtection="1">
      <alignment horizontal="left" vertical="center" wrapText="1"/>
      <protection locked="0"/>
    </xf>
    <xf numFmtId="0" fontId="129" fillId="22" borderId="106" xfId="0" applyNumberFormat="1" applyFont="1" applyFill="1" applyBorder="1" applyAlignment="1" applyProtection="1">
      <alignment horizontal="center" vertical="center" wrapText="1"/>
      <protection locked="0"/>
    </xf>
    <xf numFmtId="164" fontId="17" fillId="30" borderId="0" xfId="38" applyFont="1" applyFill="1" applyAlignment="1" applyProtection="1">
      <alignment horizontal="center" vertical="center"/>
    </xf>
    <xf numFmtId="164" fontId="24" fillId="25" borderId="38" xfId="56" applyFont="1" applyFill="1" applyBorder="1" applyAlignment="1" applyProtection="1">
      <alignment horizontal="center"/>
    </xf>
    <xf numFmtId="164" fontId="33" fillId="25" borderId="0" xfId="49" applyFont="1" applyFill="1" applyAlignment="1" applyProtection="1">
      <alignment horizontal="center" vertical="center" wrapText="1"/>
    </xf>
    <xf numFmtId="175" fontId="24" fillId="25" borderId="38" xfId="56" applyNumberFormat="1" applyFont="1" applyFill="1" applyBorder="1" applyAlignment="1" applyProtection="1">
      <alignment horizontal="center" vertical="center"/>
    </xf>
    <xf numFmtId="164" fontId="1" fillId="0" borderId="38" xfId="56" applyFont="1" applyBorder="1" applyAlignment="1" applyProtection="1">
      <alignment horizontal="right"/>
    </xf>
    <xf numFmtId="164" fontId="1" fillId="0" borderId="38" xfId="56" applyFont="1" applyFill="1" applyBorder="1" applyAlignment="1" applyProtection="1">
      <alignment horizontal="right" wrapText="1"/>
    </xf>
    <xf numFmtId="164" fontId="20" fillId="0" borderId="0" xfId="49" applyFont="1" applyFill="1" applyAlignment="1" applyProtection="1">
      <alignment horizontal="right" vertical="center"/>
    </xf>
    <xf numFmtId="164" fontId="24" fillId="25" borderId="0" xfId="49" applyFont="1" applyFill="1" applyAlignment="1" applyProtection="1">
      <alignment horizontal="center" vertical="center" wrapText="1"/>
    </xf>
    <xf numFmtId="164" fontId="1" fillId="0" borderId="38" xfId="56" applyFont="1" applyFill="1" applyBorder="1" applyAlignment="1" applyProtection="1">
      <alignment horizontal="right" vertical="top" wrapText="1"/>
    </xf>
    <xf numFmtId="0" fontId="0" fillId="0" borderId="38" xfId="0" applyBorder="1" applyAlignment="1"/>
    <xf numFmtId="164" fontId="102" fillId="33" borderId="38" xfId="56" applyFont="1" applyFill="1" applyBorder="1" applyAlignment="1" applyProtection="1">
      <alignment horizontal="center" wrapText="1"/>
    </xf>
    <xf numFmtId="15" fontId="24" fillId="25" borderId="38" xfId="56" applyNumberFormat="1" applyFont="1" applyFill="1" applyBorder="1" applyAlignment="1" applyProtection="1">
      <alignment horizontal="center"/>
    </xf>
    <xf numFmtId="0" fontId="100" fillId="0" borderId="0" xfId="0" applyFont="1" applyAlignment="1" applyProtection="1">
      <alignment horizontal="center"/>
    </xf>
    <xf numFmtId="164" fontId="99" fillId="0" borderId="103" xfId="0" applyNumberFormat="1" applyFont="1" applyBorder="1" applyAlignment="1" applyProtection="1">
      <alignment horizontal="center" vertical="center" wrapText="1"/>
    </xf>
    <xf numFmtId="164" fontId="99" fillId="0" borderId="104" xfId="0" applyNumberFormat="1" applyFont="1" applyBorder="1" applyAlignment="1" applyProtection="1">
      <alignment horizontal="center" vertical="center" wrapText="1"/>
    </xf>
    <xf numFmtId="164" fontId="99" fillId="0" borderId="105" xfId="0" applyNumberFormat="1" applyFont="1" applyBorder="1" applyAlignment="1" applyProtection="1">
      <alignment horizontal="center" vertical="center" wrapText="1"/>
    </xf>
    <xf numFmtId="0" fontId="0" fillId="0" borderId="121" xfId="0" applyBorder="1" applyAlignment="1" applyProtection="1">
      <alignment horizontal="center"/>
    </xf>
    <xf numFmtId="0" fontId="0" fillId="0" borderId="56" xfId="0" applyBorder="1" applyAlignment="1" applyProtection="1">
      <alignment horizontal="center"/>
    </xf>
    <xf numFmtId="0" fontId="103" fillId="0" borderId="118" xfId="0" applyFont="1" applyFill="1" applyBorder="1" applyAlignment="1" applyProtection="1">
      <alignment horizontal="left" wrapText="1"/>
    </xf>
    <xf numFmtId="0" fontId="103" fillId="0" borderId="73" xfId="0" applyFont="1" applyFill="1" applyBorder="1" applyAlignment="1" applyProtection="1">
      <alignment horizontal="left" wrapText="1"/>
    </xf>
    <xf numFmtId="0" fontId="30" fillId="22" borderId="41" xfId="0" applyFont="1" applyFill="1" applyBorder="1" applyAlignment="1" applyProtection="1">
      <alignment horizontal="left" wrapText="1"/>
      <protection locked="0"/>
    </xf>
    <xf numFmtId="0" fontId="0" fillId="0" borderId="42" xfId="0" applyBorder="1" applyAlignment="1" applyProtection="1">
      <alignment horizontal="left" wrapText="1"/>
      <protection locked="0"/>
    </xf>
    <xf numFmtId="0" fontId="0" fillId="0" borderId="43" xfId="0" applyBorder="1" applyAlignment="1" applyProtection="1">
      <alignment horizontal="left" wrapText="1"/>
      <protection locked="0"/>
    </xf>
    <xf numFmtId="164" fontId="60" fillId="30" borderId="0" xfId="47" applyFont="1" applyFill="1" applyAlignment="1">
      <alignment horizontal="center" vertical="center"/>
    </xf>
    <xf numFmtId="164" fontId="14" fillId="0" borderId="0" xfId="0" applyNumberFormat="1" applyFont="1" applyAlignment="1" applyProtection="1">
      <alignment horizontal="center" wrapText="1"/>
    </xf>
    <xf numFmtId="164" fontId="28" fillId="0" borderId="0" xfId="0" applyNumberFormat="1" applyFont="1" applyAlignment="1" applyProtection="1">
      <alignment horizontal="right"/>
    </xf>
    <xf numFmtId="15" fontId="28" fillId="0" borderId="0" xfId="0" applyNumberFormat="1" applyFont="1" applyAlignment="1" applyProtection="1">
      <alignment horizontal="right"/>
    </xf>
    <xf numFmtId="164" fontId="14" fillId="0" borderId="0" xfId="0" applyNumberFormat="1" applyFont="1" applyAlignment="1" applyProtection="1">
      <alignment horizontal="center"/>
    </xf>
    <xf numFmtId="164" fontId="28" fillId="0" borderId="0" xfId="0" applyNumberFormat="1" applyFont="1" applyAlignment="1" applyProtection="1">
      <alignment horizontal="left"/>
    </xf>
    <xf numFmtId="164" fontId="15" fillId="33" borderId="0" xfId="56" applyFont="1" applyFill="1" applyBorder="1" applyAlignment="1" applyProtection="1">
      <alignment horizontal="center" wrapText="1"/>
    </xf>
    <xf numFmtId="0" fontId="34" fillId="22" borderId="41" xfId="0" applyFont="1" applyFill="1" applyBorder="1" applyAlignment="1" applyProtection="1">
      <alignment horizontal="left" wrapText="1"/>
      <protection locked="0"/>
    </xf>
    <xf numFmtId="0" fontId="34" fillId="22" borderId="42" xfId="0" applyFont="1" applyFill="1" applyBorder="1" applyAlignment="1" applyProtection="1">
      <alignment horizontal="left" wrapText="1"/>
      <protection locked="0"/>
    </xf>
    <xf numFmtId="0" fontId="34" fillId="22" borderId="43" xfId="0" applyFont="1" applyFill="1" applyBorder="1" applyAlignment="1" applyProtection="1">
      <alignment horizontal="left" wrapText="1"/>
      <protection locked="0"/>
    </xf>
    <xf numFmtId="0" fontId="103" fillId="0" borderId="119" xfId="0" applyFont="1" applyFill="1" applyBorder="1" applyAlignment="1" applyProtection="1">
      <alignment horizontal="left" wrapText="1"/>
    </xf>
    <xf numFmtId="0" fontId="103" fillId="0" borderId="120" xfId="0" applyFont="1" applyFill="1" applyBorder="1" applyAlignment="1" applyProtection="1">
      <alignment horizontal="left" wrapText="1"/>
    </xf>
    <xf numFmtId="164" fontId="15" fillId="33" borderId="0" xfId="56" applyFont="1" applyFill="1" applyBorder="1" applyAlignment="1" applyProtection="1">
      <alignment horizontal="center" vertical="center" wrapText="1"/>
    </xf>
    <xf numFmtId="164" fontId="14" fillId="0" borderId="0" xfId="0" applyNumberFormat="1" applyFont="1" applyAlignment="1">
      <alignment horizontal="center"/>
    </xf>
    <xf numFmtId="164" fontId="28" fillId="0" borderId="0" xfId="0" applyNumberFormat="1" applyFont="1" applyAlignment="1">
      <alignment horizontal="right"/>
    </xf>
    <xf numFmtId="0" fontId="171" fillId="22" borderId="104" xfId="0" applyFont="1" applyFill="1" applyBorder="1" applyAlignment="1" applyProtection="1">
      <alignment horizontal="left" vertical="top" wrapText="1"/>
      <protection locked="0"/>
    </xf>
    <xf numFmtId="0" fontId="171" fillId="22" borderId="105" xfId="0" applyFont="1" applyFill="1" applyBorder="1" applyAlignment="1" applyProtection="1">
      <alignment horizontal="left" vertical="top" wrapText="1"/>
      <protection locked="0"/>
    </xf>
    <xf numFmtId="164" fontId="35" fillId="0" borderId="0" xfId="0" applyNumberFormat="1" applyFont="1" applyAlignment="1">
      <alignment horizontal="left" vertical="center" wrapText="1"/>
    </xf>
    <xf numFmtId="0" fontId="14" fillId="0" borderId="0" xfId="0" applyFont="1" applyBorder="1" applyAlignment="1">
      <alignment horizontal="center"/>
    </xf>
    <xf numFmtId="164" fontId="28" fillId="0" borderId="0" xfId="0" applyNumberFormat="1" applyFont="1" applyAlignment="1">
      <alignment horizontal="left" vertical="center" wrapText="1"/>
    </xf>
    <xf numFmtId="0" fontId="175" fillId="22" borderId="104" xfId="0" applyFont="1" applyFill="1" applyBorder="1" applyAlignment="1" applyProtection="1">
      <alignment horizontal="left" vertical="top" wrapText="1"/>
      <protection locked="0"/>
    </xf>
    <xf numFmtId="0" fontId="173" fillId="22" borderId="104" xfId="0" applyFont="1" applyFill="1" applyBorder="1" applyAlignment="1" applyProtection="1">
      <alignment horizontal="left" vertical="top" wrapText="1"/>
      <protection locked="0"/>
    </xf>
    <xf numFmtId="0" fontId="173" fillId="22" borderId="105" xfId="0" applyFont="1" applyFill="1" applyBorder="1" applyAlignment="1" applyProtection="1">
      <alignment horizontal="left" vertical="top" wrapText="1"/>
      <protection locked="0"/>
    </xf>
    <xf numFmtId="0" fontId="121" fillId="54" borderId="251" xfId="0" applyFont="1" applyFill="1" applyBorder="1" applyAlignment="1" applyProtection="1">
      <alignment horizontal="center" vertical="center"/>
    </xf>
    <xf numFmtId="0" fontId="121" fillId="54" borderId="253" xfId="0" applyFont="1" applyFill="1" applyBorder="1" applyAlignment="1" applyProtection="1">
      <alignment horizontal="center" vertical="center"/>
    </xf>
    <xf numFmtId="0" fontId="121" fillId="54" borderId="254" xfId="0" applyFont="1" applyFill="1" applyBorder="1" applyAlignment="1" applyProtection="1">
      <alignment horizontal="center" vertical="center"/>
    </xf>
    <xf numFmtId="0" fontId="121" fillId="53" borderId="249" xfId="0" applyFont="1" applyFill="1" applyBorder="1" applyAlignment="1" applyProtection="1">
      <alignment horizontal="center" vertical="center" wrapText="1"/>
    </xf>
    <xf numFmtId="0" fontId="0" fillId="0" borderId="250" xfId="0" applyBorder="1" applyAlignment="1">
      <alignment horizontal="center" wrapText="1"/>
    </xf>
    <xf numFmtId="0" fontId="30" fillId="22" borderId="0" xfId="0" applyFont="1" applyFill="1" applyBorder="1" applyAlignment="1" applyProtection="1">
      <alignment horizontal="left" vertical="top" wrapText="1"/>
      <protection locked="0"/>
    </xf>
    <xf numFmtId="0" fontId="30" fillId="22" borderId="0" xfId="0" applyFont="1" applyFill="1" applyBorder="1" applyAlignment="1" applyProtection="1">
      <alignment horizontal="left" vertical="top"/>
      <protection locked="0"/>
    </xf>
    <xf numFmtId="0" fontId="34" fillId="22" borderId="104" xfId="0" applyFont="1" applyFill="1" applyBorder="1" applyAlignment="1" applyProtection="1">
      <alignment horizontal="left" vertical="top" wrapText="1"/>
      <protection locked="0"/>
    </xf>
    <xf numFmtId="0" fontId="34" fillId="22" borderId="105" xfId="0" applyFont="1" applyFill="1" applyBorder="1" applyAlignment="1" applyProtection="1">
      <alignment horizontal="left" vertical="top" wrapText="1"/>
      <protection locked="0"/>
    </xf>
    <xf numFmtId="164" fontId="35" fillId="0" borderId="0" xfId="0" applyNumberFormat="1" applyFont="1" applyAlignment="1">
      <alignment horizontal="center" vertical="center" wrapText="1"/>
    </xf>
    <xf numFmtId="164" fontId="35" fillId="0" borderId="0" xfId="0" applyNumberFormat="1" applyFont="1" applyAlignment="1">
      <alignment horizontal="center" vertical="center"/>
    </xf>
    <xf numFmtId="0" fontId="83" fillId="0" borderId="0" xfId="0" applyFont="1" applyAlignment="1">
      <alignment horizontal="left" wrapText="1"/>
    </xf>
    <xf numFmtId="0" fontId="174" fillId="22" borderId="0" xfId="0" applyFont="1" applyFill="1" applyBorder="1" applyAlignment="1" applyProtection="1">
      <alignment horizontal="left" vertical="top" wrapText="1"/>
      <protection locked="0"/>
    </xf>
    <xf numFmtId="0" fontId="171" fillId="22" borderId="0" xfId="0" applyFont="1" applyFill="1" applyBorder="1" applyAlignment="1" applyProtection="1">
      <alignment horizontal="left" vertical="top" wrapText="1"/>
      <protection locked="0"/>
    </xf>
    <xf numFmtId="0" fontId="34" fillId="22" borderId="0" xfId="0" applyFont="1" applyFill="1" applyBorder="1" applyAlignment="1" applyProtection="1">
      <alignment horizontal="left" vertical="top" wrapText="1"/>
      <protection locked="0"/>
    </xf>
    <xf numFmtId="0" fontId="28" fillId="22" borderId="241" xfId="0" applyFont="1" applyFill="1" applyBorder="1" applyAlignment="1" applyProtection="1">
      <alignment horizontal="left" vertical="top" wrapText="1"/>
      <protection locked="0"/>
    </xf>
    <xf numFmtId="0" fontId="28" fillId="0" borderId="104" xfId="0" applyFont="1" applyBorder="1" applyAlignment="1">
      <alignment horizontal="left" vertical="top" wrapText="1"/>
    </xf>
    <xf numFmtId="0" fontId="28" fillId="0" borderId="242" xfId="0" applyFont="1" applyBorder="1" applyAlignment="1">
      <alignment horizontal="left" vertical="top" wrapText="1"/>
    </xf>
    <xf numFmtId="9" fontId="0" fillId="35" borderId="10" xfId="61" applyFont="1" applyFill="1" applyBorder="1" applyAlignment="1" applyProtection="1">
      <alignment horizontal="left" vertical="top" wrapText="1"/>
      <protection locked="0"/>
    </xf>
    <xf numFmtId="9" fontId="1" fillId="35" borderId="10" xfId="61" applyFont="1" applyFill="1" applyBorder="1" applyAlignment="1" applyProtection="1">
      <alignment horizontal="left" vertical="top" wrapText="1"/>
      <protection locked="0"/>
    </xf>
    <xf numFmtId="0" fontId="21" fillId="35" borderId="41" xfId="0" applyFont="1" applyFill="1" applyBorder="1" applyAlignment="1" applyProtection="1">
      <alignment vertical="center" wrapText="1"/>
    </xf>
    <xf numFmtId="0" fontId="21" fillId="35" borderId="42" xfId="0" applyFont="1" applyFill="1" applyBorder="1" applyAlignment="1" applyProtection="1">
      <alignment vertical="center" wrapText="1"/>
    </xf>
    <xf numFmtId="0" fontId="21" fillId="35" borderId="43" xfId="0" applyFont="1" applyFill="1" applyBorder="1" applyAlignment="1" applyProtection="1">
      <alignment vertical="center" wrapText="1"/>
    </xf>
    <xf numFmtId="9" fontId="1" fillId="0" borderId="41" xfId="61" applyFont="1" applyBorder="1" applyAlignment="1" applyProtection="1">
      <alignment horizontal="center" vertical="center" wrapText="1"/>
    </xf>
    <xf numFmtId="9" fontId="1" fillId="0" borderId="42" xfId="61" applyFont="1" applyBorder="1" applyAlignment="1" applyProtection="1">
      <alignment horizontal="center" vertical="center" wrapText="1"/>
    </xf>
    <xf numFmtId="9" fontId="1" fillId="0" borderId="43" xfId="61" applyFont="1" applyBorder="1" applyAlignment="1" applyProtection="1">
      <alignment horizontal="center" vertical="center" wrapText="1"/>
    </xf>
    <xf numFmtId="9" fontId="0" fillId="35" borderId="10" xfId="61" applyFont="1" applyFill="1" applyBorder="1" applyAlignment="1" applyProtection="1">
      <alignment horizontal="left" vertical="center" wrapText="1"/>
      <protection locked="0"/>
    </xf>
    <xf numFmtId="9" fontId="1" fillId="35" borderId="10" xfId="61" applyFont="1" applyFill="1" applyBorder="1" applyAlignment="1" applyProtection="1">
      <alignment horizontal="left" vertical="center" wrapText="1"/>
      <protection locked="0"/>
    </xf>
    <xf numFmtId="164" fontId="100" fillId="0" borderId="0" xfId="0" applyNumberFormat="1" applyFont="1" applyAlignment="1" applyProtection="1">
      <alignment horizontal="center"/>
    </xf>
    <xf numFmtId="0" fontId="0" fillId="0" borderId="0" xfId="0" applyAlignment="1">
      <alignment horizontal="center"/>
    </xf>
    <xf numFmtId="0" fontId="28" fillId="0" borderId="105" xfId="0" applyFont="1" applyBorder="1" applyAlignment="1">
      <alignment horizontal="left" vertical="top" wrapText="1"/>
    </xf>
    <xf numFmtId="0" fontId="34" fillId="0" borderId="41" xfId="0" applyFont="1" applyBorder="1" applyAlignment="1" applyProtection="1">
      <alignment horizontal="center" vertical="center"/>
    </xf>
    <xf numFmtId="0" fontId="34" fillId="0" borderId="42" xfId="0" applyFont="1" applyBorder="1" applyAlignment="1" applyProtection="1">
      <alignment horizontal="center" vertical="center"/>
    </xf>
    <xf numFmtId="0" fontId="34" fillId="0" borderId="43" xfId="0" applyFont="1" applyBorder="1" applyAlignment="1" applyProtection="1">
      <alignment horizontal="center" vertical="center"/>
    </xf>
    <xf numFmtId="9" fontId="98" fillId="0" borderId="41" xfId="61" applyFont="1" applyBorder="1" applyAlignment="1" applyProtection="1">
      <alignment horizontal="center" vertical="center" wrapText="1"/>
    </xf>
    <xf numFmtId="9" fontId="98" fillId="0" borderId="42" xfId="61" applyFont="1" applyBorder="1" applyAlignment="1" applyProtection="1">
      <alignment horizontal="center" vertical="center" wrapText="1"/>
    </xf>
    <xf numFmtId="9" fontId="98" fillId="0" borderId="43" xfId="61" applyFont="1" applyBorder="1" applyAlignment="1" applyProtection="1">
      <alignment horizontal="center" vertical="center" wrapText="1"/>
    </xf>
    <xf numFmtId="49" fontId="28" fillId="0" borderId="94" xfId="0" applyNumberFormat="1" applyFont="1" applyBorder="1" applyAlignment="1" applyProtection="1">
      <alignment horizontal="left" vertical="center" wrapText="1"/>
    </xf>
    <xf numFmtId="0" fontId="28" fillId="0" borderId="94" xfId="0" applyFont="1" applyBorder="1" applyAlignment="1" applyProtection="1">
      <alignment horizontal="left" vertical="center" wrapText="1"/>
    </xf>
    <xf numFmtId="9" fontId="36" fillId="34" borderId="41" xfId="61" applyFont="1" applyFill="1" applyBorder="1" applyAlignment="1" applyProtection="1">
      <alignment horizontal="center" vertical="center" wrapText="1"/>
    </xf>
    <xf numFmtId="9" fontId="36" fillId="34" borderId="43" xfId="61" applyFont="1" applyFill="1" applyBorder="1" applyAlignment="1" applyProtection="1">
      <alignment horizontal="center" vertical="center" wrapText="1"/>
    </xf>
    <xf numFmtId="0" fontId="21" fillId="35" borderId="41" xfId="0" applyFont="1" applyFill="1" applyBorder="1" applyAlignment="1" applyProtection="1">
      <alignment horizontal="left" vertical="center" wrapText="1"/>
    </xf>
    <xf numFmtId="0" fontId="21" fillId="35" borderId="42" xfId="0" applyFont="1" applyFill="1" applyBorder="1" applyAlignment="1" applyProtection="1">
      <alignment horizontal="left" vertical="center" wrapText="1"/>
    </xf>
    <xf numFmtId="0" fontId="21" fillId="35" borderId="43" xfId="0" applyFont="1" applyFill="1" applyBorder="1" applyAlignment="1" applyProtection="1">
      <alignment horizontal="left" vertical="center" wrapText="1"/>
    </xf>
    <xf numFmtId="9" fontId="1" fillId="0" borderId="41" xfId="61" applyNumberFormat="1" applyFont="1" applyBorder="1" applyAlignment="1" applyProtection="1">
      <alignment horizontal="center" vertical="center" wrapText="1"/>
    </xf>
    <xf numFmtId="9" fontId="1" fillId="0" borderId="42" xfId="61" applyNumberFormat="1" applyFont="1" applyBorder="1" applyAlignment="1" applyProtection="1">
      <alignment horizontal="center" vertical="center" wrapText="1"/>
    </xf>
    <xf numFmtId="9" fontId="1" fillId="0" borderId="43" xfId="61" applyNumberFormat="1" applyFont="1" applyBorder="1" applyAlignment="1" applyProtection="1">
      <alignment horizontal="center" vertical="center" wrapText="1"/>
    </xf>
    <xf numFmtId="0" fontId="1" fillId="35" borderId="10" xfId="0" applyFont="1" applyFill="1" applyBorder="1" applyAlignment="1" applyProtection="1">
      <alignment vertical="center" wrapText="1"/>
    </xf>
    <xf numFmtId="9" fontId="21" fillId="35" borderId="41" xfId="61" applyFont="1" applyFill="1" applyBorder="1" applyAlignment="1" applyProtection="1">
      <alignment horizontal="left" vertical="center" wrapText="1"/>
      <protection locked="0"/>
    </xf>
    <xf numFmtId="49" fontId="122" fillId="20" borderId="41" xfId="0" applyNumberFormat="1" applyFont="1" applyFill="1" applyBorder="1" applyAlignment="1" applyProtection="1">
      <alignment vertical="center" wrapText="1"/>
    </xf>
    <xf numFmtId="0" fontId="122" fillId="20" borderId="42" xfId="0" applyFont="1" applyFill="1" applyBorder="1" applyAlignment="1" applyProtection="1">
      <alignment vertical="center" wrapText="1"/>
    </xf>
    <xf numFmtId="0" fontId="122" fillId="20" borderId="43" xfId="0" applyFont="1" applyFill="1" applyBorder="1" applyAlignment="1" applyProtection="1">
      <alignment vertical="center" wrapText="1"/>
    </xf>
    <xf numFmtId="9" fontId="118" fillId="31" borderId="41" xfId="61" applyFont="1" applyFill="1" applyBorder="1" applyAlignment="1" applyProtection="1">
      <alignment horizontal="center" vertical="center" wrapText="1"/>
    </xf>
    <xf numFmtId="9" fontId="118" fillId="31" borderId="43" xfId="61" applyFont="1" applyFill="1" applyBorder="1" applyAlignment="1" applyProtection="1">
      <alignment horizontal="center" vertical="center" wrapText="1"/>
    </xf>
    <xf numFmtId="9" fontId="119" fillId="34" borderId="41" xfId="61" applyFont="1" applyFill="1" applyBorder="1" applyAlignment="1" applyProtection="1">
      <alignment horizontal="center" vertical="center" wrapText="1"/>
    </xf>
    <xf numFmtId="9" fontId="119" fillId="34" borderId="43" xfId="61" applyFont="1" applyFill="1" applyBorder="1" applyAlignment="1" applyProtection="1">
      <alignment horizontal="center" vertical="center" wrapText="1"/>
    </xf>
    <xf numFmtId="0" fontId="33" fillId="0" borderId="97" xfId="0" applyFont="1" applyBorder="1" applyAlignment="1" applyProtection="1">
      <alignment horizontal="center"/>
    </xf>
    <xf numFmtId="0" fontId="121" fillId="0" borderId="10" xfId="0" applyFont="1" applyBorder="1" applyAlignment="1" applyProtection="1">
      <alignment horizontal="center" vertical="center" wrapText="1"/>
    </xf>
    <xf numFmtId="49" fontId="121" fillId="0" borderId="41" xfId="0" applyNumberFormat="1" applyFont="1" applyBorder="1" applyAlignment="1" applyProtection="1">
      <alignment vertical="center" wrapText="1"/>
    </xf>
    <xf numFmtId="0" fontId="121" fillId="0" borderId="42" xfId="0" applyFont="1" applyBorder="1" applyAlignment="1" applyProtection="1">
      <alignment vertical="center" wrapText="1"/>
    </xf>
    <xf numFmtId="0" fontId="121" fillId="0" borderId="43" xfId="0" applyFont="1" applyBorder="1" applyAlignment="1" applyProtection="1">
      <alignment vertical="center" wrapText="1"/>
    </xf>
    <xf numFmtId="0" fontId="34" fillId="20" borderId="122"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9" fontId="0" fillId="22" borderId="10" xfId="61" applyFont="1" applyFill="1" applyBorder="1" applyAlignment="1" applyProtection="1">
      <alignment horizontal="left" vertical="top" wrapText="1"/>
      <protection locked="0"/>
    </xf>
    <xf numFmtId="9" fontId="1" fillId="22" borderId="10" xfId="61" applyFont="1" applyFill="1" applyBorder="1" applyAlignment="1" applyProtection="1">
      <alignment horizontal="left" vertical="top" wrapText="1"/>
      <protection locked="0"/>
    </xf>
    <xf numFmtId="0" fontId="34" fillId="20" borderId="0" xfId="0" applyFont="1" applyFill="1" applyBorder="1" applyAlignment="1" applyProtection="1">
      <alignment horizontal="left"/>
    </xf>
    <xf numFmtId="0" fontId="34" fillId="20" borderId="0" xfId="0" applyFont="1" applyFill="1" applyAlignment="1" applyProtection="1">
      <alignment horizontal="center" vertical="center" wrapText="1"/>
    </xf>
    <xf numFmtId="0" fontId="122" fillId="20" borderId="41" xfId="0" applyFont="1" applyFill="1" applyBorder="1" applyAlignment="1" applyProtection="1">
      <alignment vertical="center" wrapText="1"/>
    </xf>
    <xf numFmtId="0" fontId="34" fillId="20" borderId="0" xfId="0" applyFont="1" applyFill="1" applyAlignment="1" applyProtection="1">
      <alignment horizontal="left"/>
      <protection locked="0"/>
    </xf>
    <xf numFmtId="0" fontId="34" fillId="20" borderId="39" xfId="0" applyFont="1" applyFill="1" applyBorder="1" applyAlignment="1" applyProtection="1">
      <alignment horizontal="left"/>
      <protection locked="0"/>
    </xf>
    <xf numFmtId="0" fontId="34" fillId="20" borderId="94" xfId="0" applyFont="1" applyFill="1" applyBorder="1" applyAlignment="1" applyProtection="1">
      <alignment horizontal="left"/>
    </xf>
    <xf numFmtId="0" fontId="34" fillId="20" borderId="94" xfId="0" applyFont="1" applyFill="1" applyBorder="1" applyAlignment="1" applyProtection="1">
      <alignment horizontal="left" vertical="center" wrapText="1"/>
    </xf>
    <xf numFmtId="49" fontId="121" fillId="0" borderId="41" xfId="0" applyNumberFormat="1" applyFont="1" applyBorder="1" applyAlignment="1" applyProtection="1">
      <alignment horizontal="center" vertical="center" wrapText="1"/>
    </xf>
    <xf numFmtId="49" fontId="121" fillId="0" borderId="42" xfId="0" applyNumberFormat="1" applyFont="1" applyBorder="1" applyAlignment="1" applyProtection="1">
      <alignment horizontal="center" vertical="center" wrapText="1"/>
    </xf>
    <xf numFmtId="49" fontId="121" fillId="0" borderId="43" xfId="0" applyNumberFormat="1" applyFont="1" applyBorder="1" applyAlignment="1" applyProtection="1">
      <alignment horizontal="center" vertical="center" wrapText="1"/>
    </xf>
    <xf numFmtId="0" fontId="122" fillId="20" borderId="41" xfId="0" applyFont="1" applyFill="1" applyBorder="1" applyAlignment="1" applyProtection="1">
      <alignment horizontal="center" vertical="center" wrapText="1"/>
    </xf>
    <xf numFmtId="0" fontId="122" fillId="20" borderId="42" xfId="0" applyFont="1" applyFill="1" applyBorder="1" applyAlignment="1" applyProtection="1">
      <alignment horizontal="center" vertical="center" wrapText="1"/>
    </xf>
    <xf numFmtId="0" fontId="122" fillId="20" borderId="43" xfId="0" applyFont="1" applyFill="1" applyBorder="1" applyAlignment="1" applyProtection="1">
      <alignment horizontal="center" vertical="center" wrapText="1"/>
    </xf>
    <xf numFmtId="9" fontId="21" fillId="35" borderId="41" xfId="61" applyFont="1" applyFill="1" applyBorder="1" applyAlignment="1" applyProtection="1">
      <alignment horizontal="center" vertical="center" wrapText="1"/>
    </xf>
    <xf numFmtId="0" fontId="21" fillId="35" borderId="42" xfId="0" applyFont="1" applyFill="1" applyBorder="1" applyAlignment="1">
      <alignment horizontal="center" vertical="center" wrapText="1"/>
    </xf>
    <xf numFmtId="0" fontId="21" fillId="35" borderId="43" xfId="0" applyFont="1" applyFill="1" applyBorder="1" applyAlignment="1">
      <alignment horizontal="center" vertical="center" wrapText="1"/>
    </xf>
    <xf numFmtId="0" fontId="0" fillId="35" borderId="42" xfId="0" applyFill="1" applyBorder="1" applyAlignment="1">
      <alignment vertical="center" wrapText="1"/>
    </xf>
    <xf numFmtId="0" fontId="0" fillId="35" borderId="43" xfId="0" applyFill="1" applyBorder="1" applyAlignment="1">
      <alignment vertical="center" wrapText="1"/>
    </xf>
    <xf numFmtId="9" fontId="1" fillId="35" borderId="41" xfId="61" applyNumberFormat="1" applyFont="1" applyFill="1" applyBorder="1" applyAlignment="1" applyProtection="1">
      <alignment horizontal="center" vertical="center" wrapText="1"/>
    </xf>
    <xf numFmtId="9" fontId="1" fillId="35" borderId="42" xfId="61" applyNumberFormat="1" applyFont="1" applyFill="1" applyBorder="1" applyAlignment="1" applyProtection="1">
      <alignment horizontal="center" vertical="center" wrapText="1"/>
    </xf>
    <xf numFmtId="9" fontId="1" fillId="35" borderId="43" xfId="61" applyNumberFormat="1" applyFont="1" applyFill="1" applyBorder="1" applyAlignment="1" applyProtection="1">
      <alignment horizontal="center" vertical="center" wrapText="1"/>
    </xf>
    <xf numFmtId="9" fontId="21" fillId="35" borderId="10" xfId="61" applyFont="1" applyFill="1" applyBorder="1" applyAlignment="1" applyProtection="1">
      <alignment horizontal="left" vertical="top" wrapText="1"/>
      <protection locked="0"/>
    </xf>
    <xf numFmtId="9" fontId="21" fillId="35" borderId="41" xfId="61" applyFont="1" applyFill="1" applyBorder="1" applyAlignment="1" applyProtection="1">
      <alignment horizontal="left" vertical="top" wrapText="1"/>
      <protection locked="0"/>
    </xf>
    <xf numFmtId="0" fontId="21" fillId="35" borderId="42" xfId="0" applyFont="1" applyFill="1" applyBorder="1" applyAlignment="1">
      <alignment horizontal="left" vertical="top" wrapText="1"/>
    </xf>
    <xf numFmtId="0" fontId="21" fillId="35" borderId="43" xfId="0" applyFont="1" applyFill="1" applyBorder="1" applyAlignment="1">
      <alignment horizontal="left" vertical="top" wrapText="1"/>
    </xf>
    <xf numFmtId="9" fontId="1" fillId="35" borderId="41" xfId="61" applyFont="1" applyFill="1" applyBorder="1" applyAlignment="1" applyProtection="1">
      <alignment horizontal="center" vertical="center" wrapText="1"/>
    </xf>
    <xf numFmtId="0" fontId="0" fillId="35" borderId="42" xfId="0" applyFill="1" applyBorder="1" applyAlignment="1">
      <alignment horizontal="center" vertical="center" wrapText="1"/>
    </xf>
    <xf numFmtId="0" fontId="0" fillId="35" borderId="43" xfId="0" applyFill="1" applyBorder="1" applyAlignment="1">
      <alignment horizontal="center" vertical="center" wrapText="1"/>
    </xf>
    <xf numFmtId="0" fontId="0" fillId="35" borderId="42" xfId="0" applyFill="1" applyBorder="1" applyAlignment="1">
      <alignment horizontal="left" vertical="center" wrapText="1"/>
    </xf>
    <xf numFmtId="0" fontId="0" fillId="35" borderId="43" xfId="0" applyFill="1" applyBorder="1" applyAlignment="1">
      <alignment horizontal="left" vertical="center" wrapText="1"/>
    </xf>
    <xf numFmtId="0" fontId="0" fillId="35" borderId="42" xfId="0" applyFill="1" applyBorder="1" applyAlignment="1">
      <alignment horizontal="left" vertical="top" wrapText="1"/>
    </xf>
    <xf numFmtId="0" fontId="0" fillId="35" borderId="43" xfId="0" applyFill="1" applyBorder="1" applyAlignment="1">
      <alignment horizontal="left" vertical="top" wrapText="1"/>
    </xf>
    <xf numFmtId="0" fontId="0" fillId="35" borderId="41" xfId="0" applyFill="1" applyBorder="1" applyAlignment="1">
      <alignment horizontal="left" vertical="center" wrapText="1"/>
    </xf>
    <xf numFmtId="9" fontId="130" fillId="31" borderId="41" xfId="61" applyFont="1" applyFill="1" applyBorder="1" applyAlignment="1" applyProtection="1">
      <alignment horizontal="center" vertical="center" wrapText="1"/>
    </xf>
    <xf numFmtId="9" fontId="130" fillId="31" borderId="43" xfId="61" applyFont="1" applyFill="1" applyBorder="1" applyAlignment="1" applyProtection="1">
      <alignment horizontal="center" vertical="center" wrapText="1"/>
    </xf>
    <xf numFmtId="9" fontId="128" fillId="0" borderId="41" xfId="61" applyNumberFormat="1" applyFont="1" applyBorder="1" applyAlignment="1" applyProtection="1">
      <alignment horizontal="center" vertical="center" wrapText="1"/>
    </xf>
    <xf numFmtId="9" fontId="128" fillId="0" borderId="42" xfId="61" applyNumberFormat="1" applyFont="1" applyBorder="1" applyAlignment="1" applyProtection="1">
      <alignment horizontal="center" vertical="center" wrapText="1"/>
    </xf>
    <xf numFmtId="9" fontId="128" fillId="0" borderId="43" xfId="61" applyNumberFormat="1" applyFont="1" applyBorder="1" applyAlignment="1" applyProtection="1">
      <alignment horizontal="center" vertical="center" wrapText="1"/>
    </xf>
    <xf numFmtId="9" fontId="128" fillId="35" borderId="10" xfId="61" applyFont="1" applyFill="1" applyBorder="1" applyAlignment="1" applyProtection="1">
      <alignment horizontal="left" vertical="top" wrapText="1"/>
      <protection locked="0"/>
    </xf>
    <xf numFmtId="9" fontId="0" fillId="35" borderId="41" xfId="61" applyFont="1" applyFill="1" applyBorder="1" applyAlignment="1" applyProtection="1">
      <alignment horizontal="left" vertical="top" wrapText="1"/>
      <protection locked="0"/>
    </xf>
    <xf numFmtId="164" fontId="60" fillId="30" borderId="0" xfId="47" applyFont="1" applyFill="1" applyAlignment="1" applyProtection="1">
      <alignment horizontal="center" vertical="center"/>
    </xf>
    <xf numFmtId="164" fontId="33" fillId="0" borderId="0" xfId="0" applyNumberFormat="1" applyFont="1" applyAlignment="1" applyProtection="1">
      <alignment horizontal="center"/>
    </xf>
    <xf numFmtId="164" fontId="15" fillId="33" borderId="0" xfId="57" applyFont="1" applyFill="1" applyBorder="1" applyAlignment="1" applyProtection="1">
      <alignment horizontal="center"/>
    </xf>
    <xf numFmtId="2" fontId="121" fillId="0" borderId="94" xfId="0" applyNumberFormat="1" applyFont="1" applyBorder="1" applyAlignment="1" applyProtection="1">
      <alignment horizontal="left" vertical="center" wrapText="1"/>
    </xf>
    <xf numFmtId="0" fontId="28" fillId="22" borderId="41" xfId="0" applyFont="1" applyFill="1" applyBorder="1" applyAlignment="1" applyProtection="1">
      <alignment horizontal="left" vertical="top" wrapText="1"/>
      <protection locked="0"/>
    </xf>
    <xf numFmtId="0" fontId="28" fillId="0" borderId="42" xfId="0" applyFont="1" applyBorder="1" applyAlignment="1">
      <alignment horizontal="left" vertical="top" wrapText="1"/>
    </xf>
    <xf numFmtId="0" fontId="28" fillId="0" borderId="43" xfId="0" applyFont="1" applyBorder="1" applyAlignment="1">
      <alignment horizontal="left" vertical="top" wrapText="1"/>
    </xf>
    <xf numFmtId="0" fontId="34" fillId="0" borderId="10" xfId="0" applyFont="1" applyBorder="1" applyAlignment="1" applyProtection="1">
      <alignment horizontal="center" vertical="center" wrapText="1"/>
    </xf>
    <xf numFmtId="9" fontId="2" fillId="0" borderId="176" xfId="61" applyNumberFormat="1" applyFont="1" applyFill="1" applyBorder="1" applyAlignment="1" applyProtection="1">
      <alignment horizontal="left" vertical="center" wrapText="1"/>
    </xf>
    <xf numFmtId="0" fontId="2" fillId="0" borderId="177" xfId="61" applyNumberFormat="1" applyFont="1" applyFill="1" applyBorder="1" applyAlignment="1" applyProtection="1">
      <alignment horizontal="left" vertical="center" wrapText="1"/>
    </xf>
    <xf numFmtId="0" fontId="2" fillId="0" borderId="178" xfId="61" applyNumberFormat="1" applyFont="1" applyFill="1" applyBorder="1" applyAlignment="1" applyProtection="1">
      <alignment horizontal="left" vertical="center" wrapText="1"/>
    </xf>
    <xf numFmtId="0" fontId="59" fillId="22" borderId="179" xfId="0" applyFont="1" applyFill="1" applyBorder="1" applyAlignment="1" applyProtection="1">
      <alignment horizontal="center" vertical="center"/>
    </xf>
    <xf numFmtId="0" fontId="59" fillId="22" borderId="180" xfId="0" applyFont="1" applyFill="1" applyBorder="1" applyAlignment="1" applyProtection="1">
      <alignment horizontal="center" vertical="center"/>
    </xf>
    <xf numFmtId="0" fontId="59" fillId="22" borderId="181" xfId="0" applyFont="1" applyFill="1" applyBorder="1" applyAlignment="1" applyProtection="1">
      <alignment horizontal="center" vertical="center"/>
    </xf>
    <xf numFmtId="9" fontId="2" fillId="0" borderId="154" xfId="61" applyNumberFormat="1" applyFont="1" applyFill="1" applyBorder="1" applyAlignment="1" applyProtection="1">
      <alignment horizontal="left" vertical="center" wrapText="1"/>
    </xf>
    <xf numFmtId="0" fontId="2" fillId="0" borderId="130" xfId="61" applyNumberFormat="1" applyFont="1" applyFill="1" applyBorder="1" applyAlignment="1" applyProtection="1">
      <alignment horizontal="left" vertical="center" wrapText="1"/>
    </xf>
    <xf numFmtId="0" fontId="2" fillId="0" borderId="155" xfId="61" applyNumberFormat="1" applyFont="1" applyFill="1" applyBorder="1" applyAlignment="1" applyProtection="1">
      <alignment horizontal="left" vertical="center" wrapText="1"/>
    </xf>
    <xf numFmtId="0" fontId="78" fillId="0" borderId="182" xfId="0" applyNumberFormat="1" applyFont="1" applyFill="1" applyBorder="1" applyAlignment="1" applyProtection="1">
      <alignment horizontal="left" vertical="center" wrapText="1"/>
    </xf>
    <xf numFmtId="0" fontId="78" fillId="0" borderId="183" xfId="0" applyNumberFormat="1" applyFont="1" applyFill="1" applyBorder="1" applyAlignment="1" applyProtection="1">
      <alignment horizontal="left" vertical="center" wrapText="1"/>
    </xf>
    <xf numFmtId="0" fontId="78" fillId="0" borderId="184" xfId="0" applyNumberFormat="1" applyFont="1" applyFill="1" applyBorder="1" applyAlignment="1" applyProtection="1">
      <alignment horizontal="left" vertical="center" wrapText="1"/>
    </xf>
    <xf numFmtId="0" fontId="2" fillId="22" borderId="123" xfId="0" applyFont="1" applyFill="1" applyBorder="1" applyAlignment="1" applyProtection="1">
      <alignment horizontal="center" vertical="top" wrapText="1"/>
      <protection locked="0"/>
    </xf>
    <xf numFmtId="0" fontId="2" fillId="22" borderId="124" xfId="0" applyFont="1" applyFill="1" applyBorder="1" applyAlignment="1" applyProtection="1">
      <alignment horizontal="center" vertical="top" wrapText="1"/>
      <protection locked="0"/>
    </xf>
    <xf numFmtId="0" fontId="2" fillId="22" borderId="125" xfId="0" applyFont="1" applyFill="1" applyBorder="1" applyAlignment="1" applyProtection="1">
      <alignment horizontal="center" vertical="top" wrapText="1"/>
      <protection locked="0"/>
    </xf>
    <xf numFmtId="0" fontId="2" fillId="22" borderId="133" xfId="0" applyFont="1" applyFill="1" applyBorder="1" applyAlignment="1" applyProtection="1">
      <alignment horizontal="center" vertical="top" wrapText="1"/>
      <protection locked="0"/>
    </xf>
    <xf numFmtId="0" fontId="2" fillId="22" borderId="134" xfId="0" applyFont="1" applyFill="1" applyBorder="1" applyAlignment="1" applyProtection="1">
      <alignment horizontal="center" vertical="top" wrapText="1"/>
      <protection locked="0"/>
    </xf>
    <xf numFmtId="0" fontId="2" fillId="22" borderId="135" xfId="0" applyFont="1" applyFill="1" applyBorder="1" applyAlignment="1" applyProtection="1">
      <alignment horizontal="center" vertical="top" wrapText="1"/>
      <protection locked="0"/>
    </xf>
    <xf numFmtId="0" fontId="2" fillId="22" borderId="123" xfId="0" applyFont="1" applyFill="1" applyBorder="1" applyAlignment="1" applyProtection="1">
      <alignment horizontal="left" vertical="top" wrapText="1"/>
      <protection locked="0"/>
    </xf>
    <xf numFmtId="0" fontId="2" fillId="22" borderId="124" xfId="0" applyFont="1" applyFill="1" applyBorder="1" applyAlignment="1" applyProtection="1">
      <alignment horizontal="left" vertical="top" wrapText="1"/>
      <protection locked="0"/>
    </xf>
    <xf numFmtId="0" fontId="2" fillId="22" borderId="125" xfId="0" applyFont="1" applyFill="1" applyBorder="1" applyAlignment="1" applyProtection="1">
      <alignment horizontal="left" vertical="top" wrapText="1"/>
      <protection locked="0"/>
    </xf>
    <xf numFmtId="0" fontId="2" fillId="0" borderId="154" xfId="61" applyNumberFormat="1" applyFont="1" applyFill="1" applyBorder="1" applyAlignment="1" applyProtection="1">
      <alignment horizontal="left" vertical="center" wrapText="1"/>
    </xf>
    <xf numFmtId="0" fontId="78" fillId="0" borderId="173" xfId="0" applyNumberFormat="1" applyFont="1" applyFill="1" applyBorder="1" applyAlignment="1" applyProtection="1">
      <alignment horizontal="left" vertical="top" wrapText="1"/>
    </xf>
    <xf numFmtId="0" fontId="78" fillId="0" borderId="174" xfId="0" applyNumberFormat="1" applyFont="1" applyFill="1" applyBorder="1" applyAlignment="1" applyProtection="1">
      <alignment horizontal="left" vertical="top" wrapText="1"/>
    </xf>
    <xf numFmtId="0" fontId="78" fillId="0" borderId="175" xfId="0" applyNumberFormat="1" applyFont="1" applyFill="1" applyBorder="1" applyAlignment="1" applyProtection="1">
      <alignment horizontal="left" vertical="top" wrapText="1"/>
    </xf>
    <xf numFmtId="0" fontId="77" fillId="19" borderId="12" xfId="0" applyFont="1" applyFill="1" applyBorder="1" applyAlignment="1" applyProtection="1">
      <alignment horizontal="center" vertical="center"/>
    </xf>
    <xf numFmtId="0" fontId="78" fillId="0" borderId="126" xfId="0" applyNumberFormat="1" applyFont="1" applyFill="1" applyBorder="1" applyAlignment="1" applyProtection="1">
      <alignment horizontal="left" vertical="top" wrapText="1"/>
    </xf>
    <xf numFmtId="0" fontId="78" fillId="0" borderId="127" xfId="0" applyNumberFormat="1" applyFont="1" applyFill="1" applyBorder="1" applyAlignment="1" applyProtection="1">
      <alignment horizontal="left" vertical="top" wrapText="1"/>
    </xf>
    <xf numFmtId="0" fontId="78" fillId="0" borderId="162" xfId="0" applyNumberFormat="1" applyFont="1" applyFill="1" applyBorder="1" applyAlignment="1" applyProtection="1">
      <alignment horizontal="left" vertical="top" wrapText="1"/>
    </xf>
    <xf numFmtId="0" fontId="2" fillId="25" borderId="156" xfId="0" applyFont="1" applyFill="1" applyBorder="1" applyAlignment="1" applyProtection="1">
      <alignment horizontal="left" vertical="top" wrapText="1"/>
      <protection locked="0"/>
    </xf>
    <xf numFmtId="0" fontId="2" fillId="25" borderId="157" xfId="0" applyFont="1" applyFill="1" applyBorder="1" applyAlignment="1" applyProtection="1">
      <alignment horizontal="left" vertical="top" wrapText="1"/>
      <protection locked="0"/>
    </xf>
    <xf numFmtId="0" fontId="2" fillId="25" borderId="158" xfId="0" applyFont="1" applyFill="1" applyBorder="1" applyAlignment="1" applyProtection="1">
      <alignment horizontal="left" vertical="top" wrapText="1"/>
      <protection locked="0"/>
    </xf>
    <xf numFmtId="0" fontId="2" fillId="22" borderId="170" xfId="0" applyFont="1" applyFill="1" applyBorder="1" applyAlignment="1" applyProtection="1">
      <alignment horizontal="center" vertical="top" wrapText="1"/>
      <protection locked="0"/>
    </xf>
    <xf numFmtId="0" fontId="2" fillId="22" borderId="171" xfId="0" applyFont="1" applyFill="1" applyBorder="1" applyAlignment="1" applyProtection="1">
      <alignment horizontal="center" vertical="top" wrapText="1"/>
      <protection locked="0"/>
    </xf>
    <xf numFmtId="0" fontId="2" fillId="22" borderId="172" xfId="0" applyFont="1" applyFill="1" applyBorder="1" applyAlignment="1" applyProtection="1">
      <alignment horizontal="center" vertical="top" wrapText="1"/>
      <protection locked="0"/>
    </xf>
    <xf numFmtId="0" fontId="100" fillId="0" borderId="0" xfId="0" applyFont="1" applyBorder="1" applyAlignment="1" applyProtection="1">
      <alignment horizontal="center"/>
    </xf>
    <xf numFmtId="0" fontId="59" fillId="26" borderId="136" xfId="0" applyFont="1" applyFill="1" applyBorder="1" applyAlignment="1" applyProtection="1">
      <alignment horizontal="center" vertical="center"/>
    </xf>
    <xf numFmtId="0" fontId="59" fillId="26" borderId="137" xfId="0" applyFont="1" applyFill="1" applyBorder="1" applyAlignment="1" applyProtection="1">
      <alignment horizontal="center" vertical="center"/>
    </xf>
    <xf numFmtId="0" fontId="59" fillId="26" borderId="138" xfId="0" applyFont="1" applyFill="1" applyBorder="1" applyAlignment="1" applyProtection="1">
      <alignment horizontal="center" vertical="center"/>
    </xf>
    <xf numFmtId="0" fontId="78" fillId="0" borderId="14" xfId="0" applyNumberFormat="1" applyFont="1" applyFill="1" applyBorder="1" applyAlignment="1" applyProtection="1">
      <alignment horizontal="left" vertical="top" wrapText="1"/>
    </xf>
    <xf numFmtId="0" fontId="78" fillId="0" borderId="139" xfId="0" applyNumberFormat="1" applyFont="1" applyFill="1" applyBorder="1" applyAlignment="1" applyProtection="1">
      <alignment horizontal="left" vertical="top" wrapText="1"/>
    </xf>
    <xf numFmtId="0" fontId="78" fillId="0" borderId="140" xfId="0" applyNumberFormat="1" applyFont="1" applyFill="1" applyBorder="1" applyAlignment="1" applyProtection="1">
      <alignment horizontal="left" vertical="top" wrapText="1"/>
    </xf>
    <xf numFmtId="0" fontId="78" fillId="0" borderId="141" xfId="0" applyNumberFormat="1" applyFont="1" applyFill="1" applyBorder="1" applyAlignment="1" applyProtection="1">
      <alignment horizontal="left" vertical="top" wrapText="1"/>
    </xf>
    <xf numFmtId="0" fontId="78" fillId="0" borderId="142" xfId="0" applyNumberFormat="1" applyFont="1" applyFill="1" applyBorder="1" applyAlignment="1" applyProtection="1">
      <alignment horizontal="left" vertical="top" wrapText="1"/>
    </xf>
    <xf numFmtId="49" fontId="2" fillId="26" borderId="143" xfId="0" applyNumberFormat="1" applyFont="1" applyFill="1" applyBorder="1" applyAlignment="1" applyProtection="1">
      <alignment horizontal="center" vertical="center"/>
      <protection locked="0"/>
    </xf>
    <xf numFmtId="49" fontId="2" fillId="26" borderId="14" xfId="0" applyNumberFormat="1" applyFont="1" applyFill="1" applyBorder="1" applyAlignment="1" applyProtection="1">
      <alignment horizontal="center" vertical="center"/>
      <protection locked="0"/>
    </xf>
    <xf numFmtId="49" fontId="2" fillId="26" borderId="139" xfId="0" applyNumberFormat="1" applyFont="1" applyFill="1" applyBorder="1" applyAlignment="1" applyProtection="1">
      <alignment horizontal="center" vertical="center"/>
      <protection locked="0"/>
    </xf>
    <xf numFmtId="0" fontId="76" fillId="0" borderId="0" xfId="0" applyFont="1" applyFill="1" applyBorder="1" applyAlignment="1" applyProtection="1">
      <alignment horizontal="center"/>
    </xf>
    <xf numFmtId="0" fontId="76" fillId="0" borderId="144" xfId="0" applyFont="1" applyFill="1" applyBorder="1" applyAlignment="1" applyProtection="1">
      <alignment horizontal="center"/>
    </xf>
    <xf numFmtId="49" fontId="2" fillId="26" borderId="145" xfId="0" applyNumberFormat="1" applyFont="1" applyFill="1" applyBorder="1" applyAlignment="1" applyProtection="1">
      <alignment horizontal="center" vertical="center"/>
      <protection locked="0"/>
    </xf>
    <xf numFmtId="49" fontId="2" fillId="26" borderId="146" xfId="0" applyNumberFormat="1" applyFont="1" applyFill="1" applyBorder="1" applyAlignment="1" applyProtection="1">
      <alignment horizontal="center" vertical="center"/>
      <protection locked="0"/>
    </xf>
    <xf numFmtId="49" fontId="2" fillId="26" borderId="147" xfId="0" applyNumberFormat="1" applyFont="1" applyFill="1" applyBorder="1" applyAlignment="1" applyProtection="1">
      <alignment horizontal="center" vertical="center"/>
      <protection locked="0"/>
    </xf>
    <xf numFmtId="0" fontId="76" fillId="0" borderId="166" xfId="0" applyFont="1" applyFill="1" applyBorder="1" applyAlignment="1" applyProtection="1">
      <alignment horizontal="center"/>
    </xf>
    <xf numFmtId="0" fontId="2" fillId="25" borderId="167" xfId="0" applyFont="1" applyFill="1" applyBorder="1" applyAlignment="1" applyProtection="1">
      <alignment horizontal="left" vertical="top" wrapText="1"/>
      <protection locked="0"/>
    </xf>
    <xf numFmtId="0" fontId="2" fillId="25" borderId="168" xfId="0" applyFont="1" applyFill="1" applyBorder="1" applyAlignment="1" applyProtection="1">
      <alignment horizontal="left" vertical="top" wrapText="1"/>
      <protection locked="0"/>
    </xf>
    <xf numFmtId="0" fontId="2" fillId="25" borderId="169" xfId="0" applyFont="1" applyFill="1" applyBorder="1" applyAlignment="1" applyProtection="1">
      <alignment horizontal="left" vertical="top" wrapText="1"/>
      <protection locked="0"/>
    </xf>
    <xf numFmtId="0" fontId="78" fillId="0" borderId="128" xfId="0" applyNumberFormat="1" applyFont="1" applyFill="1" applyBorder="1" applyAlignment="1" applyProtection="1">
      <alignment horizontal="left" vertical="top" wrapText="1"/>
    </xf>
    <xf numFmtId="49" fontId="2" fillId="26" borderId="129" xfId="0" applyNumberFormat="1" applyFont="1" applyFill="1" applyBorder="1" applyAlignment="1" applyProtection="1">
      <alignment horizontal="center" vertical="center"/>
      <protection locked="0"/>
    </xf>
    <xf numFmtId="49" fontId="2" fillId="26" borderId="130" xfId="0" applyNumberFormat="1" applyFont="1" applyFill="1" applyBorder="1" applyAlignment="1" applyProtection="1">
      <alignment horizontal="center" vertical="center"/>
      <protection locked="0"/>
    </xf>
    <xf numFmtId="49" fontId="2" fillId="26" borderId="131" xfId="0" applyNumberFormat="1" applyFont="1" applyFill="1" applyBorder="1" applyAlignment="1" applyProtection="1">
      <alignment horizontal="center" vertical="center"/>
      <protection locked="0"/>
    </xf>
    <xf numFmtId="0" fontId="78" fillId="0" borderId="0" xfId="0" applyNumberFormat="1" applyFont="1" applyFill="1" applyBorder="1" applyAlignment="1" applyProtection="1">
      <alignment horizontal="left" vertical="top" wrapText="1"/>
    </xf>
    <xf numFmtId="0" fontId="78" fillId="0" borderId="132" xfId="0" applyNumberFormat="1" applyFont="1" applyFill="1" applyBorder="1" applyAlignment="1" applyProtection="1">
      <alignment horizontal="left" vertical="top" wrapText="1"/>
    </xf>
    <xf numFmtId="0" fontId="107" fillId="25" borderId="148" xfId="0" applyFont="1" applyFill="1" applyBorder="1" applyAlignment="1" applyProtection="1">
      <alignment horizontal="center" vertical="center"/>
    </xf>
    <xf numFmtId="0" fontId="107" fillId="25" borderId="149" xfId="0" applyFont="1" applyFill="1" applyBorder="1" applyAlignment="1" applyProtection="1">
      <alignment horizontal="center" vertical="center"/>
    </xf>
    <xf numFmtId="0" fontId="0" fillId="0" borderId="149" xfId="0" applyBorder="1" applyAlignment="1">
      <alignment horizontal="center" vertical="center"/>
    </xf>
    <xf numFmtId="0" fontId="0" fillId="0" borderId="150" xfId="0" applyBorder="1" applyAlignment="1">
      <alignment horizontal="center" vertical="center"/>
    </xf>
    <xf numFmtId="0" fontId="107" fillId="25" borderId="151" xfId="0" applyFont="1" applyFill="1" applyBorder="1" applyAlignment="1" applyProtection="1">
      <alignment horizontal="center" vertical="center"/>
    </xf>
    <xf numFmtId="0" fontId="107" fillId="25" borderId="152" xfId="0" applyFont="1" applyFill="1" applyBorder="1" applyAlignment="1" applyProtection="1">
      <alignment horizontal="center" vertical="center"/>
    </xf>
    <xf numFmtId="0" fontId="107" fillId="25" borderId="153" xfId="0" applyFont="1" applyFill="1" applyBorder="1" applyAlignment="1" applyProtection="1">
      <alignment horizontal="center" vertical="center"/>
    </xf>
    <xf numFmtId="0" fontId="78" fillId="0" borderId="159" xfId="0" applyNumberFormat="1" applyFont="1" applyFill="1" applyBorder="1" applyAlignment="1" applyProtection="1">
      <alignment horizontal="left" vertical="top" wrapText="1"/>
    </xf>
    <xf numFmtId="0" fontId="78" fillId="0" borderId="160" xfId="0" applyNumberFormat="1" applyFont="1" applyFill="1" applyBorder="1" applyAlignment="1" applyProtection="1">
      <alignment horizontal="left" vertical="top" wrapText="1"/>
    </xf>
    <xf numFmtId="0" fontId="78" fillId="0" borderId="161" xfId="0" applyNumberFormat="1" applyFont="1" applyFill="1" applyBorder="1" applyAlignment="1" applyProtection="1">
      <alignment horizontal="left" vertical="top" wrapText="1"/>
    </xf>
    <xf numFmtId="0" fontId="2" fillId="25" borderId="163" xfId="0" applyFont="1" applyFill="1" applyBorder="1" applyAlignment="1" applyProtection="1">
      <alignment horizontal="left" vertical="top" wrapText="1"/>
      <protection locked="0"/>
    </xf>
    <xf numFmtId="0" fontId="2" fillId="25" borderId="164" xfId="0" applyFont="1" applyFill="1" applyBorder="1" applyAlignment="1" applyProtection="1">
      <alignment horizontal="left" vertical="top" wrapText="1"/>
      <protection locked="0"/>
    </xf>
    <xf numFmtId="0" fontId="2" fillId="25" borderId="165" xfId="0" applyFont="1" applyFill="1" applyBorder="1" applyAlignment="1" applyProtection="1">
      <alignment horizontal="left" vertical="top" wrapText="1"/>
      <protection locked="0"/>
    </xf>
    <xf numFmtId="0" fontId="21" fillId="0" borderId="220" xfId="0" applyFont="1" applyBorder="1" applyAlignment="1" applyProtection="1">
      <alignment horizontal="left"/>
      <protection locked="0"/>
    </xf>
    <xf numFmtId="0" fontId="21" fillId="0" borderId="221" xfId="0" applyFont="1" applyBorder="1" applyAlignment="1" applyProtection="1">
      <alignment horizontal="left"/>
      <protection locked="0"/>
    </xf>
    <xf numFmtId="14" fontId="21" fillId="0" borderId="204" xfId="0" applyNumberFormat="1" applyFont="1" applyBorder="1" applyAlignment="1" applyProtection="1">
      <alignment horizontal="left"/>
      <protection locked="0"/>
    </xf>
    <xf numFmtId="0" fontId="21" fillId="0" borderId="34" xfId="0" applyFont="1" applyBorder="1" applyAlignment="1" applyProtection="1">
      <alignment horizontal="left"/>
      <protection locked="0"/>
    </xf>
    <xf numFmtId="0" fontId="75" fillId="21" borderId="224" xfId="52" applyNumberFormat="1" applyFont="1" applyFill="1" applyBorder="1" applyAlignment="1">
      <alignment horizontal="center" vertical="center" wrapText="1"/>
    </xf>
    <xf numFmtId="0" fontId="75" fillId="21" borderId="212" xfId="52" applyNumberFormat="1" applyFont="1" applyFill="1" applyBorder="1" applyAlignment="1">
      <alignment horizontal="center" vertical="center" wrapText="1"/>
    </xf>
    <xf numFmtId="0" fontId="21" fillId="0" borderId="194" xfId="0" applyFont="1" applyFill="1" applyBorder="1" applyAlignment="1" applyProtection="1">
      <alignment horizontal="left"/>
      <protection locked="0"/>
    </xf>
    <xf numFmtId="0" fontId="21" fillId="0" borderId="195" xfId="0" applyFont="1" applyFill="1" applyBorder="1" applyAlignment="1" applyProtection="1">
      <alignment horizontal="left"/>
      <protection locked="0"/>
    </xf>
    <xf numFmtId="0" fontId="21" fillId="0" borderId="225"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194" xfId="0" applyFont="1" applyBorder="1" applyAlignment="1" applyProtection="1">
      <alignment horizontal="left" wrapText="1"/>
      <protection locked="0"/>
    </xf>
    <xf numFmtId="0" fontId="21" fillId="0" borderId="195" xfId="0" applyFont="1" applyBorder="1" applyAlignment="1" applyProtection="1">
      <alignment horizontal="left" wrapText="1"/>
      <protection locked="0"/>
    </xf>
    <xf numFmtId="0" fontId="21" fillId="0" borderId="196" xfId="0" applyFont="1" applyBorder="1" applyAlignment="1" applyProtection="1">
      <alignment horizontal="left" wrapText="1"/>
      <protection locked="0"/>
    </xf>
    <xf numFmtId="0" fontId="21" fillId="0" borderId="197" xfId="0" applyFont="1" applyBorder="1" applyAlignment="1" applyProtection="1">
      <alignment horizontal="left" wrapText="1"/>
      <protection locked="0"/>
    </xf>
    <xf numFmtId="0" fontId="21" fillId="0" borderId="194" xfId="0" applyFont="1" applyBorder="1" applyAlignment="1" applyProtection="1">
      <alignment horizontal="left"/>
      <protection locked="0"/>
    </xf>
    <xf numFmtId="0" fontId="21" fillId="0" borderId="195" xfId="0" applyFont="1" applyBorder="1" applyAlignment="1" applyProtection="1">
      <alignment horizontal="left"/>
      <protection locked="0"/>
    </xf>
    <xf numFmtId="0" fontId="21" fillId="0" borderId="196" xfId="0" applyFont="1" applyBorder="1" applyAlignment="1" applyProtection="1">
      <alignment horizontal="left"/>
      <protection locked="0"/>
    </xf>
    <xf numFmtId="0" fontId="21" fillId="0" borderId="197" xfId="0" applyFont="1" applyBorder="1" applyAlignment="1" applyProtection="1">
      <alignment horizontal="left"/>
      <protection locked="0"/>
    </xf>
    <xf numFmtId="0" fontId="21" fillId="0" borderId="225" xfId="0" applyFont="1" applyBorder="1" applyAlignment="1" applyProtection="1">
      <alignment horizontal="left"/>
      <protection locked="0"/>
    </xf>
    <xf numFmtId="0" fontId="21" fillId="0" borderId="218" xfId="0" applyFont="1" applyBorder="1" applyAlignment="1" applyProtection="1">
      <alignment horizontal="left"/>
      <protection locked="0"/>
    </xf>
    <xf numFmtId="0" fontId="21" fillId="0" borderId="223" xfId="0" applyFont="1" applyFill="1" applyBorder="1" applyAlignment="1" applyProtection="1">
      <alignment horizontal="left" wrapText="1"/>
      <protection locked="0"/>
    </xf>
    <xf numFmtId="0" fontId="21" fillId="0" borderId="215" xfId="0" applyFont="1" applyFill="1" applyBorder="1" applyAlignment="1" applyProtection="1">
      <alignment horizontal="left" wrapText="1"/>
      <protection locked="0"/>
    </xf>
    <xf numFmtId="0" fontId="21" fillId="0" borderId="196" xfId="0" applyFont="1" applyFill="1" applyBorder="1" applyAlignment="1" applyProtection="1">
      <alignment horizontal="left" wrapText="1"/>
      <protection locked="0"/>
    </xf>
    <xf numFmtId="0" fontId="21" fillId="0" borderId="197" xfId="0" applyFont="1" applyFill="1" applyBorder="1" applyAlignment="1" applyProtection="1">
      <alignment horizontal="left" wrapText="1"/>
      <protection locked="0"/>
    </xf>
    <xf numFmtId="164" fontId="15" fillId="33" borderId="0" xfId="58" applyFont="1" applyFill="1" applyBorder="1" applyAlignment="1" applyProtection="1">
      <alignment horizontal="center"/>
      <protection locked="0"/>
    </xf>
    <xf numFmtId="0" fontId="21" fillId="0" borderId="194" xfId="0" applyFont="1" applyFill="1" applyBorder="1" applyAlignment="1" applyProtection="1">
      <alignment horizontal="left" wrapText="1"/>
      <protection locked="0"/>
    </xf>
    <xf numFmtId="0" fontId="21" fillId="0" borderId="195" xfId="0" applyFont="1" applyFill="1" applyBorder="1" applyAlignment="1" applyProtection="1">
      <alignment horizontal="left" wrapText="1"/>
      <protection locked="0"/>
    </xf>
    <xf numFmtId="15" fontId="28" fillId="0" borderId="0" xfId="0" applyNumberFormat="1" applyFont="1" applyAlignment="1">
      <alignment horizontal="right"/>
    </xf>
    <xf numFmtId="0" fontId="100" fillId="0" borderId="0" xfId="0" applyFont="1" applyAlignment="1">
      <alignment horizontal="center"/>
    </xf>
    <xf numFmtId="164" fontId="28" fillId="0" borderId="0" xfId="0" applyNumberFormat="1" applyFont="1" applyAlignment="1">
      <alignment horizontal="left"/>
    </xf>
    <xf numFmtId="0" fontId="75" fillId="21" borderId="208" xfId="52" applyNumberFormat="1" applyFont="1" applyFill="1" applyBorder="1" applyAlignment="1">
      <alignment horizontal="center" vertical="center" wrapText="1"/>
    </xf>
    <xf numFmtId="0" fontId="75" fillId="21" borderId="209" xfId="52" applyNumberFormat="1" applyFont="1" applyFill="1" applyBorder="1" applyAlignment="1">
      <alignment horizontal="center" vertical="center" wrapText="1"/>
    </xf>
    <xf numFmtId="0" fontId="21" fillId="0" borderId="130" xfId="0" applyFont="1" applyFill="1" applyBorder="1" applyAlignment="1" applyProtection="1">
      <alignment horizontal="left" vertical="center" wrapText="1"/>
      <protection locked="0"/>
    </xf>
    <xf numFmtId="0" fontId="21" fillId="0" borderId="186" xfId="0" applyFont="1" applyFill="1" applyBorder="1" applyAlignment="1" applyProtection="1">
      <alignment horizontal="left" vertical="center" wrapText="1"/>
      <protection locked="0"/>
    </xf>
    <xf numFmtId="0" fontId="0" fillId="22" borderId="95" xfId="0" applyFill="1" applyBorder="1" applyAlignment="1" applyProtection="1">
      <alignment horizontal="center"/>
      <protection locked="0"/>
    </xf>
    <xf numFmtId="0" fontId="0" fillId="22" borderId="245" xfId="0" applyFill="1" applyBorder="1" applyAlignment="1" applyProtection="1">
      <alignment horizontal="center"/>
      <protection locked="0"/>
    </xf>
    <xf numFmtId="0" fontId="0" fillId="22" borderId="96" xfId="0" applyFill="1" applyBorder="1" applyAlignment="1" applyProtection="1">
      <alignment horizontal="center"/>
      <protection locked="0"/>
    </xf>
    <xf numFmtId="0" fontId="0" fillId="22" borderId="88" xfId="0" applyFill="1" applyBorder="1" applyAlignment="1" applyProtection="1">
      <alignment horizontal="center"/>
      <protection locked="0"/>
    </xf>
    <xf numFmtId="0" fontId="0" fillId="22" borderId="97" xfId="0" applyFill="1" applyBorder="1" applyAlignment="1" applyProtection="1">
      <alignment horizontal="center"/>
      <protection locked="0"/>
    </xf>
    <xf numFmtId="0" fontId="0" fillId="22" borderId="98" xfId="0" applyFill="1" applyBorder="1" applyAlignment="1" applyProtection="1">
      <alignment horizontal="center"/>
      <protection locked="0"/>
    </xf>
    <xf numFmtId="0" fontId="75" fillId="21" borderId="13" xfId="52" applyNumberFormat="1" applyFont="1" applyFill="1" applyBorder="1" applyAlignment="1">
      <alignment horizontal="center" vertical="center" wrapText="1"/>
    </xf>
    <xf numFmtId="0" fontId="75" fillId="21" borderId="185" xfId="52" applyNumberFormat="1" applyFont="1" applyFill="1" applyBorder="1" applyAlignment="1">
      <alignment horizontal="center" vertical="center" wrapText="1"/>
    </xf>
    <xf numFmtId="14" fontId="21" fillId="0" borderId="202" xfId="0" applyNumberFormat="1" applyFont="1" applyFill="1" applyBorder="1" applyAlignment="1" applyProtection="1">
      <alignment horizontal="left"/>
      <protection locked="0"/>
    </xf>
    <xf numFmtId="0" fontId="21" fillId="0" borderId="202" xfId="0" applyFont="1" applyFill="1" applyBorder="1" applyAlignment="1" applyProtection="1">
      <alignment horizontal="left"/>
      <protection locked="0"/>
    </xf>
    <xf numFmtId="0" fontId="21" fillId="0" borderId="198" xfId="0" applyFont="1" applyBorder="1" applyAlignment="1" applyProtection="1">
      <alignment horizontal="left"/>
      <protection locked="0"/>
    </xf>
    <xf numFmtId="0" fontId="21" fillId="0" borderId="199" xfId="0" applyFont="1" applyBorder="1" applyAlignment="1" applyProtection="1">
      <alignment horizontal="left"/>
      <protection locked="0"/>
    </xf>
    <xf numFmtId="0" fontId="21" fillId="0" borderId="200" xfId="0" applyFont="1" applyBorder="1" applyAlignment="1" applyProtection="1">
      <alignment horizontal="left"/>
      <protection locked="0"/>
    </xf>
    <xf numFmtId="0" fontId="21" fillId="0" borderId="192" xfId="0" applyFont="1" applyBorder="1" applyAlignment="1" applyProtection="1">
      <alignment horizontal="left"/>
      <protection locked="0"/>
    </xf>
    <xf numFmtId="0" fontId="21" fillId="0" borderId="146" xfId="0" applyFont="1" applyBorder="1" applyAlignment="1" applyProtection="1">
      <alignment horizontal="left"/>
      <protection locked="0"/>
    </xf>
    <xf numFmtId="0" fontId="21" fillId="0" borderId="193" xfId="0" applyFont="1" applyBorder="1" applyAlignment="1" applyProtection="1">
      <alignment horizontal="left"/>
      <protection locked="0"/>
    </xf>
    <xf numFmtId="0" fontId="21" fillId="0" borderId="198" xfId="0" applyFont="1" applyFill="1" applyBorder="1" applyAlignment="1" applyProtection="1">
      <alignment horizontal="left"/>
      <protection locked="0"/>
    </xf>
    <xf numFmtId="0" fontId="21" fillId="0" borderId="199" xfId="0" applyFont="1" applyFill="1" applyBorder="1" applyAlignment="1" applyProtection="1">
      <alignment horizontal="left"/>
      <protection locked="0"/>
    </xf>
    <xf numFmtId="0" fontId="21" fillId="0" borderId="192" xfId="0" applyFont="1" applyFill="1" applyBorder="1" applyAlignment="1" applyProtection="1">
      <alignment horizontal="left"/>
      <protection locked="0"/>
    </xf>
    <xf numFmtId="0" fontId="21" fillId="0" borderId="146" xfId="0" applyFont="1" applyFill="1" applyBorder="1" applyAlignment="1" applyProtection="1">
      <alignment horizontal="left"/>
      <protection locked="0"/>
    </xf>
    <xf numFmtId="0" fontId="21" fillId="0" borderId="197" xfId="0" applyFont="1" applyFill="1" applyBorder="1" applyAlignment="1" applyProtection="1">
      <alignment horizontal="left"/>
      <protection locked="0"/>
    </xf>
    <xf numFmtId="0" fontId="21" fillId="0" borderId="198" xfId="0" applyFont="1" applyFill="1" applyBorder="1" applyAlignment="1" applyProtection="1">
      <alignment horizontal="left" wrapText="1"/>
      <protection locked="0"/>
    </xf>
    <xf numFmtId="0" fontId="21" fillId="0" borderId="199" xfId="0" applyFont="1" applyFill="1" applyBorder="1" applyAlignment="1" applyProtection="1">
      <alignment horizontal="left" wrapText="1"/>
      <protection locked="0"/>
    </xf>
    <xf numFmtId="0" fontId="21" fillId="0" borderId="192" xfId="0" applyFont="1" applyFill="1" applyBorder="1" applyAlignment="1" applyProtection="1">
      <alignment horizontal="left" wrapText="1"/>
      <protection locked="0"/>
    </xf>
    <xf numFmtId="0" fontId="21" fillId="0" borderId="146" xfId="0" applyFont="1" applyFill="1" applyBorder="1" applyAlignment="1" applyProtection="1">
      <alignment horizontal="left" wrapText="1"/>
      <protection locked="0"/>
    </xf>
    <xf numFmtId="0" fontId="21" fillId="0" borderId="198" xfId="0" applyFont="1" applyBorder="1" applyAlignment="1" applyProtection="1">
      <alignment horizontal="left" wrapText="1"/>
      <protection locked="0"/>
    </xf>
    <xf numFmtId="0" fontId="21" fillId="0" borderId="199" xfId="0" applyFont="1" applyBorder="1" applyAlignment="1" applyProtection="1">
      <alignment horizontal="left" wrapText="1"/>
      <protection locked="0"/>
    </xf>
    <xf numFmtId="0" fontId="21" fillId="0" borderId="200" xfId="0" applyFont="1" applyBorder="1" applyAlignment="1" applyProtection="1">
      <alignment horizontal="left" wrapText="1"/>
      <protection locked="0"/>
    </xf>
    <xf numFmtId="0" fontId="21" fillId="0" borderId="192" xfId="0" applyFont="1" applyBorder="1" applyAlignment="1" applyProtection="1">
      <alignment horizontal="left" wrapText="1"/>
      <protection locked="0"/>
    </xf>
    <xf numFmtId="0" fontId="21" fillId="0" borderId="146" xfId="0" applyFont="1" applyBorder="1" applyAlignment="1" applyProtection="1">
      <alignment horizontal="left" wrapText="1"/>
      <protection locked="0"/>
    </xf>
    <xf numFmtId="0" fontId="21" fillId="0" borderId="193" xfId="0" applyFont="1" applyBorder="1" applyAlignment="1" applyProtection="1">
      <alignment horizontal="left" wrapText="1"/>
      <protection locked="0"/>
    </xf>
    <xf numFmtId="14" fontId="21" fillId="0" borderId="220" xfId="0" applyNumberFormat="1" applyFont="1" applyBorder="1" applyAlignment="1" applyProtection="1">
      <alignment horizontal="left"/>
      <protection locked="0"/>
    </xf>
    <xf numFmtId="0" fontId="21" fillId="0" borderId="214" xfId="0" applyFont="1" applyFill="1" applyBorder="1" applyAlignment="1" applyProtection="1">
      <alignment horizontal="left"/>
      <protection locked="0"/>
    </xf>
    <xf numFmtId="0" fontId="93" fillId="21" borderId="205" xfId="0" applyFont="1" applyFill="1" applyBorder="1" applyAlignment="1">
      <alignment horizontal="center" vertical="center" textRotation="90" wrapText="1"/>
    </xf>
    <xf numFmtId="0" fontId="93" fillId="21" borderId="206" xfId="0" applyFont="1" applyFill="1" applyBorder="1" applyAlignment="1">
      <alignment horizontal="center" vertical="center" textRotation="90" wrapText="1"/>
    </xf>
    <xf numFmtId="0" fontId="93" fillId="21" borderId="207" xfId="0" applyFont="1" applyFill="1" applyBorder="1" applyAlignment="1">
      <alignment horizontal="center" vertical="center" textRotation="90" wrapText="1"/>
    </xf>
    <xf numFmtId="0" fontId="75" fillId="21" borderId="210" xfId="52" applyNumberFormat="1" applyFont="1" applyFill="1" applyBorder="1" applyAlignment="1">
      <alignment horizontal="center" vertical="center" wrapText="1"/>
    </xf>
    <xf numFmtId="0" fontId="21" fillId="0" borderId="211" xfId="0" applyFont="1" applyFill="1" applyBorder="1" applyAlignment="1" applyProtection="1">
      <alignment horizontal="left" wrapText="1"/>
      <protection locked="0"/>
    </xf>
    <xf numFmtId="0" fontId="21" fillId="0" borderId="202" xfId="0" applyFont="1" applyFill="1" applyBorder="1" applyAlignment="1" applyProtection="1">
      <alignment horizontal="left" wrapText="1"/>
      <protection locked="0"/>
    </xf>
    <xf numFmtId="0" fontId="21" fillId="0" borderId="213" xfId="0" applyFont="1" applyFill="1" applyBorder="1" applyAlignment="1" applyProtection="1">
      <alignment horizontal="left" wrapText="1"/>
      <protection locked="0"/>
    </xf>
    <xf numFmtId="0" fontId="21" fillId="0" borderId="214" xfId="0" applyFont="1" applyFill="1" applyBorder="1" applyAlignment="1" applyProtection="1">
      <alignment horizontal="left" wrapText="1"/>
      <protection locked="0"/>
    </xf>
    <xf numFmtId="0" fontId="21" fillId="0" borderId="189" xfId="0" applyFont="1" applyFill="1" applyBorder="1" applyAlignment="1" applyProtection="1">
      <alignment horizontal="left" vertical="top" wrapText="1"/>
      <protection locked="0"/>
    </xf>
    <xf numFmtId="0" fontId="21" fillId="0" borderId="190" xfId="0" applyFont="1" applyFill="1" applyBorder="1" applyAlignment="1" applyProtection="1">
      <alignment horizontal="left" vertical="top" wrapText="1"/>
      <protection locked="0"/>
    </xf>
    <xf numFmtId="0" fontId="21" fillId="0" borderId="215" xfId="0" applyFont="1" applyFill="1" applyBorder="1" applyAlignment="1" applyProtection="1">
      <alignment horizontal="left" vertical="top" wrapText="1"/>
      <protection locked="0"/>
    </xf>
    <xf numFmtId="0" fontId="21" fillId="0" borderId="192" xfId="0" applyFont="1" applyFill="1" applyBorder="1" applyAlignment="1" applyProtection="1">
      <alignment horizontal="left" vertical="top" wrapText="1"/>
      <protection locked="0"/>
    </xf>
    <xf numFmtId="0" fontId="21" fillId="0" borderId="146" xfId="0" applyFont="1" applyFill="1" applyBorder="1" applyAlignment="1" applyProtection="1">
      <alignment horizontal="left" vertical="top" wrapText="1"/>
      <protection locked="0"/>
    </xf>
    <xf numFmtId="0" fontId="21" fillId="0" borderId="197" xfId="0" applyFont="1" applyFill="1" applyBorder="1" applyAlignment="1" applyProtection="1">
      <alignment horizontal="left" vertical="top" wrapText="1"/>
      <protection locked="0"/>
    </xf>
    <xf numFmtId="0" fontId="21" fillId="0" borderId="216" xfId="0" applyFont="1" applyFill="1" applyBorder="1" applyAlignment="1" applyProtection="1">
      <alignment horizontal="left"/>
      <protection locked="0"/>
    </xf>
    <xf numFmtId="0" fontId="21" fillId="0" borderId="217" xfId="0" applyFont="1" applyFill="1" applyBorder="1" applyAlignment="1" applyProtection="1">
      <alignment horizontal="left"/>
      <protection locked="0"/>
    </xf>
    <xf numFmtId="0" fontId="21" fillId="0" borderId="216" xfId="0" applyFont="1" applyBorder="1" applyAlignment="1" applyProtection="1">
      <alignment horizontal="left"/>
      <protection locked="0"/>
    </xf>
    <xf numFmtId="0" fontId="21" fillId="0" borderId="217" xfId="0" applyFont="1" applyBorder="1" applyAlignment="1" applyProtection="1">
      <alignment horizontal="left"/>
      <protection locked="0"/>
    </xf>
    <xf numFmtId="0" fontId="21" fillId="0" borderId="219" xfId="0" applyFont="1" applyBorder="1" applyAlignment="1" applyProtection="1">
      <alignment horizontal="left"/>
      <protection locked="0"/>
    </xf>
    <xf numFmtId="0" fontId="21" fillId="0" borderId="187" xfId="0" applyFont="1" applyFill="1" applyBorder="1" applyAlignment="1" applyProtection="1">
      <alignment horizontal="left" vertical="center" wrapText="1"/>
      <protection locked="0"/>
    </xf>
    <xf numFmtId="0" fontId="21" fillId="0" borderId="188" xfId="0" applyFont="1" applyFill="1" applyBorder="1" applyAlignment="1" applyProtection="1">
      <alignment horizontal="left" vertical="center" wrapText="1"/>
      <protection locked="0"/>
    </xf>
    <xf numFmtId="0" fontId="21" fillId="0" borderId="189" xfId="0" applyFont="1" applyBorder="1" applyAlignment="1" applyProtection="1">
      <alignment horizontal="left" wrapText="1"/>
      <protection locked="0"/>
    </xf>
    <xf numFmtId="0" fontId="21" fillId="0" borderId="190" xfId="0" applyFont="1" applyBorder="1" applyAlignment="1" applyProtection="1">
      <alignment horizontal="left" wrapText="1"/>
      <protection locked="0"/>
    </xf>
    <xf numFmtId="0" fontId="21" fillId="0" borderId="191" xfId="0" applyFont="1" applyBorder="1" applyAlignment="1" applyProtection="1">
      <alignment horizontal="left" wrapText="1"/>
      <protection locked="0"/>
    </xf>
    <xf numFmtId="0" fontId="93" fillId="21" borderId="90" xfId="0" applyFont="1" applyFill="1" applyBorder="1" applyAlignment="1">
      <alignment horizontal="center" vertical="center" textRotation="90"/>
    </xf>
    <xf numFmtId="0" fontId="0" fillId="21" borderId="72" xfId="0" applyFill="1" applyBorder="1" applyAlignment="1">
      <alignment horizontal="center" vertical="center" textRotation="90"/>
    </xf>
    <xf numFmtId="0" fontId="0" fillId="21" borderId="87" xfId="0" applyFill="1" applyBorder="1" applyAlignment="1">
      <alignment horizontal="center" vertical="center" textRotation="90"/>
    </xf>
    <xf numFmtId="0" fontId="21" fillId="0" borderId="222" xfId="0" applyFont="1" applyFill="1" applyBorder="1" applyAlignment="1" applyProtection="1">
      <alignment horizontal="left" wrapText="1"/>
      <protection locked="0"/>
    </xf>
    <xf numFmtId="0" fontId="21" fillId="0" borderId="34" xfId="0" applyFont="1" applyFill="1" applyBorder="1" applyAlignment="1" applyProtection="1">
      <alignment horizontal="left" wrapText="1"/>
      <protection locked="0"/>
    </xf>
    <xf numFmtId="0" fontId="21" fillId="0" borderId="198" xfId="0" applyFont="1" applyFill="1" applyBorder="1" applyAlignment="1" applyProtection="1">
      <alignment horizontal="left" vertical="top" wrapText="1"/>
      <protection locked="0"/>
    </xf>
    <xf numFmtId="0" fontId="21" fillId="0" borderId="199" xfId="0" applyFont="1" applyFill="1" applyBorder="1" applyAlignment="1" applyProtection="1">
      <alignment horizontal="left" vertical="top" wrapText="1"/>
      <protection locked="0"/>
    </xf>
    <xf numFmtId="0" fontId="21" fillId="0" borderId="200" xfId="0" applyFont="1" applyFill="1" applyBorder="1" applyAlignment="1" applyProtection="1">
      <alignment horizontal="left" vertical="top" wrapText="1"/>
      <protection locked="0"/>
    </xf>
    <xf numFmtId="0" fontId="21" fillId="0" borderId="193" xfId="0" applyFont="1" applyFill="1" applyBorder="1" applyAlignment="1" applyProtection="1">
      <alignment horizontal="left" vertical="top" wrapText="1"/>
      <protection locked="0"/>
    </xf>
    <xf numFmtId="0" fontId="75" fillId="21" borderId="201" xfId="52" applyNumberFormat="1" applyFont="1" applyFill="1" applyBorder="1" applyAlignment="1">
      <alignment horizontal="center" vertical="center" wrapText="1"/>
    </xf>
    <xf numFmtId="0" fontId="21" fillId="0" borderId="203" xfId="0" applyFont="1" applyFill="1" applyBorder="1" applyAlignment="1" applyProtection="1">
      <alignment horizontal="left"/>
      <protection locked="0"/>
    </xf>
    <xf numFmtId="0" fontId="21" fillId="0" borderId="220" xfId="0" applyFont="1" applyFill="1" applyBorder="1" applyAlignment="1" applyProtection="1">
      <alignment horizontal="left" wrapText="1"/>
      <protection locked="0"/>
    </xf>
    <xf numFmtId="14" fontId="21" fillId="0" borderId="34" xfId="0" applyNumberFormat="1" applyFont="1" applyFill="1" applyBorder="1" applyAlignment="1" applyProtection="1">
      <alignment horizontal="left"/>
      <protection locked="0"/>
    </xf>
    <xf numFmtId="164" fontId="17" fillId="30" borderId="0" xfId="38" applyFont="1" applyFill="1" applyAlignment="1">
      <alignment horizontal="center" vertical="center"/>
    </xf>
    <xf numFmtId="0" fontId="33" fillId="0" borderId="0" xfId="0" applyFont="1" applyAlignment="1">
      <alignment horizontal="center"/>
    </xf>
    <xf numFmtId="9" fontId="21" fillId="35" borderId="42" xfId="61" applyFont="1" applyFill="1" applyBorder="1" applyAlignment="1" applyProtection="1">
      <alignment horizontal="left" vertical="top" wrapText="1"/>
      <protection locked="0"/>
    </xf>
    <xf numFmtId="9" fontId="21" fillId="35" borderId="43" xfId="61" applyFont="1" applyFill="1" applyBorder="1" applyAlignment="1" applyProtection="1">
      <alignment horizontal="left" vertical="top" wrapText="1"/>
      <protection locked="0"/>
    </xf>
    <xf numFmtId="9" fontId="128" fillId="22" borderId="10" xfId="61" applyFont="1" applyFill="1" applyBorder="1" applyAlignment="1" applyProtection="1">
      <alignment horizontal="left" vertical="top" wrapText="1"/>
      <protection locked="0"/>
    </xf>
    <xf numFmtId="9" fontId="21" fillId="22" borderId="10" xfId="61" applyFont="1" applyFill="1" applyBorder="1" applyAlignment="1" applyProtection="1">
      <alignment horizontal="left" vertical="top" wrapText="1"/>
      <protection locked="0"/>
    </xf>
  </cellXfs>
  <cellStyles count="174">
    <cellStyle name="???????????" xfId="92" xr:uid="{00000000-0005-0000-0000-000000000000}"/>
    <cellStyle name="????????????? ???????????" xfId="93" xr:uid="{00000000-0005-0000-0000-000001000000}"/>
    <cellStyle name="_TB_Calc_number" xfId="69" xr:uid="{00000000-0005-0000-0000-000002000000}"/>
    <cellStyle name="_TB_Calc_percent" xfId="70" xr:uid="{00000000-0005-0000-0000-000003000000}"/>
    <cellStyle name="_TB_def_number" xfId="71" xr:uid="{00000000-0005-0000-0000-000004000000}"/>
    <cellStyle name="_TB_def_percent" xfId="72" xr:uid="{00000000-0005-0000-0000-000005000000}"/>
    <cellStyle name="_TB_results1" xfId="89" xr:uid="{00000000-0005-0000-0000-000006000000}"/>
    <cellStyle name="_TB_subtitle2" xfId="73" xr:uid="{00000000-0005-0000-0000-000007000000}"/>
    <cellStyle name="_TB_textunprotect" xfId="90" xr:uid="{00000000-0005-0000-0000-000008000000}"/>
    <cellStyle name="_TB_years" xfId="91" xr:uid="{00000000-0005-0000-0000-000009000000}"/>
    <cellStyle name="20% - Accent1" xfId="1" xr:uid="{00000000-0005-0000-0000-00000A000000}"/>
    <cellStyle name="20% - Accent2" xfId="2" xr:uid="{00000000-0005-0000-0000-00000B000000}"/>
    <cellStyle name="20% - Accent3" xfId="3" xr:uid="{00000000-0005-0000-0000-00000C000000}"/>
    <cellStyle name="20% - Accent4" xfId="4" xr:uid="{00000000-0005-0000-0000-00000D000000}"/>
    <cellStyle name="20% - Accent5" xfId="5" xr:uid="{00000000-0005-0000-0000-00000E000000}"/>
    <cellStyle name="20% - Accent6" xfId="6" xr:uid="{00000000-0005-0000-0000-00000F000000}"/>
    <cellStyle name="20% - Акцент1 2" xfId="94" xr:uid="{00000000-0005-0000-0000-000010000000}"/>
    <cellStyle name="20% - Акцент2 2" xfId="95" xr:uid="{00000000-0005-0000-0000-000011000000}"/>
    <cellStyle name="20% - Акцент3 2" xfId="96" xr:uid="{00000000-0005-0000-0000-000012000000}"/>
    <cellStyle name="20% - Акцент4 2" xfId="97" xr:uid="{00000000-0005-0000-0000-000013000000}"/>
    <cellStyle name="20% - Акцент5 2" xfId="98" xr:uid="{00000000-0005-0000-0000-000014000000}"/>
    <cellStyle name="20% - Акцент6 2" xfId="99" xr:uid="{00000000-0005-0000-0000-000015000000}"/>
    <cellStyle name="40% - Accent1" xfId="7" xr:uid="{00000000-0005-0000-0000-000016000000}"/>
    <cellStyle name="40% - Accent2" xfId="8" xr:uid="{00000000-0005-0000-0000-000017000000}"/>
    <cellStyle name="40% - Accent3" xfId="9" xr:uid="{00000000-0005-0000-0000-000018000000}"/>
    <cellStyle name="40% - Accent4" xfId="10" xr:uid="{00000000-0005-0000-0000-000019000000}"/>
    <cellStyle name="40% - Accent5" xfId="11" xr:uid="{00000000-0005-0000-0000-00001A000000}"/>
    <cellStyle name="40% - Accent6" xfId="12" xr:uid="{00000000-0005-0000-0000-00001B000000}"/>
    <cellStyle name="40% - Акцент1 2" xfId="100" xr:uid="{00000000-0005-0000-0000-00001C000000}"/>
    <cellStyle name="40% - Акцент2 2" xfId="101" xr:uid="{00000000-0005-0000-0000-00001D000000}"/>
    <cellStyle name="40% - Акцент3 2" xfId="102" xr:uid="{00000000-0005-0000-0000-00001E000000}"/>
    <cellStyle name="40% - Акцент4 2" xfId="103" xr:uid="{00000000-0005-0000-0000-00001F000000}"/>
    <cellStyle name="40% - Акцент5 2" xfId="104" xr:uid="{00000000-0005-0000-0000-000020000000}"/>
    <cellStyle name="40% - Акцент6 2" xfId="105" xr:uid="{00000000-0005-0000-0000-000021000000}"/>
    <cellStyle name="60% - Accent1" xfId="13" xr:uid="{00000000-0005-0000-0000-000022000000}"/>
    <cellStyle name="60% - Accent2" xfId="14" xr:uid="{00000000-0005-0000-0000-000023000000}"/>
    <cellStyle name="60% - Accent3" xfId="15" xr:uid="{00000000-0005-0000-0000-000024000000}"/>
    <cellStyle name="60% - Accent4" xfId="16" xr:uid="{00000000-0005-0000-0000-000025000000}"/>
    <cellStyle name="60% - Accent5" xfId="17" xr:uid="{00000000-0005-0000-0000-000026000000}"/>
    <cellStyle name="60% - Accent6" xfId="18" xr:uid="{00000000-0005-0000-0000-000027000000}"/>
    <cellStyle name="60% - Акцент1 2" xfId="106" xr:uid="{00000000-0005-0000-0000-000028000000}"/>
    <cellStyle name="60% - Акцент2 2" xfId="107" xr:uid="{00000000-0005-0000-0000-000029000000}"/>
    <cellStyle name="60% - Акцент3 2" xfId="108" xr:uid="{00000000-0005-0000-0000-00002A000000}"/>
    <cellStyle name="60% - Акцент4 2" xfId="109" xr:uid="{00000000-0005-0000-0000-00002B000000}"/>
    <cellStyle name="60% - Акцент5 2" xfId="110" xr:uid="{00000000-0005-0000-0000-00002C000000}"/>
    <cellStyle name="60% - Акцент6 2" xfId="111" xr:uid="{00000000-0005-0000-0000-00002D000000}"/>
    <cellStyle name="Accent1" xfId="19" xr:uid="{00000000-0005-0000-0000-00002E000000}"/>
    <cellStyle name="Accent2" xfId="20" xr:uid="{00000000-0005-0000-0000-00002F000000}"/>
    <cellStyle name="Accent3" xfId="21" xr:uid="{00000000-0005-0000-0000-000030000000}"/>
    <cellStyle name="Accent4" xfId="22" xr:uid="{00000000-0005-0000-0000-000031000000}"/>
    <cellStyle name="Accent5" xfId="23" xr:uid="{00000000-0005-0000-0000-000032000000}"/>
    <cellStyle name="Accent6" xfId="24" xr:uid="{00000000-0005-0000-0000-000033000000}"/>
    <cellStyle name="Activity" xfId="173" xr:uid="{00000000-0005-0000-0000-000034000000}"/>
    <cellStyle name="Ãèïåðññûëêà" xfId="112" xr:uid="{00000000-0005-0000-0000-000035000000}"/>
    <cellStyle name="Bad" xfId="25" xr:uid="{00000000-0005-0000-0000-000036000000}"/>
    <cellStyle name="Calculation" xfId="26" xr:uid="{00000000-0005-0000-0000-000037000000}"/>
    <cellStyle name="Check Cell" xfId="27" xr:uid="{00000000-0005-0000-0000-000038000000}"/>
    <cellStyle name="Comma 2" xfId="82" xr:uid="{00000000-0005-0000-0000-000039000000}"/>
    <cellStyle name="Comma 2 2" xfId="68" xr:uid="{00000000-0005-0000-0000-00003A000000}"/>
    <cellStyle name="Comma 2 3" xfId="85" xr:uid="{00000000-0005-0000-0000-00003B000000}"/>
    <cellStyle name="Comma 3" xfId="87" xr:uid="{00000000-0005-0000-0000-00003C000000}"/>
    <cellStyle name="Comma 4" xfId="113" xr:uid="{00000000-0005-0000-0000-00003D000000}"/>
    <cellStyle name="Comma 5" xfId="114" xr:uid="{00000000-0005-0000-0000-00003E000000}"/>
    <cellStyle name="Euro" xfId="28" xr:uid="{00000000-0005-0000-0000-00003F000000}"/>
    <cellStyle name="Euro 2" xfId="115" xr:uid="{00000000-0005-0000-0000-000040000000}"/>
    <cellStyle name="Explanatory Text" xfId="29" xr:uid="{00000000-0005-0000-0000-000041000000}"/>
    <cellStyle name="Good" xfId="30" xr:uid="{00000000-0005-0000-0000-000042000000}"/>
    <cellStyle name="Heading 1" xfId="31" xr:uid="{00000000-0005-0000-0000-000043000000}"/>
    <cellStyle name="Heading 2" xfId="32" xr:uid="{00000000-0005-0000-0000-000044000000}"/>
    <cellStyle name="Heading 3" xfId="33" xr:uid="{00000000-0005-0000-0000-000045000000}"/>
    <cellStyle name="Heading 4" xfId="34" xr:uid="{00000000-0005-0000-0000-000046000000}"/>
    <cellStyle name="Hyperlink 2" xfId="74" xr:uid="{00000000-0005-0000-0000-000047000000}"/>
    <cellStyle name="Hyperlink 3" xfId="116" xr:uid="{00000000-0005-0000-0000-000048000000}"/>
    <cellStyle name="info" xfId="117" xr:uid="{00000000-0005-0000-0000-000049000000}"/>
    <cellStyle name="Input" xfId="35" xr:uid="{00000000-0005-0000-0000-00004A000000}"/>
    <cellStyle name="Îòêðûâàâøàÿñÿ ãèïåðññûëêà" xfId="118" xr:uid="{00000000-0005-0000-0000-00004B000000}"/>
    <cellStyle name="Linked Cell" xfId="36" xr:uid="{00000000-0005-0000-0000-00004C000000}"/>
    <cellStyle name="ListData" xfId="119" xr:uid="{00000000-0005-0000-0000-00004D000000}"/>
    <cellStyle name="Millares 2" xfId="37" xr:uid="{00000000-0005-0000-0000-00004E000000}"/>
    <cellStyle name="Normal 10" xfId="120" xr:uid="{00000000-0005-0000-0000-00004F000000}"/>
    <cellStyle name="Normal 11" xfId="121" xr:uid="{00000000-0005-0000-0000-000050000000}"/>
    <cellStyle name="Normal 12" xfId="172" xr:uid="{00000000-0005-0000-0000-000051000000}"/>
    <cellStyle name="Normal 2" xfId="38" xr:uid="{00000000-0005-0000-0000-000052000000}"/>
    <cellStyle name="Normal 2 2" xfId="39" xr:uid="{00000000-0005-0000-0000-000053000000}"/>
    <cellStyle name="Normal 2 2 2" xfId="84" xr:uid="{00000000-0005-0000-0000-000054000000}"/>
    <cellStyle name="Normal 2 3" xfId="40" xr:uid="{00000000-0005-0000-0000-000055000000}"/>
    <cellStyle name="Normal 2 4" xfId="41" xr:uid="{00000000-0005-0000-0000-000056000000}"/>
    <cellStyle name="Normal 2 5" xfId="42" xr:uid="{00000000-0005-0000-0000-000057000000}"/>
    <cellStyle name="Normal 2 6" xfId="43" xr:uid="{00000000-0005-0000-0000-000058000000}"/>
    <cellStyle name="Normal 2 7" xfId="44" xr:uid="{00000000-0005-0000-0000-000059000000}"/>
    <cellStyle name="Normal 2 8" xfId="45" xr:uid="{00000000-0005-0000-0000-00005A000000}"/>
    <cellStyle name="Normal 2 9" xfId="65" xr:uid="{00000000-0005-0000-0000-00005B000000}"/>
    <cellStyle name="Normal 2_Dashboard ver 2.2 ES" xfId="46" xr:uid="{00000000-0005-0000-0000-00005C000000}"/>
    <cellStyle name="Normal 2_Prototipo" xfId="47" xr:uid="{00000000-0005-0000-0000-00005D000000}"/>
    <cellStyle name="Normal 3" xfId="48" xr:uid="{00000000-0005-0000-0000-00005E000000}"/>
    <cellStyle name="Normal 3 2" xfId="75" xr:uid="{00000000-0005-0000-0000-00005F000000}"/>
    <cellStyle name="Normal 4" xfId="49" xr:uid="{00000000-0005-0000-0000-000060000000}"/>
    <cellStyle name="Normal 4 2" xfId="76" xr:uid="{00000000-0005-0000-0000-000061000000}"/>
    <cellStyle name="Normal 5" xfId="50" xr:uid="{00000000-0005-0000-0000-000062000000}"/>
    <cellStyle name="Normal 5 2" xfId="78" xr:uid="{00000000-0005-0000-0000-000063000000}"/>
    <cellStyle name="Normal 5 3" xfId="77" xr:uid="{00000000-0005-0000-0000-000064000000}"/>
    <cellStyle name="Normal 6" xfId="51" xr:uid="{00000000-0005-0000-0000-000065000000}"/>
    <cellStyle name="Normal 6 2" xfId="79" xr:uid="{00000000-0005-0000-0000-000066000000}"/>
    <cellStyle name="Normal 7" xfId="64" xr:uid="{00000000-0005-0000-0000-000067000000}"/>
    <cellStyle name="Normal 7 2" xfId="122" xr:uid="{00000000-0005-0000-0000-000068000000}"/>
    <cellStyle name="Normal 8" xfId="123" xr:uid="{00000000-0005-0000-0000-000069000000}"/>
    <cellStyle name="Normal 8 2" xfId="124" xr:uid="{00000000-0005-0000-0000-00006A000000}"/>
    <cellStyle name="Normal 9" xfId="125" xr:uid="{00000000-0005-0000-0000-00006B000000}"/>
    <cellStyle name="Normal_TZ_R3HIV_Phase_2_21_August_08" xfId="52" xr:uid="{00000000-0005-0000-0000-00006C000000}"/>
    <cellStyle name="Note" xfId="53" xr:uid="{00000000-0005-0000-0000-00006D000000}"/>
    <cellStyle name="Output" xfId="54" xr:uid="{00000000-0005-0000-0000-00006E000000}"/>
    <cellStyle name="Percent 2" xfId="66" xr:uid="{00000000-0005-0000-0000-00006F000000}"/>
    <cellStyle name="Percent 3" xfId="67" xr:uid="{00000000-0005-0000-0000-000070000000}"/>
    <cellStyle name="Percent 4" xfId="88" xr:uid="{00000000-0005-0000-0000-000071000000}"/>
    <cellStyle name="Percent 5" xfId="126" xr:uid="{00000000-0005-0000-0000-000072000000}"/>
    <cellStyle name="Percent 6" xfId="127" xr:uid="{00000000-0005-0000-0000-000073000000}"/>
    <cellStyle name="Percent 7" xfId="128" xr:uid="{00000000-0005-0000-0000-000074000000}"/>
    <cellStyle name="Percent 8" xfId="129" xr:uid="{00000000-0005-0000-0000-000075000000}"/>
    <cellStyle name="SheetHeader" xfId="130" xr:uid="{00000000-0005-0000-0000-000076000000}"/>
    <cellStyle name="TableHeader" xfId="131" xr:uid="{00000000-0005-0000-0000-000077000000}"/>
    <cellStyle name="Title" xfId="55" xr:uid="{00000000-0005-0000-0000-000078000000}"/>
    <cellStyle name="Título 3 3" xfId="56" xr:uid="{00000000-0005-0000-0000-000079000000}"/>
    <cellStyle name="Título 3 3_Prototipo" xfId="57" xr:uid="{00000000-0005-0000-0000-00007A000000}"/>
    <cellStyle name="Título 3 3_PrototipoRep1" xfId="58" xr:uid="{00000000-0005-0000-0000-00007B000000}"/>
    <cellStyle name="Título 3 7" xfId="59" xr:uid="{00000000-0005-0000-0000-00007C000000}"/>
    <cellStyle name="Warning Text" xfId="60" xr:uid="{00000000-0005-0000-0000-00007D000000}"/>
    <cellStyle name="Акцент1 2" xfId="132" xr:uid="{00000000-0005-0000-0000-00007E000000}"/>
    <cellStyle name="Акцент2 2" xfId="133" xr:uid="{00000000-0005-0000-0000-00007F000000}"/>
    <cellStyle name="Акцент3 2" xfId="134" xr:uid="{00000000-0005-0000-0000-000080000000}"/>
    <cellStyle name="Акцент4 2" xfId="135" xr:uid="{00000000-0005-0000-0000-000081000000}"/>
    <cellStyle name="Акцент5 2" xfId="136" xr:uid="{00000000-0005-0000-0000-000082000000}"/>
    <cellStyle name="Акцент6 2" xfId="137" xr:uid="{00000000-0005-0000-0000-000083000000}"/>
    <cellStyle name="Ввод  2" xfId="138" xr:uid="{00000000-0005-0000-0000-000084000000}"/>
    <cellStyle name="Вывод 2" xfId="139" xr:uid="{00000000-0005-0000-0000-000085000000}"/>
    <cellStyle name="Вычисление 2" xfId="140" xr:uid="{00000000-0005-0000-0000-000086000000}"/>
    <cellStyle name="Гиперссылка 2" xfId="141" xr:uid="{00000000-0005-0000-0000-000087000000}"/>
    <cellStyle name="Гиперссылка 3" xfId="142" xr:uid="{00000000-0005-0000-0000-000088000000}"/>
    <cellStyle name="Заголовок 1 2" xfId="143" xr:uid="{00000000-0005-0000-0000-000089000000}"/>
    <cellStyle name="Заголовок 2 2" xfId="144" xr:uid="{00000000-0005-0000-0000-00008A000000}"/>
    <cellStyle name="Заголовок 3 2" xfId="145" xr:uid="{00000000-0005-0000-0000-00008B000000}"/>
    <cellStyle name="Заголовок 4 2" xfId="146" xr:uid="{00000000-0005-0000-0000-00008C000000}"/>
    <cellStyle name="Итог 2" xfId="147" xr:uid="{00000000-0005-0000-0000-00008D000000}"/>
    <cellStyle name="Контрольная ячейка 2" xfId="148" xr:uid="{00000000-0005-0000-0000-00008E000000}"/>
    <cellStyle name="Название 2" xfId="149" xr:uid="{00000000-0005-0000-0000-00008F000000}"/>
    <cellStyle name="Нейтральный 2" xfId="150" xr:uid="{00000000-0005-0000-0000-000090000000}"/>
    <cellStyle name="Обычный" xfId="0" builtinId="0"/>
    <cellStyle name="Обычный 2" xfId="80" xr:uid="{00000000-0005-0000-0000-000092000000}"/>
    <cellStyle name="Обычный 2 2" xfId="151" xr:uid="{00000000-0005-0000-0000-000093000000}"/>
    <cellStyle name="Обычный 2 3" xfId="152" xr:uid="{00000000-0005-0000-0000-000094000000}"/>
    <cellStyle name="Обычный 3" xfId="81" xr:uid="{00000000-0005-0000-0000-000095000000}"/>
    <cellStyle name="Обычный 4" xfId="153" xr:uid="{00000000-0005-0000-0000-000096000000}"/>
    <cellStyle name="Обычный 4 2" xfId="154" xr:uid="{00000000-0005-0000-0000-000097000000}"/>
    <cellStyle name="Обычный 4_KGZ Rnd 7 budget HIV" xfId="155" xr:uid="{00000000-0005-0000-0000-000098000000}"/>
    <cellStyle name="Обычный 5" xfId="156" xr:uid="{00000000-0005-0000-0000-000099000000}"/>
    <cellStyle name="Обычный 6" xfId="157" xr:uid="{00000000-0005-0000-0000-00009A000000}"/>
    <cellStyle name="Обычный 7" xfId="63" xr:uid="{00000000-0005-0000-0000-00009B000000}"/>
    <cellStyle name="Плохой 2" xfId="158" xr:uid="{00000000-0005-0000-0000-00009C000000}"/>
    <cellStyle name="Пояснение 2" xfId="159" xr:uid="{00000000-0005-0000-0000-00009D000000}"/>
    <cellStyle name="Примечание 2" xfId="160" xr:uid="{00000000-0005-0000-0000-00009E000000}"/>
    <cellStyle name="Процентный" xfId="61" builtinId="5"/>
    <cellStyle name="Процентный 2" xfId="161" xr:uid="{00000000-0005-0000-0000-0000A0000000}"/>
    <cellStyle name="Процентный 3" xfId="83" xr:uid="{00000000-0005-0000-0000-0000A1000000}"/>
    <cellStyle name="Связанная ячейка 2" xfId="162" xr:uid="{00000000-0005-0000-0000-0000A2000000}"/>
    <cellStyle name="Текст предупреждения 2" xfId="163" xr:uid="{00000000-0005-0000-0000-0000A3000000}"/>
    <cellStyle name="Финансовый" xfId="62" builtinId="3"/>
    <cellStyle name="Финансовый 2" xfId="164" xr:uid="{00000000-0005-0000-0000-0000A5000000}"/>
    <cellStyle name="Финансовый 2 2" xfId="165" xr:uid="{00000000-0005-0000-0000-0000A6000000}"/>
    <cellStyle name="Финансовый 3" xfId="166" xr:uid="{00000000-0005-0000-0000-0000A7000000}"/>
    <cellStyle name="Финансовый 4" xfId="167" xr:uid="{00000000-0005-0000-0000-0000A8000000}"/>
    <cellStyle name="Финансовый 5" xfId="168" xr:uid="{00000000-0005-0000-0000-0000A9000000}"/>
    <cellStyle name="Финансовый 6" xfId="169" xr:uid="{00000000-0005-0000-0000-0000AA000000}"/>
    <cellStyle name="Финансовый 7" xfId="86" xr:uid="{00000000-0005-0000-0000-0000AB000000}"/>
    <cellStyle name="Хороший 2" xfId="171" xr:uid="{00000000-0005-0000-0000-0000AC000000}"/>
    <cellStyle name="Хороший 3" xfId="170" xr:uid="{00000000-0005-0000-0000-0000AD000000}"/>
  </cellStyles>
  <dxfs count="80">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ill>
        <patternFill>
          <bgColor rgb="FFFF0000"/>
        </patternFill>
      </fill>
    </dxf>
    <dxf>
      <fill>
        <patternFill>
          <bgColor rgb="FFFFFF00"/>
        </patternFill>
      </fill>
    </dxf>
    <dxf>
      <fill>
        <patternFill>
          <bgColor rgb="FF00FF0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ill>
        <patternFill>
          <bgColor rgb="FF99FF33"/>
        </patternFill>
      </fill>
    </dxf>
    <dxf>
      <fill>
        <patternFill>
          <bgColor rgb="FFFF505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ont>
        <condense val="0"/>
        <extend val="0"/>
        <color indexed="9"/>
      </font>
      <fill>
        <patternFill>
          <bgColor indexed="8"/>
        </patternFill>
      </fill>
    </dxf>
    <dxf>
      <font>
        <condense val="0"/>
        <extend val="0"/>
        <color indexed="9"/>
      </font>
      <fill>
        <patternFill>
          <bgColor indexed="8"/>
        </patternFill>
      </fill>
    </dxf>
    <dxf>
      <fill>
        <patternFill>
          <bgColor indexed="42"/>
        </patternFill>
      </fill>
    </dxf>
    <dxf>
      <fill>
        <patternFill>
          <bgColor indexed="42"/>
        </patternFill>
      </fill>
    </dxf>
    <dxf>
      <fill>
        <patternFill>
          <bgColor rgb="FF66FF33"/>
        </patternFill>
      </fill>
    </dxf>
    <dxf>
      <fill>
        <patternFill>
          <bgColor indexed="42"/>
        </patternFill>
      </fill>
    </dxf>
    <dxf>
      <fill>
        <patternFill>
          <bgColor indexed="42"/>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305"/>
        </c:manualLayout>
      </c:layout>
      <c:barChart>
        <c:barDir val="col"/>
        <c:grouping val="clustered"/>
        <c:varyColors val="0"/>
        <c:ser>
          <c:idx val="0"/>
          <c:order val="0"/>
          <c:tx>
            <c:strRef>
              <c:f>'Ввод данных'!$A$33</c:f>
              <c:strCache>
                <c:ptCount val="1"/>
                <c:pt idx="0">
                  <c:v>Общий бюджет</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'Ввод данных'!$B$33:$M$33</c:f>
              <c:numCache>
                <c:formatCode>#,##0</c:formatCode>
                <c:ptCount val="12"/>
                <c:pt idx="0">
                  <c:v>3229329.58</c:v>
                </c:pt>
                <c:pt idx="1">
                  <c:v>7403519.0299999993</c:v>
                </c:pt>
                <c:pt idx="2">
                  <c:v>11939542.27</c:v>
                </c:pt>
                <c:pt idx="3">
                  <c:v>15710333.971765378</c:v>
                </c:pt>
                <c:pt idx="4">
                  <c:v>26019855.49922486</c:v>
                </c:pt>
              </c:numCache>
            </c:numRef>
          </c:val>
          <c:extLst>
            <c:ext xmlns:c16="http://schemas.microsoft.com/office/drawing/2014/chart" uri="{C3380CC4-5D6E-409C-BE32-E72D297353CC}">
              <c16:uniqueId val="{00000000-0A43-47EE-8EF9-5704D8A78677}"/>
            </c:ext>
          </c:extLst>
        </c:ser>
        <c:ser>
          <c:idx val="1"/>
          <c:order val="1"/>
          <c:tx>
            <c:strRef>
              <c:f>'Ввод данных'!$A$34</c:f>
              <c:strCache>
                <c:ptCount val="1"/>
                <c:pt idx="0">
                  <c:v>Общая сумма выплат</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'Ввод данных'!$B$34:$M$34</c:f>
              <c:numCache>
                <c:formatCode>#,##0</c:formatCode>
                <c:ptCount val="12"/>
                <c:pt idx="0">
                  <c:v>9283289</c:v>
                </c:pt>
                <c:pt idx="1">
                  <c:v>12361316.41</c:v>
                </c:pt>
                <c:pt idx="2">
                  <c:v>17555626.91</c:v>
                </c:pt>
                <c:pt idx="3">
                  <c:v>24287193.91</c:v>
                </c:pt>
                <c:pt idx="4">
                  <c:v>25735624.52</c:v>
                </c:pt>
              </c:numCache>
            </c:numRef>
          </c:val>
          <c:extLst>
            <c:ext xmlns:c16="http://schemas.microsoft.com/office/drawing/2014/chart" uri="{C3380CC4-5D6E-409C-BE32-E72D297353CC}">
              <c16:uniqueId val="{00000001-0A43-47EE-8EF9-5704D8A78677}"/>
            </c:ext>
          </c:extLst>
        </c:ser>
        <c:dLbls>
          <c:showLegendKey val="0"/>
          <c:showVal val="0"/>
          <c:showCatName val="0"/>
          <c:showSerName val="0"/>
          <c:showPercent val="0"/>
          <c:showBubbleSize val="0"/>
        </c:dLbls>
        <c:gapWidth val="70"/>
        <c:axId val="1388296480"/>
        <c:axId val="1388287232"/>
      </c:barChart>
      <c:catAx>
        <c:axId val="1388296480"/>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ru-RU"/>
                  <a:t>Отчетный период</a:t>
                </a:r>
              </a:p>
            </c:rich>
          </c:tx>
          <c:layout>
            <c:manualLayout>
              <c:xMode val="edge"/>
              <c:yMode val="edge"/>
              <c:x val="0.48066291713535836"/>
              <c:y val="0.78695641210787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ru-RU"/>
          </a:p>
        </c:txPr>
        <c:crossAx val="1388287232"/>
        <c:crosses val="autoZero"/>
        <c:auto val="1"/>
        <c:lblAlgn val="ctr"/>
        <c:lblOffset val="100"/>
        <c:tickLblSkip val="1"/>
        <c:tickMarkSkip val="1"/>
        <c:noMultiLvlLbl val="0"/>
      </c:catAx>
      <c:valAx>
        <c:axId val="13882872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ru-RU"/>
          </a:p>
        </c:txPr>
        <c:crossAx val="1388296480"/>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735" b="0" i="0" u="none" strike="noStrike" baseline="0">
                <a:solidFill>
                  <a:srgbClr val="000000"/>
                </a:solidFill>
                <a:latin typeface="Arial"/>
                <a:ea typeface="Arial"/>
                <a:cs typeface="Arial"/>
              </a:defRPr>
            </a:pPr>
            <a:endParaRPr lang="ru-RU"/>
          </a:p>
        </c:txPr>
      </c:legendEntry>
      <c:legendEntry>
        <c:idx val="1"/>
        <c:txPr>
          <a:bodyPr/>
          <a:lstStyle/>
          <a:p>
            <a:pPr>
              <a:defRPr sz="735" b="0" i="0" u="none" strike="noStrike" baseline="0">
                <a:solidFill>
                  <a:srgbClr val="000000"/>
                </a:solidFill>
                <a:latin typeface="Arial"/>
                <a:ea typeface="Arial"/>
                <a:cs typeface="Arial"/>
              </a:defRPr>
            </a:pPr>
            <a:endParaRPr lang="ru-RU"/>
          </a:p>
        </c:txPr>
      </c:legendEntry>
      <c:layout>
        <c:manualLayout>
          <c:xMode val="edge"/>
          <c:yMode val="edge"/>
          <c:x val="9.0909090909091023E-2"/>
          <c:y val="0.88209606986899558"/>
          <c:w val="0.84415584415584444"/>
          <c:h val="0.10480349344978168"/>
        </c:manualLayout>
      </c:layout>
      <c:overlay val="0"/>
      <c:spPr>
        <a:solidFill>
          <a:srgbClr val="FFFF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ru-RU"/>
    </a:p>
  </c:txPr>
  <c:printSettings>
    <c:headerFooter alignWithMargins="0"/>
    <c:pageMargins b="1" l="0.75000000000000033" r="0.75000000000000033"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Процент взрослых и детей, получающих в настоящее время антиретровирусную терапию, от оценочного числа всех взрослых и детей, живущих с ВИЧ</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1"/>
          <c:order val="0"/>
          <c:tx>
            <c:strRef>
              <c:f>'Ввод данных'!$D$171</c:f>
              <c:strCache>
                <c:ptCount val="1"/>
                <c:pt idx="0">
                  <c:v>Целевой показатель</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данных'!$E$168:$I$168</c:f>
              <c:strCache>
                <c:ptCount val="5"/>
                <c:pt idx="0">
                  <c:v>P1</c:v>
                </c:pt>
                <c:pt idx="1">
                  <c:v>P2</c:v>
                </c:pt>
                <c:pt idx="2">
                  <c:v>P3</c:v>
                </c:pt>
                <c:pt idx="3">
                  <c:v>P4</c:v>
                </c:pt>
                <c:pt idx="4">
                  <c:v>P5</c:v>
                </c:pt>
              </c:strCache>
            </c:strRef>
          </c:cat>
          <c:val>
            <c:numRef>
              <c:f>'Ввод данных'!$E$171:$I$171</c:f>
              <c:numCache>
                <c:formatCode>#,##0</c:formatCode>
                <c:ptCount val="5"/>
                <c:pt idx="0">
                  <c:v>4373</c:v>
                </c:pt>
                <c:pt idx="1">
                  <c:v>5123</c:v>
                </c:pt>
                <c:pt idx="2">
                  <c:v>5873</c:v>
                </c:pt>
                <c:pt idx="3">
                  <c:v>6730</c:v>
                </c:pt>
                <c:pt idx="4">
                  <c:v>7587</c:v>
                </c:pt>
              </c:numCache>
            </c:numRef>
          </c:val>
          <c:extLst>
            <c:ext xmlns:c16="http://schemas.microsoft.com/office/drawing/2014/chart" uri="{C3380CC4-5D6E-409C-BE32-E72D297353CC}">
              <c16:uniqueId val="{00000000-5B30-4091-B18A-6AC4751D1127}"/>
            </c:ext>
          </c:extLst>
        </c:ser>
        <c:ser>
          <c:idx val="0"/>
          <c:order val="1"/>
          <c:tx>
            <c:strRef>
              <c:f>'Ввод данных'!$D$172</c:f>
              <c:strCache>
                <c:ptCount val="1"/>
                <c:pt idx="0">
                  <c:v>Достигнуто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данных'!$E$168:$I$168</c:f>
              <c:strCache>
                <c:ptCount val="5"/>
                <c:pt idx="0">
                  <c:v>P1</c:v>
                </c:pt>
                <c:pt idx="1">
                  <c:v>P2</c:v>
                </c:pt>
                <c:pt idx="2">
                  <c:v>P3</c:v>
                </c:pt>
                <c:pt idx="3">
                  <c:v>P4</c:v>
                </c:pt>
                <c:pt idx="4">
                  <c:v>P5</c:v>
                </c:pt>
              </c:strCache>
            </c:strRef>
          </c:cat>
          <c:val>
            <c:numRef>
              <c:f>'Ввод данных'!$E$172:$I$172</c:f>
              <c:numCache>
                <c:formatCode>#,##0</c:formatCode>
                <c:ptCount val="5"/>
                <c:pt idx="0">
                  <c:v>3718</c:v>
                </c:pt>
                <c:pt idx="1">
                  <c:v>3762</c:v>
                </c:pt>
                <c:pt idx="2">
                  <c:v>4058</c:v>
                </c:pt>
                <c:pt idx="3">
                  <c:v>4058</c:v>
                </c:pt>
                <c:pt idx="4">
                  <c:v>4435</c:v>
                </c:pt>
              </c:numCache>
            </c:numRef>
          </c:val>
          <c:extLst>
            <c:ext xmlns:c16="http://schemas.microsoft.com/office/drawing/2014/chart" uri="{C3380CC4-5D6E-409C-BE32-E72D297353CC}">
              <c16:uniqueId val="{00000001-CBEF-44A4-AA78-3F1EBD06D11B}"/>
            </c:ext>
          </c:extLst>
        </c:ser>
        <c:dLbls>
          <c:showLegendKey val="0"/>
          <c:showVal val="1"/>
          <c:showCatName val="0"/>
          <c:showSerName val="0"/>
          <c:showPercent val="0"/>
          <c:showBubbleSize val="0"/>
        </c:dLbls>
        <c:gapWidth val="150"/>
        <c:overlap val="-25"/>
        <c:axId val="1511070352"/>
        <c:axId val="1511060560"/>
      </c:barChart>
      <c:catAx>
        <c:axId val="1511070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60560"/>
        <c:crosses val="autoZero"/>
        <c:auto val="1"/>
        <c:lblAlgn val="ctr"/>
        <c:lblOffset val="100"/>
        <c:noMultiLvlLbl val="0"/>
      </c:catAx>
      <c:valAx>
        <c:axId val="1511060560"/>
        <c:scaling>
          <c:orientation val="minMax"/>
        </c:scaling>
        <c:delete val="1"/>
        <c:axPos val="l"/>
        <c:numFmt formatCode="#,##0" sourceLinked="1"/>
        <c:majorTickMark val="none"/>
        <c:minorTickMark val="none"/>
        <c:tickLblPos val="nextTo"/>
        <c:crossAx val="15110703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Процент ЛЖВ, получающих АРТ и достигших неопределяемую вирусную нагрузку (т.е. ≤1000 копий)</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данных'!$D$173</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данных'!$E$168:$I$168</c:f>
              <c:strCache>
                <c:ptCount val="5"/>
                <c:pt idx="0">
                  <c:v>P1</c:v>
                </c:pt>
                <c:pt idx="1">
                  <c:v>P2</c:v>
                </c:pt>
                <c:pt idx="2">
                  <c:v>P3</c:v>
                </c:pt>
                <c:pt idx="3">
                  <c:v>P4</c:v>
                </c:pt>
                <c:pt idx="4">
                  <c:v>P5</c:v>
                </c:pt>
              </c:strCache>
            </c:strRef>
          </c:cat>
          <c:val>
            <c:numRef>
              <c:f>'Ввод данных'!$E$173:$I$173</c:f>
              <c:numCache>
                <c:formatCode>#,##0</c:formatCode>
                <c:ptCount val="5"/>
                <c:pt idx="0" formatCode="0.0%">
                  <c:v>0.54900000000000004</c:v>
                </c:pt>
                <c:pt idx="2" formatCode="0.0%">
                  <c:v>0.67</c:v>
                </c:pt>
                <c:pt idx="3">
                  <c:v>0</c:v>
                </c:pt>
                <c:pt idx="4" formatCode="0.00%">
                  <c:v>0.79</c:v>
                </c:pt>
              </c:numCache>
            </c:numRef>
          </c:val>
          <c:extLst>
            <c:ext xmlns:c16="http://schemas.microsoft.com/office/drawing/2014/chart" uri="{C3380CC4-5D6E-409C-BE32-E72D297353CC}">
              <c16:uniqueId val="{00000000-8E36-4759-95E6-C1FD3F67DC3B}"/>
            </c:ext>
          </c:extLst>
        </c:ser>
        <c:ser>
          <c:idx val="1"/>
          <c:order val="1"/>
          <c:tx>
            <c:strRef>
              <c:f>'Ввод данных'!$D$174</c:f>
              <c:strCache>
                <c:ptCount val="1"/>
                <c:pt idx="0">
                  <c:v>Достигнуто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данных'!$E$168:$I$168</c:f>
              <c:strCache>
                <c:ptCount val="5"/>
                <c:pt idx="0">
                  <c:v>P1</c:v>
                </c:pt>
                <c:pt idx="1">
                  <c:v>P2</c:v>
                </c:pt>
                <c:pt idx="2">
                  <c:v>P3</c:v>
                </c:pt>
                <c:pt idx="3">
                  <c:v>P4</c:v>
                </c:pt>
                <c:pt idx="4">
                  <c:v>P5</c:v>
                </c:pt>
              </c:strCache>
            </c:strRef>
          </c:cat>
          <c:val>
            <c:numRef>
              <c:f>'Ввод данных'!$E$174:$I$174</c:f>
              <c:numCache>
                <c:formatCode>#,##0</c:formatCode>
                <c:ptCount val="5"/>
                <c:pt idx="0" formatCode="0.0%">
                  <c:v>0.68500000000000005</c:v>
                </c:pt>
                <c:pt idx="2" formatCode="0.0%">
                  <c:v>0.79700000000000004</c:v>
                </c:pt>
                <c:pt idx="3">
                  <c:v>0</c:v>
                </c:pt>
                <c:pt idx="4" formatCode="0.00%">
                  <c:v>0.86650000000000005</c:v>
                </c:pt>
              </c:numCache>
            </c:numRef>
          </c:val>
          <c:extLst>
            <c:ext xmlns:c16="http://schemas.microsoft.com/office/drawing/2014/chart" uri="{C3380CC4-5D6E-409C-BE32-E72D297353CC}">
              <c16:uniqueId val="{00000001-41C3-4460-A67D-C690C6047B8A}"/>
            </c:ext>
          </c:extLst>
        </c:ser>
        <c:dLbls>
          <c:showLegendKey val="0"/>
          <c:showVal val="1"/>
          <c:showCatName val="0"/>
          <c:showSerName val="0"/>
          <c:showPercent val="0"/>
          <c:showBubbleSize val="0"/>
        </c:dLbls>
        <c:gapWidth val="150"/>
        <c:overlap val="-25"/>
        <c:axId val="1511065456"/>
        <c:axId val="1511062736"/>
      </c:barChart>
      <c:catAx>
        <c:axId val="1511065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62736"/>
        <c:crosses val="autoZero"/>
        <c:auto val="1"/>
        <c:lblAlgn val="ctr"/>
        <c:lblOffset val="100"/>
        <c:noMultiLvlLbl val="0"/>
      </c:catAx>
      <c:valAx>
        <c:axId val="1511062736"/>
        <c:scaling>
          <c:orientation val="minMax"/>
        </c:scaling>
        <c:delete val="1"/>
        <c:axPos val="l"/>
        <c:numFmt formatCode="0.0%" sourceLinked="1"/>
        <c:majorTickMark val="none"/>
        <c:minorTickMark val="none"/>
        <c:tickLblPos val="nextTo"/>
        <c:crossAx val="15110654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rPr>
              <a:t>TCP-1: </a:t>
            </a:r>
            <a:r>
              <a:rPr lang="ru-RU" sz="1000" b="0" i="0" u="none" strike="noStrike" baseline="0">
                <a:effectLst/>
              </a:rPr>
              <a:t>Количество зарегистрированных случаев всех форм ТБ (в т.ч. бактериологически подтвержденных и клинически диагностированных), включая новые случаи и рецидивы</a:t>
            </a:r>
            <a:r>
              <a:rPr lang="ru-RU" sz="1000" b="0" i="0" u="none" strike="noStrike" baseline="0"/>
              <a:t> </a:t>
            </a:r>
            <a:endParaRPr lang="ru-RU"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данных'!$D$208</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данных'!$E$207:$I$207</c:f>
              <c:strCache>
                <c:ptCount val="5"/>
                <c:pt idx="0">
                  <c:v>Р1</c:v>
                </c:pt>
                <c:pt idx="1">
                  <c:v>Р2</c:v>
                </c:pt>
                <c:pt idx="2">
                  <c:v>P3</c:v>
                </c:pt>
                <c:pt idx="3">
                  <c:v>P4</c:v>
                </c:pt>
                <c:pt idx="4">
                  <c:v>P5</c:v>
                </c:pt>
              </c:strCache>
            </c:strRef>
          </c:cat>
          <c:val>
            <c:numRef>
              <c:f>'Ввод данных'!$E$208:$I$208</c:f>
              <c:numCache>
                <c:formatCode>#,##0</c:formatCode>
                <c:ptCount val="5"/>
                <c:pt idx="0">
                  <c:v>3500</c:v>
                </c:pt>
                <c:pt idx="1">
                  <c:v>3475</c:v>
                </c:pt>
                <c:pt idx="2">
                  <c:v>3450</c:v>
                </c:pt>
                <c:pt idx="3">
                  <c:v>3425</c:v>
                </c:pt>
                <c:pt idx="4">
                  <c:v>3400</c:v>
                </c:pt>
              </c:numCache>
            </c:numRef>
          </c:val>
          <c:extLst>
            <c:ext xmlns:c16="http://schemas.microsoft.com/office/drawing/2014/chart" uri="{C3380CC4-5D6E-409C-BE32-E72D297353CC}">
              <c16:uniqueId val="{00000000-3B9B-49FD-BF6F-70EC39C3254D}"/>
            </c:ext>
          </c:extLst>
        </c:ser>
        <c:ser>
          <c:idx val="1"/>
          <c:order val="1"/>
          <c:tx>
            <c:strRef>
              <c:f>'Ввод данных'!$D$209</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данных'!$E$207:$I$207</c:f>
              <c:strCache>
                <c:ptCount val="5"/>
                <c:pt idx="0">
                  <c:v>Р1</c:v>
                </c:pt>
                <c:pt idx="1">
                  <c:v>Р2</c:v>
                </c:pt>
                <c:pt idx="2">
                  <c:v>P3</c:v>
                </c:pt>
                <c:pt idx="3">
                  <c:v>P4</c:v>
                </c:pt>
                <c:pt idx="4">
                  <c:v>P5</c:v>
                </c:pt>
              </c:strCache>
            </c:strRef>
          </c:cat>
          <c:val>
            <c:numRef>
              <c:f>'Ввод данных'!$E$209:$I$209</c:f>
              <c:numCache>
                <c:formatCode>#,##0</c:formatCode>
                <c:ptCount val="5"/>
                <c:pt idx="0">
                  <c:v>3191</c:v>
                </c:pt>
                <c:pt idx="1">
                  <c:v>3023</c:v>
                </c:pt>
                <c:pt idx="2">
                  <c:v>3241</c:v>
                </c:pt>
                <c:pt idx="3">
                  <c:v>2965</c:v>
                </c:pt>
                <c:pt idx="4">
                  <c:v>1743</c:v>
                </c:pt>
              </c:numCache>
            </c:numRef>
          </c:val>
          <c:extLst>
            <c:ext xmlns:c16="http://schemas.microsoft.com/office/drawing/2014/chart" uri="{C3380CC4-5D6E-409C-BE32-E72D297353CC}">
              <c16:uniqueId val="{00000001-3B9B-49FD-BF6F-70EC39C3254D}"/>
            </c:ext>
          </c:extLst>
        </c:ser>
        <c:dLbls>
          <c:showLegendKey val="0"/>
          <c:showVal val="1"/>
          <c:showCatName val="0"/>
          <c:showSerName val="0"/>
          <c:showPercent val="0"/>
          <c:showBubbleSize val="0"/>
        </c:dLbls>
        <c:gapWidth val="150"/>
        <c:overlap val="-25"/>
        <c:axId val="1511056208"/>
        <c:axId val="1511056752"/>
      </c:barChart>
      <c:catAx>
        <c:axId val="1511056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56752"/>
        <c:crosses val="autoZero"/>
        <c:auto val="1"/>
        <c:lblAlgn val="ctr"/>
        <c:lblOffset val="100"/>
        <c:noMultiLvlLbl val="0"/>
      </c:catAx>
      <c:valAx>
        <c:axId val="1511056752"/>
        <c:scaling>
          <c:orientation val="minMax"/>
        </c:scaling>
        <c:delete val="1"/>
        <c:axPos val="l"/>
        <c:numFmt formatCode="#,##0" sourceLinked="1"/>
        <c:majorTickMark val="none"/>
        <c:minorTickMark val="none"/>
        <c:tickLblPos val="nextTo"/>
        <c:crossAx val="15110562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rPr>
              <a:t>MDR TB-2: </a:t>
            </a:r>
            <a:r>
              <a:rPr lang="ru-RU" sz="1000" b="0" i="0" u="none" strike="noStrike" baseline="0">
                <a:effectLst/>
              </a:rPr>
              <a:t>Количество бактериологически подтвержденных зарегистрированных ЛУ-ТБ случаев (РУ-ТБ и/или МЛУ-ТБ) </a:t>
            </a:r>
            <a:endParaRPr lang="ru-RU"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данных'!$D$212</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данных'!$E$207:$I$207</c:f>
              <c:strCache>
                <c:ptCount val="5"/>
                <c:pt idx="0">
                  <c:v>Р1</c:v>
                </c:pt>
                <c:pt idx="1">
                  <c:v>Р2</c:v>
                </c:pt>
                <c:pt idx="2">
                  <c:v>P3</c:v>
                </c:pt>
                <c:pt idx="3">
                  <c:v>P4</c:v>
                </c:pt>
                <c:pt idx="4">
                  <c:v>P5</c:v>
                </c:pt>
              </c:strCache>
            </c:strRef>
          </c:cat>
          <c:val>
            <c:numRef>
              <c:f>'Ввод данных'!$E$212:$I$212</c:f>
              <c:numCache>
                <c:formatCode>#,##0</c:formatCode>
                <c:ptCount val="5"/>
                <c:pt idx="0">
                  <c:v>700</c:v>
                </c:pt>
                <c:pt idx="1">
                  <c:v>720</c:v>
                </c:pt>
                <c:pt idx="2">
                  <c:v>720</c:v>
                </c:pt>
                <c:pt idx="3">
                  <c:v>740</c:v>
                </c:pt>
                <c:pt idx="4">
                  <c:v>740</c:v>
                </c:pt>
              </c:numCache>
            </c:numRef>
          </c:val>
          <c:extLst>
            <c:ext xmlns:c16="http://schemas.microsoft.com/office/drawing/2014/chart" uri="{C3380CC4-5D6E-409C-BE32-E72D297353CC}">
              <c16:uniqueId val="{00000000-0FA3-483E-9E00-1641FC511067}"/>
            </c:ext>
          </c:extLst>
        </c:ser>
        <c:ser>
          <c:idx val="1"/>
          <c:order val="1"/>
          <c:tx>
            <c:strRef>
              <c:f>'Ввод данных'!$D$213</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данных'!$E$207:$I$207</c:f>
              <c:strCache>
                <c:ptCount val="5"/>
                <c:pt idx="0">
                  <c:v>Р1</c:v>
                </c:pt>
                <c:pt idx="1">
                  <c:v>Р2</c:v>
                </c:pt>
                <c:pt idx="2">
                  <c:v>P3</c:v>
                </c:pt>
                <c:pt idx="3">
                  <c:v>P4</c:v>
                </c:pt>
                <c:pt idx="4">
                  <c:v>P5</c:v>
                </c:pt>
              </c:strCache>
            </c:strRef>
          </c:cat>
          <c:val>
            <c:numRef>
              <c:f>'Ввод данных'!$E$213:$I$213</c:f>
              <c:numCache>
                <c:formatCode>#,##0</c:formatCode>
                <c:ptCount val="5"/>
                <c:pt idx="0">
                  <c:v>671</c:v>
                </c:pt>
                <c:pt idx="1">
                  <c:v>674</c:v>
                </c:pt>
                <c:pt idx="2">
                  <c:v>665</c:v>
                </c:pt>
                <c:pt idx="3">
                  <c:v>606</c:v>
                </c:pt>
                <c:pt idx="4">
                  <c:v>327</c:v>
                </c:pt>
              </c:numCache>
            </c:numRef>
          </c:val>
          <c:extLst>
            <c:ext xmlns:c16="http://schemas.microsoft.com/office/drawing/2014/chart" uri="{C3380CC4-5D6E-409C-BE32-E72D297353CC}">
              <c16:uniqueId val="{00000002-FBD6-4CFD-9ADD-E54BF7FE3C9B}"/>
            </c:ext>
          </c:extLst>
        </c:ser>
        <c:dLbls>
          <c:showLegendKey val="0"/>
          <c:showVal val="1"/>
          <c:showCatName val="0"/>
          <c:showSerName val="0"/>
          <c:showPercent val="0"/>
          <c:showBubbleSize val="0"/>
        </c:dLbls>
        <c:gapWidth val="150"/>
        <c:overlap val="-25"/>
        <c:axId val="1512274016"/>
        <c:axId val="1512273472"/>
      </c:barChart>
      <c:catAx>
        <c:axId val="1512274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2273472"/>
        <c:crosses val="autoZero"/>
        <c:auto val="1"/>
        <c:lblAlgn val="ctr"/>
        <c:lblOffset val="100"/>
        <c:noMultiLvlLbl val="0"/>
      </c:catAx>
      <c:valAx>
        <c:axId val="1512273472"/>
        <c:scaling>
          <c:orientation val="minMax"/>
        </c:scaling>
        <c:delete val="1"/>
        <c:axPos val="l"/>
        <c:numFmt formatCode="#,##0" sourceLinked="1"/>
        <c:majorTickMark val="none"/>
        <c:minorTickMark val="none"/>
        <c:tickLblPos val="nextTo"/>
        <c:crossAx val="15122740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rPr>
              <a:t>MDR TB-3: </a:t>
            </a:r>
            <a:r>
              <a:rPr lang="ru-RU" sz="1000" b="0" i="0" u="none" strike="noStrike" baseline="0">
                <a:effectLst/>
              </a:rPr>
              <a:t>Количество случаев с РУ/МЛУ ТБ, начавших лечение препаратами второго ряда </a:t>
            </a:r>
            <a:endParaRPr lang="ru-RU"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manualLayout>
          <c:layoutTarget val="inner"/>
          <c:xMode val="edge"/>
          <c:yMode val="edge"/>
          <c:x val="2.6907577767137161E-2"/>
          <c:y val="0.28708574224016331"/>
          <c:w val="0.97309242223286285"/>
          <c:h val="0.59200153327338678"/>
        </c:manualLayout>
      </c:layout>
      <c:barChart>
        <c:barDir val="col"/>
        <c:grouping val="clustered"/>
        <c:varyColors val="0"/>
        <c:ser>
          <c:idx val="0"/>
          <c:order val="0"/>
          <c:tx>
            <c:strRef>
              <c:f>'Ввод данных'!$D$214</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данных'!$E$207:$I$207</c:f>
              <c:strCache>
                <c:ptCount val="5"/>
                <c:pt idx="0">
                  <c:v>Р1</c:v>
                </c:pt>
                <c:pt idx="1">
                  <c:v>Р2</c:v>
                </c:pt>
                <c:pt idx="2">
                  <c:v>P3</c:v>
                </c:pt>
                <c:pt idx="3">
                  <c:v>P4</c:v>
                </c:pt>
                <c:pt idx="4">
                  <c:v>P5</c:v>
                </c:pt>
              </c:strCache>
            </c:strRef>
          </c:cat>
          <c:val>
            <c:numRef>
              <c:f>'Ввод данных'!$E$214:$I$214</c:f>
              <c:numCache>
                <c:formatCode>0%</c:formatCode>
                <c:ptCount val="5"/>
                <c:pt idx="0">
                  <c:v>0.55000000000000004</c:v>
                </c:pt>
                <c:pt idx="1">
                  <c:v>0.6</c:v>
                </c:pt>
                <c:pt idx="2">
                  <c:v>0.65</c:v>
                </c:pt>
                <c:pt idx="3">
                  <c:v>0.7</c:v>
                </c:pt>
                <c:pt idx="4">
                  <c:v>0.75</c:v>
                </c:pt>
              </c:numCache>
            </c:numRef>
          </c:val>
          <c:extLst>
            <c:ext xmlns:c16="http://schemas.microsoft.com/office/drawing/2014/chart" uri="{C3380CC4-5D6E-409C-BE32-E72D297353CC}">
              <c16:uniqueId val="{00000000-C5F8-4F29-8519-CACFFDA40A9D}"/>
            </c:ext>
          </c:extLst>
        </c:ser>
        <c:ser>
          <c:idx val="1"/>
          <c:order val="1"/>
          <c:tx>
            <c:strRef>
              <c:f>'Ввод данных'!$D$215</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данных'!$E$207:$I$207</c:f>
              <c:strCache>
                <c:ptCount val="5"/>
                <c:pt idx="0">
                  <c:v>Р1</c:v>
                </c:pt>
                <c:pt idx="1">
                  <c:v>Р2</c:v>
                </c:pt>
                <c:pt idx="2">
                  <c:v>P3</c:v>
                </c:pt>
                <c:pt idx="3">
                  <c:v>P4</c:v>
                </c:pt>
                <c:pt idx="4">
                  <c:v>P5</c:v>
                </c:pt>
              </c:strCache>
            </c:strRef>
          </c:cat>
          <c:val>
            <c:numRef>
              <c:f>'Ввод данных'!$E$215:$I$215</c:f>
              <c:numCache>
                <c:formatCode>0%</c:formatCode>
                <c:ptCount val="5"/>
                <c:pt idx="0">
                  <c:v>0.51900000000000002</c:v>
                </c:pt>
                <c:pt idx="1">
                  <c:v>0.65</c:v>
                </c:pt>
                <c:pt idx="2">
                  <c:v>0.66</c:v>
                </c:pt>
                <c:pt idx="3">
                  <c:v>0.69</c:v>
                </c:pt>
                <c:pt idx="4">
                  <c:v>0.77</c:v>
                </c:pt>
              </c:numCache>
            </c:numRef>
          </c:val>
          <c:extLst>
            <c:ext xmlns:c16="http://schemas.microsoft.com/office/drawing/2014/chart" uri="{C3380CC4-5D6E-409C-BE32-E72D297353CC}">
              <c16:uniqueId val="{00000001-2990-4390-BC04-5B6D0F1A34CC}"/>
            </c:ext>
          </c:extLst>
        </c:ser>
        <c:dLbls>
          <c:showLegendKey val="0"/>
          <c:showVal val="1"/>
          <c:showCatName val="0"/>
          <c:showSerName val="0"/>
          <c:showPercent val="0"/>
          <c:showBubbleSize val="0"/>
        </c:dLbls>
        <c:gapWidth val="150"/>
        <c:overlap val="-25"/>
        <c:axId val="1512272384"/>
        <c:axId val="1512268032"/>
      </c:barChart>
      <c:catAx>
        <c:axId val="1512272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2268032"/>
        <c:crosses val="autoZero"/>
        <c:auto val="1"/>
        <c:lblAlgn val="ctr"/>
        <c:lblOffset val="100"/>
        <c:noMultiLvlLbl val="0"/>
      </c:catAx>
      <c:valAx>
        <c:axId val="1512268032"/>
        <c:scaling>
          <c:orientation val="minMax"/>
        </c:scaling>
        <c:delete val="1"/>
        <c:axPos val="l"/>
        <c:numFmt formatCode="0%" sourceLinked="1"/>
        <c:majorTickMark val="none"/>
        <c:minorTickMark val="none"/>
        <c:tickLblPos val="nextTo"/>
        <c:crossAx val="15122723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'Ввод данных'!$A$33</c:f>
              <c:strCache>
                <c:ptCount val="1"/>
                <c:pt idx="0">
                  <c:v>Общий бюджет</c:v>
                </c:pt>
              </c:strCache>
            </c:strRef>
          </c:tx>
          <c:spPr>
            <a:solidFill>
              <a:srgbClr val="339966"/>
            </a:solidFill>
            <a:ln w="12700">
              <a:solidFill>
                <a:srgbClr val="000000"/>
              </a:solidFill>
              <a:prstDash val="solid"/>
            </a:ln>
          </c:spPr>
          <c:cat>
            <c:strRef>
              <c:f>'Ввод данных'!$B$30:$L$30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'Ввод данных'!$B$33:$L$33</c:f>
              <c:numCache>
                <c:formatCode>#,##0</c:formatCode>
                <c:ptCount val="11"/>
                <c:pt idx="0">
                  <c:v>3229329.58</c:v>
                </c:pt>
                <c:pt idx="1">
                  <c:v>7403519.0299999993</c:v>
                </c:pt>
                <c:pt idx="2">
                  <c:v>11939542.27</c:v>
                </c:pt>
                <c:pt idx="3">
                  <c:v>15710333.971765378</c:v>
                </c:pt>
                <c:pt idx="4">
                  <c:v>26019855.49922486</c:v>
                </c:pt>
              </c:numCache>
            </c:numRef>
          </c:val>
          <c:extLst>
            <c:ext xmlns:c16="http://schemas.microsoft.com/office/drawing/2014/chart" uri="{C3380CC4-5D6E-409C-BE32-E72D297353CC}">
              <c16:uniqueId val="{00000000-745B-4750-98B5-D01D83B5846C}"/>
            </c:ext>
          </c:extLst>
        </c:ser>
        <c:ser>
          <c:idx val="1"/>
          <c:order val="1"/>
          <c:tx>
            <c:strRef>
              <c:f>'Ввод данных'!$A$34</c:f>
              <c:strCache>
                <c:ptCount val="1"/>
                <c:pt idx="0">
                  <c:v>Общая сумма выплат</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'Ввод данных'!$B$30:$L$30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'Ввод данных'!$B$34:$L$34</c:f>
              <c:numCache>
                <c:formatCode>#,##0</c:formatCode>
                <c:ptCount val="11"/>
                <c:pt idx="0">
                  <c:v>9283289</c:v>
                </c:pt>
                <c:pt idx="1">
                  <c:v>12361316.41</c:v>
                </c:pt>
                <c:pt idx="2">
                  <c:v>17555626.91</c:v>
                </c:pt>
                <c:pt idx="3">
                  <c:v>24287193.91</c:v>
                </c:pt>
                <c:pt idx="4">
                  <c:v>25735624.52</c:v>
                </c:pt>
              </c:numCache>
            </c:numRef>
          </c:val>
          <c:extLst>
            <c:ext xmlns:c16="http://schemas.microsoft.com/office/drawing/2014/chart" uri="{C3380CC4-5D6E-409C-BE32-E72D297353CC}">
              <c16:uniqueId val="{00000001-745B-4750-98B5-D01D83B5846C}"/>
            </c:ext>
          </c:extLst>
        </c:ser>
        <c:dLbls>
          <c:showLegendKey val="0"/>
          <c:showVal val="0"/>
          <c:showCatName val="0"/>
          <c:showSerName val="0"/>
          <c:showPercent val="0"/>
          <c:showBubbleSize val="0"/>
        </c:dLbls>
        <c:dropLines>
          <c:spPr>
            <a:ln w="3175">
              <a:solidFill>
                <a:srgbClr val="000000"/>
              </a:solidFill>
              <a:prstDash val="solid"/>
            </a:ln>
          </c:spPr>
        </c:dropLines>
        <c:axId val="1512269664"/>
        <c:axId val="1512270208"/>
      </c:areaChart>
      <c:catAx>
        <c:axId val="1512269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ru-RU"/>
          </a:p>
        </c:txPr>
        <c:crossAx val="1512270208"/>
        <c:crosses val="autoZero"/>
        <c:auto val="1"/>
        <c:lblAlgn val="ctr"/>
        <c:lblOffset val="100"/>
        <c:tickLblSkip val="8"/>
        <c:tickMarkSkip val="1"/>
        <c:noMultiLvlLbl val="0"/>
      </c:catAx>
      <c:valAx>
        <c:axId val="1512270208"/>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ru-RU"/>
          </a:p>
        </c:txPr>
        <c:crossAx val="1512269664"/>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ru-RU"/>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ru-RU"/>
    </a:p>
  </c:txPr>
  <c:printSettings>
    <c:headerFooter alignWithMargins="0"/>
    <c:pageMargins b="1" l="0.75000000000000033" r="0.750000000000000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7684682629"/>
          <c:y val="3.9455782312925194E-2"/>
          <c:w val="0.84029484029484081"/>
          <c:h val="0.53469387755102082"/>
        </c:manualLayout>
      </c:layout>
      <c:barChart>
        <c:barDir val="col"/>
        <c:grouping val="clustered"/>
        <c:varyColors val="0"/>
        <c:ser>
          <c:idx val="0"/>
          <c:order val="0"/>
          <c:tx>
            <c:strRef>
              <c:f>Финансирование!$B$34</c:f>
              <c:strCache>
                <c:ptCount val="1"/>
                <c:pt idx="0">
                  <c:v>Совокупный бюджет</c:v>
                </c:pt>
              </c:strCache>
            </c:strRef>
          </c:tx>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'Ввод данных'!$A$39:$A$55</c:f>
              <c:strCache>
                <c:ptCount val="14"/>
                <c:pt idx="0">
                  <c:v>Профилактика - Работники секс-бизнеса и их клиенты</c:v>
                </c:pt>
                <c:pt idx="1">
                  <c:v>Профилактика - ПИН и их партнеры</c:v>
                </c:pt>
                <c:pt idx="2">
                  <c:v>Профилактика - Другие уязвимые группы населения </c:v>
                </c:pt>
                <c:pt idx="3">
                  <c:v>ППМР</c:v>
                </c:pt>
                <c:pt idx="4">
                  <c:v>Лечение, уход и поддержка </c:v>
                </c:pt>
                <c:pt idx="5">
                  <c:v>ТБ/ВИЧ</c:v>
                </c:pt>
                <c:pt idx="6">
                  <c:v>МЛУ-ТБ</c:v>
                </c:pt>
                <c:pt idx="7">
                  <c:v>Укрепление систем сообществ</c:v>
                </c:pt>
                <c:pt idx="8">
                  <c:v>УC3 - Информационные системы здравоохранения и МиО</c:v>
                </c:pt>
                <c:pt idx="9">
                  <c:v>Управление программой</c:v>
                </c:pt>
                <c:pt idx="10">
                  <c:v>Профилактика - заключенные </c:v>
                </c:pt>
                <c:pt idx="11">
                  <c:v>Профилактика - МСМ и трансгендерные лица</c:v>
                </c:pt>
                <c:pt idx="12">
                  <c:v>Устранение правовых барьеров к доступу</c:v>
                </c:pt>
                <c:pt idx="13">
                  <c:v>COVID-19</c:v>
                </c:pt>
              </c:strCache>
            </c:strRef>
          </c:cat>
          <c:val>
            <c:numRef>
              <c:f>'Ввод данных'!$B$39:$B$55</c:f>
              <c:numCache>
                <c:formatCode>#,##0</c:formatCode>
                <c:ptCount val="17"/>
                <c:pt idx="0">
                  <c:v>106252.72469827587</c:v>
                </c:pt>
                <c:pt idx="1">
                  <c:v>595662.05787846353</c:v>
                </c:pt>
                <c:pt idx="2">
                  <c:v>0</c:v>
                </c:pt>
                <c:pt idx="3">
                  <c:v>407</c:v>
                </c:pt>
                <c:pt idx="4">
                  <c:v>804007.3469109193</c:v>
                </c:pt>
                <c:pt idx="5">
                  <c:v>0</c:v>
                </c:pt>
                <c:pt idx="6">
                  <c:v>5446047.2591398051</c:v>
                </c:pt>
                <c:pt idx="7">
                  <c:v>104474.64631907888</c:v>
                </c:pt>
                <c:pt idx="8">
                  <c:v>65599.230356321845</c:v>
                </c:pt>
                <c:pt idx="9">
                  <c:v>1628422.5518335488</c:v>
                </c:pt>
                <c:pt idx="10">
                  <c:v>67142.554396551728</c:v>
                </c:pt>
                <c:pt idx="11">
                  <c:v>178783.95862068961</c:v>
                </c:pt>
                <c:pt idx="12">
                  <c:v>382691.26820007851</c:v>
                </c:pt>
                <c:pt idx="13">
                  <c:v>930030.92910574703</c:v>
                </c:pt>
              </c:numCache>
            </c:numRef>
          </c:val>
          <c:extLst>
            <c:ext xmlns:c16="http://schemas.microsoft.com/office/drawing/2014/chart" uri="{C3380CC4-5D6E-409C-BE32-E72D297353CC}">
              <c16:uniqueId val="{00000000-9781-4CCF-A4C6-D7FD3E46F947}"/>
            </c:ext>
          </c:extLst>
        </c:ser>
        <c:ser>
          <c:idx val="1"/>
          <c:order val="1"/>
          <c:tx>
            <c:strRef>
              <c:f>Финансирование!$B$36</c:f>
              <c:strCache>
                <c:ptCount val="1"/>
                <c:pt idx="0">
                  <c:v>Совокупные расходы</c:v>
                </c:pt>
              </c:strCache>
            </c:strRef>
          </c:tx>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'Ввод данных'!$A$39:$A$55</c:f>
              <c:strCache>
                <c:ptCount val="14"/>
                <c:pt idx="0">
                  <c:v>Профилактика - Работники секс-бизнеса и их клиенты</c:v>
                </c:pt>
                <c:pt idx="1">
                  <c:v>Профилактика - ПИН и их партнеры</c:v>
                </c:pt>
                <c:pt idx="2">
                  <c:v>Профилактика - Другие уязвимые группы населения </c:v>
                </c:pt>
                <c:pt idx="3">
                  <c:v>ППМР</c:v>
                </c:pt>
                <c:pt idx="4">
                  <c:v>Лечение, уход и поддержка </c:v>
                </c:pt>
                <c:pt idx="5">
                  <c:v>ТБ/ВИЧ</c:v>
                </c:pt>
                <c:pt idx="6">
                  <c:v>МЛУ-ТБ</c:v>
                </c:pt>
                <c:pt idx="7">
                  <c:v>Укрепление систем сообществ</c:v>
                </c:pt>
                <c:pt idx="8">
                  <c:v>УC3 - Информационные системы здравоохранения и МиО</c:v>
                </c:pt>
                <c:pt idx="9">
                  <c:v>Управление программой</c:v>
                </c:pt>
                <c:pt idx="10">
                  <c:v>Профилактика - заключенные </c:v>
                </c:pt>
                <c:pt idx="11">
                  <c:v>Профилактика - МСМ и трансгендерные лица</c:v>
                </c:pt>
                <c:pt idx="12">
                  <c:v>Устранение правовых барьеров к доступу</c:v>
                </c:pt>
                <c:pt idx="13">
                  <c:v>COVID-19</c:v>
                </c:pt>
              </c:strCache>
            </c:strRef>
          </c:cat>
          <c:val>
            <c:numRef>
              <c:f>'Ввод данных'!$C$39:$C$55</c:f>
              <c:numCache>
                <c:formatCode>#,##0</c:formatCode>
                <c:ptCount val="17"/>
                <c:pt idx="0">
                  <c:v>85463.37</c:v>
                </c:pt>
                <c:pt idx="1">
                  <c:v>410952.24999999994</c:v>
                </c:pt>
                <c:pt idx="2">
                  <c:v>0</c:v>
                </c:pt>
                <c:pt idx="3">
                  <c:v>243.59999999999991</c:v>
                </c:pt>
                <c:pt idx="4">
                  <c:v>690051.82999999984</c:v>
                </c:pt>
                <c:pt idx="5">
                  <c:v>0</c:v>
                </c:pt>
                <c:pt idx="6">
                  <c:v>4898427.4000000022</c:v>
                </c:pt>
                <c:pt idx="7">
                  <c:v>128704.88</c:v>
                </c:pt>
                <c:pt idx="8">
                  <c:v>90166.680000000022</c:v>
                </c:pt>
                <c:pt idx="9">
                  <c:v>1174633.4878000002</c:v>
                </c:pt>
                <c:pt idx="10">
                  <c:v>54679.600000000006</c:v>
                </c:pt>
                <c:pt idx="11">
                  <c:v>155663.06000000003</c:v>
                </c:pt>
                <c:pt idx="12">
                  <c:v>383630.82999999984</c:v>
                </c:pt>
                <c:pt idx="13">
                  <c:v>1054817.1921999999</c:v>
                </c:pt>
              </c:numCache>
            </c:numRef>
          </c:val>
          <c:extLst>
            <c:ext xmlns:c16="http://schemas.microsoft.com/office/drawing/2014/chart" uri="{C3380CC4-5D6E-409C-BE32-E72D297353CC}">
              <c16:uniqueId val="{00000001-9781-4CCF-A4C6-D7FD3E46F947}"/>
            </c:ext>
          </c:extLst>
        </c:ser>
        <c:dLbls>
          <c:showLegendKey val="0"/>
          <c:showVal val="0"/>
          <c:showCatName val="0"/>
          <c:showSerName val="0"/>
          <c:showPercent val="0"/>
          <c:showBubbleSize val="0"/>
        </c:dLbls>
        <c:gapWidth val="150"/>
        <c:axId val="1388297024"/>
        <c:axId val="1388292128"/>
      </c:barChart>
      <c:catAx>
        <c:axId val="138829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u-RU"/>
          </a:p>
        </c:txPr>
        <c:crossAx val="1388292128"/>
        <c:crosses val="autoZero"/>
        <c:auto val="1"/>
        <c:lblAlgn val="ctr"/>
        <c:lblOffset val="100"/>
        <c:tickMarkSkip val="1"/>
        <c:noMultiLvlLbl val="0"/>
      </c:catAx>
      <c:valAx>
        <c:axId val="138829212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ru-RU"/>
          </a:p>
        </c:txPr>
        <c:crossAx val="138829702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ru-RU"/>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ru-RU"/>
    </a:p>
  </c:txPr>
  <c:printSettings>
    <c:headerFooter alignWithMargins="0"/>
    <c:pageMargins b="1" l="0.75000000000000033" r="0.7500000000000003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11323416452564"/>
          <c:y val="8.1447963800904979E-2"/>
          <c:w val="0.73584990401346972"/>
          <c:h val="0.61085972850678782"/>
        </c:manualLayout>
      </c:layout>
      <c:barChart>
        <c:barDir val="col"/>
        <c:grouping val="stacked"/>
        <c:varyColors val="0"/>
        <c:ser>
          <c:idx val="0"/>
          <c:order val="0"/>
          <c:spPr>
            <a:solidFill>
              <a:srgbClr val="4F81BD"/>
            </a:solidFill>
            <a:ln w="12700">
              <a:solidFill>
                <a:srgbClr val="000000"/>
              </a:solidFill>
              <a:prstDash val="solid"/>
            </a:ln>
          </c:spPr>
          <c:invertIfNegative val="0"/>
          <c:cat>
            <c:strRef>
              <c:f>'Ввод данных'!$A$61:$A$64</c:f>
              <c:strCache>
                <c:ptCount val="4"/>
                <c:pt idx="0">
                  <c:v>Выплачено Глобальным фондом</c:v>
                </c:pt>
                <c:pt idx="1">
                  <c:v>Расходы и платежи ОР</c:v>
                </c:pt>
                <c:pt idx="2">
                  <c:v>Выплачено субреципиентам</c:v>
                </c:pt>
                <c:pt idx="3">
                  <c:v>Расходы субреципиентов</c:v>
                </c:pt>
              </c:strCache>
            </c:strRef>
          </c:cat>
          <c:val>
            <c:numRef>
              <c:f>'Ввод данных'!$B$61:$B$64</c:f>
              <c:numCache>
                <c:formatCode>#,##0</c:formatCode>
                <c:ptCount val="4"/>
                <c:pt idx="0">
                  <c:v>24287193.91</c:v>
                </c:pt>
                <c:pt idx="1">
                  <c:v>11556213.720000058</c:v>
                </c:pt>
                <c:pt idx="2">
                  <c:v>4046329.33</c:v>
                </c:pt>
                <c:pt idx="3">
                  <c:v>3836577.71</c:v>
                </c:pt>
              </c:numCache>
            </c:numRef>
          </c:val>
          <c:extLst>
            <c:ext xmlns:c16="http://schemas.microsoft.com/office/drawing/2014/chart" uri="{C3380CC4-5D6E-409C-BE32-E72D297353CC}">
              <c16:uniqueId val="{00000000-5069-486C-9143-BDD348A3A87F}"/>
            </c:ext>
          </c:extLst>
        </c:ser>
        <c:ser>
          <c:idx val="1"/>
          <c:order val="1"/>
          <c:spPr>
            <a:solidFill>
              <a:srgbClr val="C6D9F1"/>
            </a:solidFill>
            <a:ln w="12700">
              <a:solidFill>
                <a:srgbClr val="000000"/>
              </a:solidFill>
              <a:prstDash val="solid"/>
            </a:ln>
          </c:spPr>
          <c:invertIfNegative val="0"/>
          <c:cat>
            <c:strRef>
              <c:f>'Ввод данных'!$A$61:$A$64</c:f>
              <c:strCache>
                <c:ptCount val="4"/>
                <c:pt idx="0">
                  <c:v>Выплачено Глобальным фондом</c:v>
                </c:pt>
                <c:pt idx="1">
                  <c:v>Расходы и платежи ОР</c:v>
                </c:pt>
                <c:pt idx="2">
                  <c:v>Выплачено субреципиентам</c:v>
                </c:pt>
                <c:pt idx="3">
                  <c:v>Расходы субреципиентов</c:v>
                </c:pt>
              </c:strCache>
            </c:strRef>
          </c:cat>
          <c:val>
            <c:numRef>
              <c:f>'Ввод данных'!$C$61:$C$64</c:f>
              <c:numCache>
                <c:formatCode>#,##0</c:formatCode>
                <c:ptCount val="4"/>
                <c:pt idx="0">
                  <c:v>1448430.6099999999</c:v>
                </c:pt>
                <c:pt idx="1">
                  <c:v>9114391.3457666282</c:v>
                </c:pt>
                <c:pt idx="2">
                  <c:v>1200678.5199999984</c:v>
                </c:pt>
                <c:pt idx="3">
                  <c:v>1292802.0374460206</c:v>
                </c:pt>
              </c:numCache>
            </c:numRef>
          </c:val>
          <c:extLst>
            <c:ext xmlns:c16="http://schemas.microsoft.com/office/drawing/2014/chart" uri="{C3380CC4-5D6E-409C-BE32-E72D297353CC}">
              <c16:uniqueId val="{00000001-5069-486C-9143-BDD348A3A87F}"/>
            </c:ext>
          </c:extLst>
        </c:ser>
        <c:dLbls>
          <c:showLegendKey val="0"/>
          <c:showVal val="0"/>
          <c:showCatName val="0"/>
          <c:showSerName val="0"/>
          <c:showPercent val="0"/>
          <c:showBubbleSize val="0"/>
        </c:dLbls>
        <c:gapWidth val="150"/>
        <c:overlap val="100"/>
        <c:axId val="1388286688"/>
        <c:axId val="1388282880"/>
      </c:barChart>
      <c:catAx>
        <c:axId val="1388286688"/>
        <c:scaling>
          <c:orientation val="minMax"/>
        </c:scaling>
        <c:delete val="0"/>
        <c:axPos val="b"/>
        <c:numFmt formatCode="General" sourceLinked="1"/>
        <c:majorTickMark val="none"/>
        <c:minorTickMark val="none"/>
        <c:tickLblPos val="nextTo"/>
        <c:crossAx val="1388282880"/>
        <c:crosses val="autoZero"/>
        <c:auto val="1"/>
        <c:lblAlgn val="ctr"/>
        <c:lblOffset val="100"/>
        <c:noMultiLvlLbl val="0"/>
      </c:catAx>
      <c:valAx>
        <c:axId val="1388282880"/>
        <c:scaling>
          <c:orientation val="minMax"/>
        </c:scaling>
        <c:delete val="0"/>
        <c:axPos val="l"/>
        <c:majorGridlines/>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ru-RU"/>
          </a:p>
        </c:txPr>
        <c:crossAx val="1388286688"/>
        <c:crosses val="autoZero"/>
        <c:crossBetween val="between"/>
      </c:valAx>
      <c:dTable>
        <c:showHorzBorder val="1"/>
        <c:showVertBorder val="1"/>
        <c:showOutline val="1"/>
        <c:showKeys val="1"/>
        <c:txPr>
          <a:bodyPr/>
          <a:lstStyle/>
          <a:p>
            <a:pPr rtl="0">
              <a:defRPr sz="500" baseline="0"/>
            </a:pPr>
            <a:endParaRPr lang="ru-RU"/>
          </a:p>
        </c:txPr>
      </c:dTable>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785501950377748"/>
          <c:y val="8.7064591064048028E-2"/>
          <c:w val="0.60327318841303279"/>
          <c:h val="0.55248767828383549"/>
        </c:manualLayout>
      </c:layout>
      <c:barChart>
        <c:barDir val="bar"/>
        <c:grouping val="percentStacked"/>
        <c:varyColors val="0"/>
        <c:ser>
          <c:idx val="1"/>
          <c:order val="0"/>
          <c:tx>
            <c:v>Получено</c:v>
          </c:tx>
          <c:spPr>
            <a:solidFill>
              <a:schemeClr val="accent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10EC-4E35-BA7D-5D43EEA8A97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'Ввод данных'!$A$102:$A$106</c:f>
              <c:strCache>
                <c:ptCount val="5"/>
                <c:pt idx="1">
                  <c:v>Отчеты ССР для СР ВИЧ/СПИД</c:v>
                </c:pt>
                <c:pt idx="2">
                  <c:v>Отчеты СР для ОР ВИЧ СПИД</c:v>
                </c:pt>
                <c:pt idx="3">
                  <c:v>Отчеты ССР для СР ТБ</c:v>
                </c:pt>
                <c:pt idx="4">
                  <c:v>Отчеты СР для ОР ТБ</c:v>
                </c:pt>
              </c:strCache>
            </c:strRef>
          </c:cat>
          <c:val>
            <c:numRef>
              <c:f>'Ввод данных'!$C$102:$C$106</c:f>
              <c:numCache>
                <c:formatCode>0</c:formatCode>
                <c:ptCount val="5"/>
                <c:pt idx="0" formatCode="General">
                  <c:v>0</c:v>
                </c:pt>
                <c:pt idx="1">
                  <c:v>0</c:v>
                </c:pt>
                <c:pt idx="2">
                  <c:v>28</c:v>
                </c:pt>
                <c:pt idx="4">
                  <c:v>11</c:v>
                </c:pt>
              </c:numCache>
            </c:numRef>
          </c:val>
          <c:extLst>
            <c:ext xmlns:c16="http://schemas.microsoft.com/office/drawing/2014/chart" uri="{C3380CC4-5D6E-409C-BE32-E72D297353CC}">
              <c16:uniqueId val="{00000001-10EC-4E35-BA7D-5D43EEA8A97D}"/>
            </c:ext>
          </c:extLst>
        </c:ser>
        <c:ser>
          <c:idx val="2"/>
          <c:order val="1"/>
          <c:tx>
            <c:v>Ожидаемых к получению</c:v>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10EC-4E35-BA7D-5D43EEA8A97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'Ввод данных'!$A$102:$A$106</c:f>
              <c:strCache>
                <c:ptCount val="5"/>
                <c:pt idx="1">
                  <c:v>Отчеты ССР для СР ВИЧ/СПИД</c:v>
                </c:pt>
                <c:pt idx="2">
                  <c:v>Отчеты СР для ОР ВИЧ СПИД</c:v>
                </c:pt>
                <c:pt idx="3">
                  <c:v>Отчеты ССР для СР ТБ</c:v>
                </c:pt>
                <c:pt idx="4">
                  <c:v>Отчеты СР для ОР ТБ</c:v>
                </c:pt>
              </c:strCache>
            </c:strRef>
          </c:cat>
          <c:val>
            <c:numRef>
              <c:f>'Ввод данных'!$D$102:$D$106</c:f>
              <c:numCache>
                <c:formatCode>0</c:formatCode>
                <c:ptCount val="5"/>
                <c:pt idx="0" formatCode="General">
                  <c:v>0</c:v>
                </c:pt>
                <c:pt idx="1">
                  <c:v>0</c:v>
                </c:pt>
                <c:pt idx="2">
                  <c:v>0</c:v>
                </c:pt>
                <c:pt idx="3">
                  <c:v>0</c:v>
                </c:pt>
                <c:pt idx="4">
                  <c:v>0</c:v>
                </c:pt>
              </c:numCache>
            </c:numRef>
          </c:val>
          <c:extLst>
            <c:ext xmlns:c16="http://schemas.microsoft.com/office/drawing/2014/chart" uri="{C3380CC4-5D6E-409C-BE32-E72D297353CC}">
              <c16:uniqueId val="{00000003-10EC-4E35-BA7D-5D43EEA8A97D}"/>
            </c:ext>
          </c:extLst>
        </c:ser>
        <c:dLbls>
          <c:showLegendKey val="0"/>
          <c:showVal val="0"/>
          <c:showCatName val="0"/>
          <c:showSerName val="0"/>
          <c:showPercent val="0"/>
          <c:showBubbleSize val="0"/>
        </c:dLbls>
        <c:gapWidth val="150"/>
        <c:overlap val="100"/>
        <c:axId val="1388293216"/>
        <c:axId val="1388288320"/>
      </c:barChart>
      <c:catAx>
        <c:axId val="13882932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388288320"/>
        <c:crosses val="autoZero"/>
        <c:auto val="1"/>
        <c:lblAlgn val="ctr"/>
        <c:lblOffset val="100"/>
        <c:noMultiLvlLbl val="0"/>
      </c:catAx>
      <c:valAx>
        <c:axId val="138828832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low"/>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388293216"/>
        <c:crosses val="max"/>
        <c:crossBetween val="between"/>
      </c:valAx>
      <c:spPr>
        <a:noFill/>
        <a:ln>
          <a:noFill/>
        </a:ln>
        <a:effectLst/>
      </c:spPr>
    </c:plotArea>
    <c:legend>
      <c:legendPos val="b"/>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Entry>
      <c:legendEntry>
        <c:idx val="1"/>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Entry>
      <c:layout>
        <c:manualLayout>
          <c:xMode val="edge"/>
          <c:yMode val="edge"/>
          <c:x val="0.29364558711928962"/>
          <c:y val="0.80823145428488985"/>
          <c:w val="0.45690772078904501"/>
          <c:h val="0.1046518441546265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1" l="0.75000000000000033" r="0.750000000000000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'Ввод данных'!$A$90</c:f>
              <c:strCache>
                <c:ptCount val="1"/>
                <c:pt idx="0">
                  <c:v>ВИЧ/СПИД</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данных'!$B$89:$D$89</c:f>
              <c:strCache>
                <c:ptCount val="3"/>
                <c:pt idx="0">
                  <c:v>Запланировано</c:v>
                </c:pt>
                <c:pt idx="1">
                  <c:v>Заполнено</c:v>
                </c:pt>
                <c:pt idx="2">
                  <c:v>Вакантно</c:v>
                </c:pt>
              </c:strCache>
            </c:strRef>
          </c:cat>
          <c:val>
            <c:numRef>
              <c:f>'Ввод данных'!$B$90:$D$90</c:f>
              <c:numCache>
                <c:formatCode>0</c:formatCode>
                <c:ptCount val="3"/>
                <c:pt idx="0">
                  <c:v>4</c:v>
                </c:pt>
                <c:pt idx="1">
                  <c:v>4</c:v>
                </c:pt>
                <c:pt idx="2">
                  <c:v>0</c:v>
                </c:pt>
              </c:numCache>
            </c:numRef>
          </c:val>
          <c:extLst>
            <c:ext xmlns:c16="http://schemas.microsoft.com/office/drawing/2014/chart" uri="{C3380CC4-5D6E-409C-BE32-E72D297353CC}">
              <c16:uniqueId val="{00000000-274B-4005-864A-0DDDFC5C7C10}"/>
            </c:ext>
          </c:extLst>
        </c:ser>
        <c:ser>
          <c:idx val="0"/>
          <c:order val="1"/>
          <c:tx>
            <c:strRef>
              <c:f>'Ввод данных'!$A$91</c:f>
              <c:strCache>
                <c:ptCount val="1"/>
                <c:pt idx="0">
                  <c:v>ТБ</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данных'!$B$89:$D$89</c:f>
              <c:strCache>
                <c:ptCount val="3"/>
                <c:pt idx="0">
                  <c:v>Запланировано</c:v>
                </c:pt>
                <c:pt idx="1">
                  <c:v>Заполнено</c:v>
                </c:pt>
                <c:pt idx="2">
                  <c:v>Вакантно</c:v>
                </c:pt>
              </c:strCache>
            </c:strRef>
          </c:cat>
          <c:val>
            <c:numRef>
              <c:f>'Ввод данных'!$B$91:$D$91</c:f>
              <c:numCache>
                <c:formatCode>0</c:formatCode>
                <c:ptCount val="3"/>
                <c:pt idx="0" formatCode="General">
                  <c:v>2</c:v>
                </c:pt>
                <c:pt idx="1">
                  <c:v>2</c:v>
                </c:pt>
                <c:pt idx="2">
                  <c:v>0</c:v>
                </c:pt>
              </c:numCache>
            </c:numRef>
          </c:val>
          <c:extLst>
            <c:ext xmlns:c16="http://schemas.microsoft.com/office/drawing/2014/chart" uri="{C3380CC4-5D6E-409C-BE32-E72D297353CC}">
              <c16:uniqueId val="{00000001-6F9B-4B25-914D-D5664FA4C833}"/>
            </c:ext>
          </c:extLst>
        </c:ser>
        <c:ser>
          <c:idx val="2"/>
          <c:order val="2"/>
          <c:tx>
            <c:strRef>
              <c:f>'Ввод данных'!$A$92</c:f>
              <c:strCache>
                <c:ptCount val="1"/>
                <c:pt idx="0">
                  <c:v>Общее (оба компонента)</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данных'!$B$89:$D$89</c:f>
              <c:strCache>
                <c:ptCount val="3"/>
                <c:pt idx="0">
                  <c:v>Запланировано</c:v>
                </c:pt>
                <c:pt idx="1">
                  <c:v>Заполнено</c:v>
                </c:pt>
                <c:pt idx="2">
                  <c:v>Вакантно</c:v>
                </c:pt>
              </c:strCache>
            </c:strRef>
          </c:cat>
          <c:val>
            <c:numRef>
              <c:f>'Ввод данных'!$B$92:$D$92</c:f>
              <c:numCache>
                <c:formatCode>0</c:formatCode>
                <c:ptCount val="3"/>
                <c:pt idx="0" formatCode="General">
                  <c:v>16</c:v>
                </c:pt>
                <c:pt idx="1">
                  <c:v>13</c:v>
                </c:pt>
                <c:pt idx="2">
                  <c:v>3</c:v>
                </c:pt>
              </c:numCache>
            </c:numRef>
          </c:val>
          <c:extLst>
            <c:ext xmlns:c16="http://schemas.microsoft.com/office/drawing/2014/chart" uri="{C3380CC4-5D6E-409C-BE32-E72D297353CC}">
              <c16:uniqueId val="{00000002-6F9B-4B25-914D-D5664FA4C833}"/>
            </c:ext>
          </c:extLst>
        </c:ser>
        <c:dLbls>
          <c:showLegendKey val="0"/>
          <c:showVal val="1"/>
          <c:showCatName val="0"/>
          <c:showSerName val="0"/>
          <c:showPercent val="0"/>
          <c:showBubbleSize val="0"/>
        </c:dLbls>
        <c:gapWidth val="150"/>
        <c:overlap val="-25"/>
        <c:axId val="1511063280"/>
        <c:axId val="1511061648"/>
      </c:barChart>
      <c:catAx>
        <c:axId val="1511063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61648"/>
        <c:crosses val="autoZero"/>
        <c:auto val="1"/>
        <c:lblAlgn val="ctr"/>
        <c:lblOffset val="100"/>
        <c:noMultiLvlLbl val="0"/>
      </c:catAx>
      <c:valAx>
        <c:axId val="1511061648"/>
        <c:scaling>
          <c:orientation val="minMax"/>
        </c:scaling>
        <c:delete val="1"/>
        <c:axPos val="l"/>
        <c:numFmt formatCode="0" sourceLinked="1"/>
        <c:majorTickMark val="none"/>
        <c:minorTickMark val="none"/>
        <c:tickLblPos val="nextTo"/>
        <c:crossAx val="15110632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spPr>
            <a:solidFill>
              <a:schemeClr val="accent1"/>
            </a:solidFill>
            <a:ln>
              <a:noFill/>
            </a:ln>
            <a:effectLst/>
          </c:spPr>
          <c:invertIfNegative val="0"/>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Lit>
              <c:formatCode>General</c:formatCode>
              <c:ptCount val="4"/>
              <c:pt idx="0">
                <c:v>0</c:v>
              </c:pt>
              <c:pt idx="1">
                <c:v>0</c:v>
              </c:pt>
              <c:pt idx="2">
                <c:v>0</c:v>
              </c:pt>
              <c:pt idx="3">
                <c:v>0</c:v>
              </c:pt>
            </c:numLit>
          </c:val>
          <c:extLst>
            <c:ext xmlns:c16="http://schemas.microsoft.com/office/drawing/2014/chart" uri="{C3380CC4-5D6E-409C-BE32-E72D297353CC}">
              <c16:uniqueId val="{00000000-9E67-4D7D-BE0E-C99C3E701244}"/>
            </c:ext>
          </c:extLst>
        </c:ser>
        <c:ser>
          <c:idx val="1"/>
          <c:order val="1"/>
          <c:tx>
            <c:strRef>
              <c:f>'Ввод данных'!$C$80</c:f>
              <c:strCache>
                <c:ptCount val="1"/>
                <c:pt idx="0">
                  <c:v>Выполненные</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'Ввод данных'!$C$81:$C$84</c:f>
              <c:numCache>
                <c:formatCode>0</c:formatCode>
                <c:ptCount val="4"/>
                <c:pt idx="0">
                  <c:v>0</c:v>
                </c:pt>
                <c:pt idx="1">
                  <c:v>0</c:v>
                </c:pt>
                <c:pt idx="2">
                  <c:v>0</c:v>
                </c:pt>
                <c:pt idx="3">
                  <c:v>0</c:v>
                </c:pt>
              </c:numCache>
            </c:numRef>
          </c:val>
          <c:extLst>
            <c:ext xmlns:c16="http://schemas.microsoft.com/office/drawing/2014/chart" uri="{C3380CC4-5D6E-409C-BE32-E72D297353CC}">
              <c16:uniqueId val="{00000001-9E67-4D7D-BE0E-C99C3E701244}"/>
            </c:ext>
          </c:extLst>
        </c:ser>
        <c:ser>
          <c:idx val="2"/>
          <c:order val="2"/>
          <c:tx>
            <c:strRef>
              <c:f>'Ввод данных'!$D$80</c:f>
              <c:strCache>
                <c:ptCount val="1"/>
                <c:pt idx="0">
                  <c:v>Невыполненные, но непросроченные</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'Ввод данных'!$D$81:$D$84</c:f>
              <c:numCache>
                <c:formatCode>0</c:formatCode>
                <c:ptCount val="4"/>
                <c:pt idx="0">
                  <c:v>0</c:v>
                </c:pt>
                <c:pt idx="1">
                  <c:v>0</c:v>
                </c:pt>
                <c:pt idx="2">
                  <c:v>0</c:v>
                </c:pt>
                <c:pt idx="3">
                  <c:v>0</c:v>
                </c:pt>
              </c:numCache>
            </c:numRef>
          </c:val>
          <c:extLst>
            <c:ext xmlns:c16="http://schemas.microsoft.com/office/drawing/2014/chart" uri="{C3380CC4-5D6E-409C-BE32-E72D297353CC}">
              <c16:uniqueId val="{00000002-9E67-4D7D-BE0E-C99C3E701244}"/>
            </c:ext>
          </c:extLst>
        </c:ser>
        <c:ser>
          <c:idx val="3"/>
          <c:order val="3"/>
          <c:tx>
            <c:v>Невыполненные и просроченные</c:v>
          </c:tx>
          <c:spPr>
            <a:solidFill>
              <a:schemeClr val="accent1">
                <a:lumMod val="60000"/>
              </a:schemeClr>
            </a:solidFill>
            <a:ln>
              <a:noFill/>
            </a:ln>
            <a:effectLst/>
          </c:spPr>
          <c:invertIfNegative val="0"/>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Lit>
              <c:formatCode>General</c:formatCode>
              <c:ptCount val="4"/>
              <c:pt idx="0">
                <c:v>0</c:v>
              </c:pt>
              <c:pt idx="1">
                <c:v>0</c:v>
              </c:pt>
              <c:pt idx="2">
                <c:v>0</c:v>
              </c:pt>
              <c:pt idx="3">
                <c:v>0</c:v>
              </c:pt>
            </c:numLit>
          </c:val>
          <c:extLst>
            <c:ext xmlns:c16="http://schemas.microsoft.com/office/drawing/2014/chart" uri="{C3380CC4-5D6E-409C-BE32-E72D297353CC}">
              <c16:uniqueId val="{00000003-9E67-4D7D-BE0E-C99C3E701244}"/>
            </c:ext>
          </c:extLst>
        </c:ser>
        <c:dLbls>
          <c:showLegendKey val="0"/>
          <c:showVal val="0"/>
          <c:showCatName val="0"/>
          <c:showSerName val="0"/>
          <c:showPercent val="0"/>
          <c:showBubbleSize val="0"/>
        </c:dLbls>
        <c:gapWidth val="55"/>
        <c:overlap val="100"/>
        <c:axId val="1511067088"/>
        <c:axId val="1511068720"/>
      </c:barChart>
      <c:catAx>
        <c:axId val="15110670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68720"/>
        <c:crosses val="autoZero"/>
        <c:auto val="1"/>
        <c:lblAlgn val="ctr"/>
        <c:lblOffset val="100"/>
        <c:tickLblSkip val="1"/>
        <c:tickMarkSkip val="1"/>
        <c:noMultiLvlLbl val="0"/>
      </c:catAx>
      <c:valAx>
        <c:axId val="1511068720"/>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511067088"/>
        <c:crosses val="autoZero"/>
        <c:crossBetween val="between"/>
      </c:valAx>
      <c:spPr>
        <a:noFill/>
        <a:ln>
          <a:noFill/>
        </a:ln>
        <a:effectLst/>
      </c:spPr>
    </c:plotArea>
    <c:legend>
      <c:legendPos val="r"/>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alignWithMargins="0"/>
    <c:pageMargins b="1" l="0.75000000000000033" r="0.75000000000000033"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'Ввод данных'!$A$90</c:f>
              <c:strCache>
                <c:ptCount val="1"/>
                <c:pt idx="0">
                  <c:v>ВИЧ/СПИД</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данных'!$B$96:$F$96</c:f>
              <c:strCache>
                <c:ptCount val="5"/>
                <c:pt idx="0">
                  <c:v>Определеные</c:v>
                </c:pt>
                <c:pt idx="1">
                  <c:v>Прошедшие оценку</c:v>
                </c:pt>
                <c:pt idx="2">
                  <c:v>Одобренные</c:v>
                </c:pt>
                <c:pt idx="3">
                  <c:v>Подписавшие соглашение</c:v>
                </c:pt>
                <c:pt idx="4">
                  <c:v>Получающие финансирование</c:v>
                </c:pt>
              </c:strCache>
            </c:strRef>
          </c:cat>
          <c:val>
            <c:numRef>
              <c:f>'Ввод данных'!$B$97:$F$97</c:f>
              <c:numCache>
                <c:formatCode>General</c:formatCode>
                <c:ptCount val="5"/>
                <c:pt idx="0">
                  <c:v>22</c:v>
                </c:pt>
                <c:pt idx="1">
                  <c:v>22</c:v>
                </c:pt>
                <c:pt idx="2">
                  <c:v>22</c:v>
                </c:pt>
                <c:pt idx="3">
                  <c:v>22</c:v>
                </c:pt>
                <c:pt idx="4">
                  <c:v>22</c:v>
                </c:pt>
              </c:numCache>
            </c:numRef>
          </c:val>
          <c:extLst>
            <c:ext xmlns:c16="http://schemas.microsoft.com/office/drawing/2014/chart" uri="{C3380CC4-5D6E-409C-BE32-E72D297353CC}">
              <c16:uniqueId val="{00000000-3C2F-4B91-B11C-0BA014ED291D}"/>
            </c:ext>
          </c:extLst>
        </c:ser>
        <c:ser>
          <c:idx val="1"/>
          <c:order val="1"/>
          <c:tx>
            <c:strRef>
              <c:f>'Ввод данных'!$A$92</c:f>
              <c:strCache>
                <c:ptCount val="1"/>
                <c:pt idx="0">
                  <c:v>Общее (оба компонента)</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данных'!$B$96:$F$96</c:f>
              <c:strCache>
                <c:ptCount val="5"/>
                <c:pt idx="0">
                  <c:v>Определеные</c:v>
                </c:pt>
                <c:pt idx="1">
                  <c:v>Прошедшие оценку</c:v>
                </c:pt>
                <c:pt idx="2">
                  <c:v>Одобренные</c:v>
                </c:pt>
                <c:pt idx="3">
                  <c:v>Подписавшие соглашение</c:v>
                </c:pt>
                <c:pt idx="4">
                  <c:v>Получающие финансирование</c:v>
                </c:pt>
              </c:strCache>
            </c:strRef>
          </c:cat>
          <c:val>
            <c:numRef>
              <c:f>'Ввод данных'!$B$98:$F$98</c:f>
              <c:numCache>
                <c:formatCode>General</c:formatCode>
                <c:ptCount val="5"/>
                <c:pt idx="0">
                  <c:v>3</c:v>
                </c:pt>
                <c:pt idx="1">
                  <c:v>11</c:v>
                </c:pt>
                <c:pt idx="2">
                  <c:v>11</c:v>
                </c:pt>
                <c:pt idx="3">
                  <c:v>11</c:v>
                </c:pt>
                <c:pt idx="4">
                  <c:v>11</c:v>
                </c:pt>
              </c:numCache>
            </c:numRef>
          </c:val>
          <c:extLst>
            <c:ext xmlns:c16="http://schemas.microsoft.com/office/drawing/2014/chart" uri="{C3380CC4-5D6E-409C-BE32-E72D297353CC}">
              <c16:uniqueId val="{00000001-3C2F-4B91-B11C-0BA014ED291D}"/>
            </c:ext>
          </c:extLst>
        </c:ser>
        <c:dLbls>
          <c:showLegendKey val="0"/>
          <c:showVal val="1"/>
          <c:showCatName val="0"/>
          <c:showSerName val="0"/>
          <c:showPercent val="0"/>
          <c:showBubbleSize val="0"/>
        </c:dLbls>
        <c:gapWidth val="150"/>
        <c:overlap val="-25"/>
        <c:axId val="1511067632"/>
        <c:axId val="1511058928"/>
      </c:barChart>
      <c:catAx>
        <c:axId val="151106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58928"/>
        <c:crosses val="autoZero"/>
        <c:auto val="1"/>
        <c:lblAlgn val="ctr"/>
        <c:lblOffset val="100"/>
        <c:noMultiLvlLbl val="0"/>
      </c:catAx>
      <c:valAx>
        <c:axId val="1511058928"/>
        <c:scaling>
          <c:orientation val="minMax"/>
        </c:scaling>
        <c:delete val="1"/>
        <c:axPos val="l"/>
        <c:numFmt formatCode="General" sourceLinked="1"/>
        <c:majorTickMark val="none"/>
        <c:minorTickMark val="none"/>
        <c:tickLblPos val="nextTo"/>
        <c:crossAx val="15110676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'Ввод данных'!$A$114</c:f>
              <c:strCache>
                <c:ptCount val="1"/>
                <c:pt idx="0">
                  <c:v>Совокупный утвердженный бюджет*</c:v>
                </c:pt>
              </c:strCache>
            </c:strRef>
          </c:tx>
          <c:spPr>
            <a:solidFill>
              <a:schemeClr val="accent1"/>
            </a:solidFill>
            <a:ln>
              <a:noFill/>
            </a:ln>
            <a:effectLst/>
          </c:spPr>
          <c:invertIfNegative val="0"/>
          <c:cat>
            <c:strRef>
              <c:f>'Ввод данных'!$B$110:$F$110</c:f>
              <c:strCache>
                <c:ptCount val="5"/>
                <c:pt idx="0">
                  <c:v>P1</c:v>
                </c:pt>
                <c:pt idx="1">
                  <c:v>P2</c:v>
                </c:pt>
                <c:pt idx="2">
                  <c:v>P3</c:v>
                </c:pt>
                <c:pt idx="3">
                  <c:v>P4</c:v>
                </c:pt>
                <c:pt idx="4">
                  <c:v>P5</c:v>
                </c:pt>
              </c:strCache>
            </c:strRef>
          </c:cat>
          <c:val>
            <c:numRef>
              <c:f>'Ввод данных'!$B$114:$F$114</c:f>
              <c:numCache>
                <c:formatCode>#,##0</c:formatCode>
                <c:ptCount val="5"/>
                <c:pt idx="0">
                  <c:v>1337830.7000000002</c:v>
                </c:pt>
                <c:pt idx="1">
                  <c:v>3713496.08</c:v>
                </c:pt>
                <c:pt idx="2">
                  <c:v>5859612.8100000005</c:v>
                </c:pt>
                <c:pt idx="3">
                  <c:v>7129266.4500000011</c:v>
                </c:pt>
                <c:pt idx="4">
                  <c:v>13114318.808609454</c:v>
                </c:pt>
              </c:numCache>
            </c:numRef>
          </c:val>
          <c:extLst>
            <c:ext xmlns:c16="http://schemas.microsoft.com/office/drawing/2014/chart" uri="{C3380CC4-5D6E-409C-BE32-E72D297353CC}">
              <c16:uniqueId val="{00000000-D5DF-4B11-9CD6-1C5401548576}"/>
            </c:ext>
          </c:extLst>
        </c:ser>
        <c:ser>
          <c:idx val="1"/>
          <c:order val="1"/>
          <c:tx>
            <c:strRef>
              <c:f>'Ввод данных'!$A$115</c:f>
              <c:strCache>
                <c:ptCount val="1"/>
                <c:pt idx="0">
                  <c:v>Общий объем финансовых обязательств</c:v>
                </c:pt>
              </c:strCache>
            </c:strRef>
          </c:tx>
          <c:spPr>
            <a:solidFill>
              <a:schemeClr val="accent2"/>
            </a:solidFill>
            <a:ln>
              <a:noFill/>
            </a:ln>
            <a:effectLst/>
          </c:spPr>
          <c:invertIfNegative val="0"/>
          <c:cat>
            <c:strRef>
              <c:f>'Ввод данных'!$B$110:$F$110</c:f>
              <c:strCache>
                <c:ptCount val="5"/>
                <c:pt idx="0">
                  <c:v>P1</c:v>
                </c:pt>
                <c:pt idx="1">
                  <c:v>P2</c:v>
                </c:pt>
                <c:pt idx="2">
                  <c:v>P3</c:v>
                </c:pt>
                <c:pt idx="3">
                  <c:v>P4</c:v>
                </c:pt>
                <c:pt idx="4">
                  <c:v>P5</c:v>
                </c:pt>
              </c:strCache>
            </c:strRef>
          </c:cat>
          <c:val>
            <c:numRef>
              <c:f>'Ввод данных'!$B$115:$F$115</c:f>
              <c:numCache>
                <c:formatCode>#,##0</c:formatCode>
                <c:ptCount val="5"/>
                <c:pt idx="0">
                  <c:v>2863012.59</c:v>
                </c:pt>
                <c:pt idx="1">
                  <c:v>3484983.39</c:v>
                </c:pt>
                <c:pt idx="2">
                  <c:v>3308441.31</c:v>
                </c:pt>
                <c:pt idx="3">
                  <c:v>5150153.58</c:v>
                </c:pt>
                <c:pt idx="4">
                  <c:v>461308.89</c:v>
                </c:pt>
              </c:numCache>
            </c:numRef>
          </c:val>
          <c:extLst>
            <c:ext xmlns:c16="http://schemas.microsoft.com/office/drawing/2014/chart" uri="{C3380CC4-5D6E-409C-BE32-E72D297353CC}">
              <c16:uniqueId val="{00000001-D5DF-4B11-9CD6-1C5401548576}"/>
            </c:ext>
          </c:extLst>
        </c:ser>
        <c:ser>
          <c:idx val="2"/>
          <c:order val="2"/>
          <c:tx>
            <c:strRef>
              <c:f>'Ввод данных'!$A$116</c:f>
              <c:strCache>
                <c:ptCount val="1"/>
                <c:pt idx="0">
                  <c:v>Общий объем расходов</c:v>
                </c:pt>
              </c:strCache>
            </c:strRef>
          </c:tx>
          <c:spPr>
            <a:solidFill>
              <a:schemeClr val="accent3"/>
            </a:solidFill>
            <a:ln>
              <a:noFill/>
            </a:ln>
            <a:effectLst/>
          </c:spPr>
          <c:invertIfNegative val="0"/>
          <c:cat>
            <c:strRef>
              <c:f>'Ввод данных'!$B$110:$F$110</c:f>
              <c:strCache>
                <c:ptCount val="5"/>
                <c:pt idx="0">
                  <c:v>P1</c:v>
                </c:pt>
                <c:pt idx="1">
                  <c:v>P2</c:v>
                </c:pt>
                <c:pt idx="2">
                  <c:v>P3</c:v>
                </c:pt>
                <c:pt idx="3">
                  <c:v>P4</c:v>
                </c:pt>
                <c:pt idx="4">
                  <c:v>P5</c:v>
                </c:pt>
              </c:strCache>
            </c:strRef>
          </c:cat>
          <c:val>
            <c:numRef>
              <c:f>'Ввод данных'!$B$116:$F$116</c:f>
              <c:numCache>
                <c:formatCode>#,##0</c:formatCode>
                <c:ptCount val="5"/>
                <c:pt idx="0">
                  <c:v>1337830.7</c:v>
                </c:pt>
                <c:pt idx="1">
                  <c:v>3713496.08</c:v>
                </c:pt>
                <c:pt idx="2">
                  <c:v>5859612.8099999996</c:v>
                </c:pt>
                <c:pt idx="3">
                  <c:v>7127607.5200000005</c:v>
                </c:pt>
                <c:pt idx="4">
                  <c:v>12830392.07</c:v>
                </c:pt>
              </c:numCache>
            </c:numRef>
          </c:val>
          <c:extLst>
            <c:ext xmlns:c16="http://schemas.microsoft.com/office/drawing/2014/chart" uri="{C3380CC4-5D6E-409C-BE32-E72D297353CC}">
              <c16:uniqueId val="{00000002-D5DF-4B11-9CD6-1C5401548576}"/>
            </c:ext>
          </c:extLst>
        </c:ser>
        <c:dLbls>
          <c:showLegendKey val="0"/>
          <c:showVal val="0"/>
          <c:showCatName val="0"/>
          <c:showSerName val="0"/>
          <c:showPercent val="0"/>
          <c:showBubbleSize val="0"/>
        </c:dLbls>
        <c:gapWidth val="219"/>
        <c:overlap val="-27"/>
        <c:axId val="390931016"/>
        <c:axId val="390927408"/>
      </c:barChart>
      <c:catAx>
        <c:axId val="390931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90927408"/>
        <c:crosses val="autoZero"/>
        <c:auto val="1"/>
        <c:lblAlgn val="ctr"/>
        <c:lblOffset val="100"/>
        <c:noMultiLvlLbl val="0"/>
      </c:catAx>
      <c:valAx>
        <c:axId val="390927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90931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Процент ЛУИН, охваченных программами по  профилактике ВИЧ</a:t>
            </a:r>
          </a:p>
        </c:rich>
      </c:tx>
      <c:overlay val="1"/>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данных'!$D$169</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данных'!$E$168:$I$168</c:f>
              <c:strCache>
                <c:ptCount val="5"/>
                <c:pt idx="0">
                  <c:v>P1</c:v>
                </c:pt>
                <c:pt idx="1">
                  <c:v>P2</c:v>
                </c:pt>
                <c:pt idx="2">
                  <c:v>P3</c:v>
                </c:pt>
                <c:pt idx="3">
                  <c:v>P4</c:v>
                </c:pt>
                <c:pt idx="4">
                  <c:v>P5</c:v>
                </c:pt>
              </c:strCache>
            </c:strRef>
          </c:cat>
          <c:val>
            <c:numRef>
              <c:f>'Ввод данных'!$E$169:$I$169</c:f>
              <c:numCache>
                <c:formatCode>#,##0</c:formatCode>
                <c:ptCount val="5"/>
                <c:pt idx="0">
                  <c:v>16250</c:v>
                </c:pt>
                <c:pt idx="1">
                  <c:v>16875</c:v>
                </c:pt>
                <c:pt idx="2">
                  <c:v>17500</c:v>
                </c:pt>
                <c:pt idx="3">
                  <c:v>18125</c:v>
                </c:pt>
                <c:pt idx="4">
                  <c:v>18750</c:v>
                </c:pt>
              </c:numCache>
            </c:numRef>
          </c:val>
          <c:extLst>
            <c:ext xmlns:c16="http://schemas.microsoft.com/office/drawing/2014/chart" uri="{C3380CC4-5D6E-409C-BE32-E72D297353CC}">
              <c16:uniqueId val="{00000000-F4FA-4784-8E5F-61D375F426FC}"/>
            </c:ext>
          </c:extLst>
        </c:ser>
        <c:ser>
          <c:idx val="1"/>
          <c:order val="1"/>
          <c:tx>
            <c:strRef>
              <c:f>'Ввод данных'!$D$170</c:f>
              <c:strCache>
                <c:ptCount val="1"/>
                <c:pt idx="0">
                  <c:v>Достигнуто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данных'!$E$168:$I$168</c:f>
              <c:strCache>
                <c:ptCount val="5"/>
                <c:pt idx="0">
                  <c:v>P1</c:v>
                </c:pt>
                <c:pt idx="1">
                  <c:v>P2</c:v>
                </c:pt>
                <c:pt idx="2">
                  <c:v>P3</c:v>
                </c:pt>
                <c:pt idx="3">
                  <c:v>P4</c:v>
                </c:pt>
                <c:pt idx="4">
                  <c:v>P5</c:v>
                </c:pt>
              </c:strCache>
            </c:strRef>
          </c:cat>
          <c:val>
            <c:numRef>
              <c:f>'Ввод данных'!$E$170:$I$170</c:f>
              <c:numCache>
                <c:formatCode>#,##0</c:formatCode>
                <c:ptCount val="5"/>
                <c:pt idx="0">
                  <c:v>16530</c:v>
                </c:pt>
                <c:pt idx="1">
                  <c:v>15835</c:v>
                </c:pt>
                <c:pt idx="2">
                  <c:v>16195</c:v>
                </c:pt>
                <c:pt idx="3">
                  <c:v>16328</c:v>
                </c:pt>
                <c:pt idx="4">
                  <c:v>16636</c:v>
                </c:pt>
              </c:numCache>
            </c:numRef>
          </c:val>
          <c:extLst>
            <c:ext xmlns:c16="http://schemas.microsoft.com/office/drawing/2014/chart" uri="{C3380CC4-5D6E-409C-BE32-E72D297353CC}">
              <c16:uniqueId val="{00000000-5E2C-4D8B-9303-E6825A744889}"/>
            </c:ext>
          </c:extLst>
        </c:ser>
        <c:dLbls>
          <c:showLegendKey val="0"/>
          <c:showVal val="1"/>
          <c:showCatName val="0"/>
          <c:showSerName val="0"/>
          <c:showPercent val="0"/>
          <c:showBubbleSize val="0"/>
        </c:dLbls>
        <c:gapWidth val="150"/>
        <c:overlap val="-25"/>
        <c:axId val="1511059472"/>
        <c:axId val="1511063824"/>
      </c:barChart>
      <c:catAx>
        <c:axId val="1511059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63824"/>
        <c:crosses val="autoZero"/>
        <c:auto val="1"/>
        <c:lblAlgn val="ctr"/>
        <c:lblOffset val="100"/>
        <c:noMultiLvlLbl val="0"/>
      </c:catAx>
      <c:valAx>
        <c:axId val="1511063824"/>
        <c:scaling>
          <c:orientation val="minMax"/>
        </c:scaling>
        <c:delete val="1"/>
        <c:axPos val="l"/>
        <c:numFmt formatCode="#,##0" sourceLinked="1"/>
        <c:majorTickMark val="none"/>
        <c:minorTickMark val="none"/>
        <c:tickLblPos val="nextTo"/>
        <c:crossAx val="1511059472"/>
        <c:crosses val="autoZero"/>
        <c:crossBetween val="between"/>
      </c:valAx>
      <c:spPr>
        <a:noFill/>
        <a:ln>
          <a:noFill/>
        </a:ln>
        <a:effectLst/>
      </c:spPr>
    </c:plotArea>
    <c:legend>
      <c:legendPos val="t"/>
      <c:layout>
        <c:manualLayout>
          <c:xMode val="edge"/>
          <c:yMode val="edge"/>
          <c:x val="0.16948667135520623"/>
          <c:y val="0.14742951907131011"/>
          <c:w val="0.51638426283155525"/>
          <c:h val="8.88531969928702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ecommendations!A1"/><Relationship Id="rId13" Type="http://schemas.openxmlformats.org/officeDocument/2006/relationships/hyperlink" Target="#'Data Entry'!A1"/><Relationship Id="rId3" Type="http://schemas.openxmlformats.org/officeDocument/2006/relationships/hyperlink" Target="#Finance!A1"/><Relationship Id="rId7" Type="http://schemas.openxmlformats.org/officeDocument/2006/relationships/hyperlink" Target="#&#1059;&#1087;&#1088;&#1072;&#1074;&#1083;&#1077;&#1085;&#1080;&#1077;!A1"/><Relationship Id="rId12" Type="http://schemas.openxmlformats.org/officeDocument/2006/relationships/hyperlink" Target="#&#1055;&#1086;&#1082;&#1072;&#1079;&#1072;&#1090;&#1077;&#1083;&#1080;!A1"/><Relationship Id="rId17" Type="http://schemas.openxmlformats.org/officeDocument/2006/relationships/image" Target="../media/image5.png"/><Relationship Id="rId2" Type="http://schemas.openxmlformats.org/officeDocument/2006/relationships/image" Target="../media/image2.png"/><Relationship Id="rId16" Type="http://schemas.openxmlformats.org/officeDocument/2006/relationships/image" Target="../media/image4.png"/><Relationship Id="rId1" Type="http://schemas.openxmlformats.org/officeDocument/2006/relationships/image" Target="../media/image1.png"/><Relationship Id="rId6" Type="http://schemas.openxmlformats.org/officeDocument/2006/relationships/hyperlink" Target="#Management!A1"/><Relationship Id="rId11" Type="http://schemas.openxmlformats.org/officeDocument/2006/relationships/hyperlink" Target="#'&#1057;&#1074;&#1077;&#1076;&#1077;&#1085;&#1080;&#1103; &#1086; &#1075;&#1088;&#1072;&#1085;&#1090;&#1077;'!A1"/><Relationship Id="rId5" Type="http://schemas.openxmlformats.org/officeDocument/2006/relationships/hyperlink" Target="#&#1055;&#1088;&#1086;&#1075;&#1088;&#1072;&#1084;&#1084;&#1072;!A1"/><Relationship Id="rId15" Type="http://schemas.openxmlformats.org/officeDocument/2006/relationships/image" Target="../media/image3.png"/><Relationship Id="rId10" Type="http://schemas.openxmlformats.org/officeDocument/2006/relationships/hyperlink" Target="#&#1044;&#1077;&#1081;&#1089;&#1090;&#1074;&#1080;&#1103;!A1"/><Relationship Id="rId4" Type="http://schemas.openxmlformats.org/officeDocument/2006/relationships/hyperlink" Target="#&#1060;&#1080;&#1085;&#1072;&#1085;&#1089;&#1080;&#1088;&#1086;&#1074;&#1072;&#1085;&#1080;&#1077;!A1"/><Relationship Id="rId9" Type="http://schemas.openxmlformats.org/officeDocument/2006/relationships/hyperlink" Target="#&#1056;&#1077;&#1082;&#1086;&#1084;&#1077;&#1085;&#1076;&#1072;&#1094;&#1080;&#1080;!A1"/><Relationship Id="rId14" Type="http://schemas.openxmlformats.org/officeDocument/2006/relationships/hyperlink" Target="#'&#1042;&#1074;&#1086;&#1076; &#1044;&#1072;&#1085;&#1085;&#1099;&#1093;'!A1"/></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3.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4.xml.rels><?xml version="1.0" encoding="UTF-8" standalone="yes"?>
<Relationships xmlns="http://schemas.openxmlformats.org/package/2006/relationships"><Relationship Id="rId2" Type="http://schemas.openxmlformats.org/officeDocument/2006/relationships/hyperlink" Target="#&#1052;&#1077;&#1085;&#1102;!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1052;&#1077;&#1085;&#1102;!A1"/><Relationship Id="rId1" Type="http://schemas.openxmlformats.org/officeDocument/2006/relationships/chart" Target="../charts/chart1.xml"/><Relationship Id="rId4"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hyperlink" Target="#&#1052;&#1077;&#1085;&#1102;!A1"/><Relationship Id="rId1" Type="http://schemas.openxmlformats.org/officeDocument/2006/relationships/chart" Target="../charts/chart4.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hyperlink" Target="#&#1052;&#1077;&#1085;&#1102;!A1"/><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9.xml.rels><?xml version="1.0" encoding="UTF-8" standalone="yes"?>
<Relationships xmlns="http://schemas.openxmlformats.org/package/2006/relationships"><Relationship Id="rId2" Type="http://schemas.openxmlformats.org/officeDocument/2006/relationships/hyperlink" Target="#&#1052;&#1077;&#1085;&#1102;!A1"/><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5</xdr:row>
      <xdr:rowOff>180975</xdr:rowOff>
    </xdr:from>
    <xdr:to>
      <xdr:col>12</xdr:col>
      <xdr:colOff>9525</xdr:colOff>
      <xdr:row>20</xdr:row>
      <xdr:rowOff>142875</xdr:rowOff>
    </xdr:to>
    <xdr:pic>
      <xdr:nvPicPr>
        <xdr:cNvPr id="3930518" name="Picture 2">
          <a:extLst>
            <a:ext uri="{FF2B5EF4-FFF2-40B4-BE49-F238E27FC236}">
              <a16:creationId xmlns:a16="http://schemas.microsoft.com/office/drawing/2014/main" id="{00000000-0008-0000-0000-000096F93B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133350" y="1609725"/>
          <a:ext cx="7658100"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3930519" name="Picture 824">
          <a:extLst>
            <a:ext uri="{FF2B5EF4-FFF2-40B4-BE49-F238E27FC236}">
              <a16:creationId xmlns:a16="http://schemas.microsoft.com/office/drawing/2014/main" id="{00000000-0008-0000-0000-000097F93B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3930520" name="AutoShape 27">
          <a:extLst>
            <a:ext uri="{FF2B5EF4-FFF2-40B4-BE49-F238E27FC236}">
              <a16:creationId xmlns:a16="http://schemas.microsoft.com/office/drawing/2014/main" id="{00000000-0008-0000-0000-000098F93B00}"/>
            </a:ext>
          </a:extLst>
        </xdr:cNvPr>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133350</xdr:colOff>
      <xdr:row>10</xdr:row>
      <xdr:rowOff>9525</xdr:rowOff>
    </xdr:from>
    <xdr:to>
      <xdr:col>6</xdr:col>
      <xdr:colOff>657225</xdr:colOff>
      <xdr:row>12</xdr:row>
      <xdr:rowOff>38100</xdr:rowOff>
    </xdr:to>
    <xdr:grpSp>
      <xdr:nvGrpSpPr>
        <xdr:cNvPr id="3930521" name="Group 25">
          <a:hlinkClick xmlns:r="http://schemas.openxmlformats.org/officeDocument/2006/relationships" r:id="rId3"/>
          <a:extLst>
            <a:ext uri="{FF2B5EF4-FFF2-40B4-BE49-F238E27FC236}">
              <a16:creationId xmlns:a16="http://schemas.microsoft.com/office/drawing/2014/main" id="{00000000-0008-0000-0000-000099F93B00}"/>
            </a:ext>
          </a:extLst>
        </xdr:cNvPr>
        <xdr:cNvGrpSpPr>
          <a:grpSpLocks/>
        </xdr:cNvGrpSpPr>
      </xdr:nvGrpSpPr>
      <xdr:grpSpPr bwMode="auto">
        <a:xfrm>
          <a:off x="3414183" y="2348442"/>
          <a:ext cx="1322917" cy="398991"/>
          <a:chOff x="1200" y="1912"/>
          <a:chExt cx="3456" cy="774"/>
        </a:xfrm>
      </xdr:grpSpPr>
      <xdr:sp macro="" textlink="">
        <xdr:nvSpPr>
          <xdr:cNvPr id="3930565" name="AutoShape 26">
            <a:extLst>
              <a:ext uri="{FF2B5EF4-FFF2-40B4-BE49-F238E27FC236}">
                <a16:creationId xmlns:a16="http://schemas.microsoft.com/office/drawing/2014/main" id="{00000000-0008-0000-0000-0000C5F93B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2" name="AutoShape 27">
            <a:hlinkClick xmlns:r="http://schemas.openxmlformats.org/officeDocument/2006/relationships" r:id="rId4"/>
            <a:extLst>
              <a:ext uri="{FF2B5EF4-FFF2-40B4-BE49-F238E27FC236}">
                <a16:creationId xmlns:a16="http://schemas.microsoft.com/office/drawing/2014/main" id="{00000000-0008-0000-0000-000016000000}"/>
              </a:ext>
            </a:extLst>
          </xdr:cNvPr>
          <xdr:cNvSpPr>
            <a:spLocks noChangeArrowheads="1"/>
          </xdr:cNvSpPr>
        </xdr:nvSpPr>
        <xdr:spPr bwMode="gray">
          <a:xfrm>
            <a:off x="1277" y="1984"/>
            <a:ext cx="3277" cy="630"/>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Финансирование</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302" y="2020"/>
            <a:ext cx="358" cy="32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133350</xdr:colOff>
      <xdr:row>15</xdr:row>
      <xdr:rowOff>123825</xdr:rowOff>
    </xdr:from>
    <xdr:to>
      <xdr:col>6</xdr:col>
      <xdr:colOff>685800</xdr:colOff>
      <xdr:row>17</xdr:row>
      <xdr:rowOff>114300</xdr:rowOff>
    </xdr:to>
    <xdr:grpSp>
      <xdr:nvGrpSpPr>
        <xdr:cNvPr id="3930522" name="Group 25">
          <a:extLst>
            <a:ext uri="{FF2B5EF4-FFF2-40B4-BE49-F238E27FC236}">
              <a16:creationId xmlns:a16="http://schemas.microsoft.com/office/drawing/2014/main" id="{00000000-0008-0000-0000-00009AF93B00}"/>
            </a:ext>
          </a:extLst>
        </xdr:cNvPr>
        <xdr:cNvGrpSpPr>
          <a:grpSpLocks/>
        </xdr:cNvGrpSpPr>
      </xdr:nvGrpSpPr>
      <xdr:grpSpPr bwMode="auto">
        <a:xfrm>
          <a:off x="3414183" y="3388783"/>
          <a:ext cx="1351492" cy="360892"/>
          <a:chOff x="1200" y="1912"/>
          <a:chExt cx="3456" cy="774"/>
        </a:xfrm>
      </xdr:grpSpPr>
      <xdr:sp macro="" textlink="">
        <xdr:nvSpPr>
          <xdr:cNvPr id="3930562" name="AutoShape 26">
            <a:extLst>
              <a:ext uri="{FF2B5EF4-FFF2-40B4-BE49-F238E27FC236}">
                <a16:creationId xmlns:a16="http://schemas.microsoft.com/office/drawing/2014/main" id="{00000000-0008-0000-0000-0000C2F93B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6" name="AutoShape 27">
            <a:hlinkClick xmlns:r="http://schemas.openxmlformats.org/officeDocument/2006/relationships" r:id="rId5"/>
            <a:extLst>
              <a:ext uri="{FF2B5EF4-FFF2-40B4-BE49-F238E27FC236}">
                <a16:creationId xmlns:a16="http://schemas.microsoft.com/office/drawing/2014/main" id="{00000000-0008-0000-0000-00001A000000}"/>
              </a:ext>
            </a:extLst>
          </xdr:cNvPr>
          <xdr:cNvSpPr>
            <a:spLocks noChangeArrowheads="1"/>
          </xdr:cNvSpPr>
        </xdr:nvSpPr>
        <xdr:spPr bwMode="gray">
          <a:xfrm>
            <a:off x="1300" y="1991"/>
            <a:ext cx="3306"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Программа</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300" y="2011"/>
            <a:ext cx="351"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123825</xdr:colOff>
      <xdr:row>12</xdr:row>
      <xdr:rowOff>161925</xdr:rowOff>
    </xdr:from>
    <xdr:to>
      <xdr:col>6</xdr:col>
      <xdr:colOff>676275</xdr:colOff>
      <xdr:row>14</xdr:row>
      <xdr:rowOff>171450</xdr:rowOff>
    </xdr:to>
    <xdr:grpSp>
      <xdr:nvGrpSpPr>
        <xdr:cNvPr id="3930523" name="Group 25">
          <a:hlinkClick xmlns:r="http://schemas.openxmlformats.org/officeDocument/2006/relationships" r:id="rId6"/>
          <a:extLst>
            <a:ext uri="{FF2B5EF4-FFF2-40B4-BE49-F238E27FC236}">
              <a16:creationId xmlns:a16="http://schemas.microsoft.com/office/drawing/2014/main" id="{00000000-0008-0000-0000-00009BF93B00}"/>
            </a:ext>
          </a:extLst>
        </xdr:cNvPr>
        <xdr:cNvGrpSpPr>
          <a:grpSpLocks/>
        </xdr:cNvGrpSpPr>
      </xdr:nvGrpSpPr>
      <xdr:grpSpPr bwMode="auto">
        <a:xfrm>
          <a:off x="3404658" y="2871258"/>
          <a:ext cx="1351492" cy="379942"/>
          <a:chOff x="1200" y="1912"/>
          <a:chExt cx="3456" cy="774"/>
        </a:xfrm>
      </xdr:grpSpPr>
      <xdr:sp macro="" textlink="">
        <xdr:nvSpPr>
          <xdr:cNvPr id="3930559" name="AutoShape 26">
            <a:extLst>
              <a:ext uri="{FF2B5EF4-FFF2-40B4-BE49-F238E27FC236}">
                <a16:creationId xmlns:a16="http://schemas.microsoft.com/office/drawing/2014/main" id="{00000000-0008-0000-0000-0000BFF93B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07941" name="AutoShape 27">
            <a:hlinkClick xmlns:r="http://schemas.openxmlformats.org/officeDocument/2006/relationships" r:id="rId7"/>
            <a:extLst>
              <a:ext uri="{FF2B5EF4-FFF2-40B4-BE49-F238E27FC236}">
                <a16:creationId xmlns:a16="http://schemas.microsoft.com/office/drawing/2014/main" id="{00000000-0008-0000-0000-0000452C0300}"/>
              </a:ext>
            </a:extLst>
          </xdr:cNvPr>
          <xdr:cNvSpPr>
            <a:spLocks noChangeArrowheads="1"/>
          </xdr:cNvSpPr>
        </xdr:nvSpPr>
        <xdr:spPr bwMode="gray">
          <a:xfrm>
            <a:off x="1300" y="1988"/>
            <a:ext cx="3306" cy="623"/>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ru-RU" sz="1000" b="0" i="0" strike="noStrike">
                <a:solidFill>
                  <a:srgbClr val="FFFFFF"/>
                </a:solidFill>
                <a:latin typeface="Arial"/>
                <a:cs typeface="Arial"/>
              </a:rPr>
              <a:t>Управление</a:t>
            </a:r>
            <a:endParaRPr lang="en-US" sz="1000" b="0" i="0" strike="noStrike">
              <a:solidFill>
                <a:srgbClr val="FFFFFF"/>
              </a:solidFill>
              <a:latin typeface="Arial"/>
              <a:cs typeface="Arial"/>
            </a:endParaRP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300" y="2006"/>
            <a:ext cx="351" cy="340"/>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3</xdr:col>
      <xdr:colOff>647700</xdr:colOff>
      <xdr:row>5</xdr:row>
      <xdr:rowOff>0</xdr:rowOff>
    </xdr:from>
    <xdr:to>
      <xdr:col>8</xdr:col>
      <xdr:colOff>200025</xdr:colOff>
      <xdr:row>6</xdr:row>
      <xdr:rowOff>47625</xdr:rowOff>
    </xdr:to>
    <xdr:sp macro="" textlink="">
      <xdr:nvSpPr>
        <xdr:cNvPr id="3175758" name="Rectangle 803">
          <a:extLst>
            <a:ext uri="{FF2B5EF4-FFF2-40B4-BE49-F238E27FC236}">
              <a16:creationId xmlns:a16="http://schemas.microsoft.com/office/drawing/2014/main" id="{00000000-0008-0000-0000-00004E753000}"/>
            </a:ext>
          </a:extLst>
        </xdr:cNvPr>
        <xdr:cNvSpPr>
          <a:spLocks noChangeArrowheads="1"/>
        </xdr:cNvSpPr>
      </xdr:nvSpPr>
      <xdr:spPr bwMode="auto">
        <a:xfrm>
          <a:off x="2247900" y="1428750"/>
          <a:ext cx="3362325" cy="238125"/>
        </a:xfrm>
        <a:prstGeom prst="rect">
          <a:avLst/>
        </a:prstGeom>
        <a:noFill/>
        <a:ln>
          <a:noFill/>
        </a:ln>
      </xdr:spPr>
      <xdr:txBody>
        <a:bodyPr vertOverflow="clip" wrap="square" lIns="27432" tIns="27432" rIns="27432" bIns="0" anchor="t"/>
        <a:lstStyle/>
        <a:p>
          <a:pPr algn="ctr" rtl="0">
            <a:defRPr sz="1000"/>
          </a:pPr>
          <a:r>
            <a:rPr lang="az-Cyrl-AZ" sz="1100" b="1" i="1" u="none" strike="noStrike" baseline="0">
              <a:solidFill>
                <a:srgbClr val="000000"/>
              </a:solidFill>
              <a:latin typeface="Calibri"/>
              <a:cs typeface="Calibri"/>
            </a:rPr>
            <a:t>Выберите интересующий вас раздел:</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3930525" name="Group 832">
          <a:hlinkClick xmlns:r="http://schemas.openxmlformats.org/officeDocument/2006/relationships" r:id="rId8"/>
          <a:extLst>
            <a:ext uri="{FF2B5EF4-FFF2-40B4-BE49-F238E27FC236}">
              <a16:creationId xmlns:a16="http://schemas.microsoft.com/office/drawing/2014/main" id="{00000000-0008-0000-0000-00009DF93B00}"/>
            </a:ext>
          </a:extLst>
        </xdr:cNvPr>
        <xdr:cNvGrpSpPr>
          <a:grpSpLocks/>
        </xdr:cNvGrpSpPr>
      </xdr:nvGrpSpPr>
      <xdr:grpSpPr bwMode="auto">
        <a:xfrm>
          <a:off x="5973233" y="2524125"/>
          <a:ext cx="1586442" cy="398992"/>
          <a:chOff x="599" y="262"/>
          <a:chExt cx="158" cy="43"/>
        </a:xfrm>
      </xdr:grpSpPr>
      <xdr:sp macro="" textlink="">
        <xdr:nvSpPr>
          <xdr:cNvPr id="3930555" name="AutoShape 30">
            <a:extLst>
              <a:ext uri="{FF2B5EF4-FFF2-40B4-BE49-F238E27FC236}">
                <a16:creationId xmlns:a16="http://schemas.microsoft.com/office/drawing/2014/main" id="{00000000-0008-0000-0000-0000BBF93B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56" name="13 Grupo">
            <a:extLst>
              <a:ext uri="{FF2B5EF4-FFF2-40B4-BE49-F238E27FC236}">
                <a16:creationId xmlns:a16="http://schemas.microsoft.com/office/drawing/2014/main" id="{00000000-0008-0000-0000-0000BCF93B00}"/>
              </a:ext>
            </a:extLst>
          </xdr:cNvPr>
          <xdr:cNvGrpSpPr>
            <a:grpSpLocks/>
          </xdr:cNvGrpSpPr>
        </xdr:nvGrpSpPr>
        <xdr:grpSpPr bwMode="auto">
          <a:xfrm>
            <a:off x="603" y="267"/>
            <a:ext cx="151" cy="35"/>
            <a:chOff x="1104968" y="2771552"/>
            <a:chExt cx="3605494" cy="566957"/>
          </a:xfrm>
        </xdr:grpSpPr>
        <xdr:sp macro="" textlink="">
          <xdr:nvSpPr>
            <xdr:cNvPr id="4903" name="AutoShape 31">
              <a:hlinkClick xmlns:r="http://schemas.openxmlformats.org/officeDocument/2006/relationships" r:id="rId9"/>
              <a:extLst>
                <a:ext uri="{FF2B5EF4-FFF2-40B4-BE49-F238E27FC236}">
                  <a16:creationId xmlns:a16="http://schemas.microsoft.com/office/drawing/2014/main" id="{00000000-0008-0000-0000-000027130000}"/>
                </a:ext>
              </a:extLst>
            </xdr:cNvPr>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ru-RU" sz="1000" b="0" i="0" strike="noStrike">
                  <a:solidFill>
                    <a:srgbClr val="000000"/>
                  </a:solidFill>
                  <a:latin typeface="Arial"/>
                  <a:cs typeface="Arial"/>
                </a:rPr>
                <a:t>Рекомендации</a:t>
              </a:r>
              <a:endParaRPr lang="en-ZA" sz="1000" b="0" i="0" strike="noStrike">
                <a:solidFill>
                  <a:srgbClr val="000000"/>
                </a:solidFill>
                <a:latin typeface="Arial"/>
                <a:cs typeface="Arial"/>
              </a:endParaRPr>
            </a:p>
          </xdr:txBody>
        </xdr:sp>
        <xdr:sp macro="" textlink="">
          <xdr:nvSpPr>
            <xdr:cNvPr id="3930558" name="Freeform 32">
              <a:extLst>
                <a:ext uri="{FF2B5EF4-FFF2-40B4-BE49-F238E27FC236}">
                  <a16:creationId xmlns:a16="http://schemas.microsoft.com/office/drawing/2014/main" id="{00000000-0008-0000-0000-0000BEF93B00}"/>
                </a:ext>
              </a:extLst>
            </xdr:cNvPr>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3930526" name="Group 830">
          <a:extLst>
            <a:ext uri="{FF2B5EF4-FFF2-40B4-BE49-F238E27FC236}">
              <a16:creationId xmlns:a16="http://schemas.microsoft.com/office/drawing/2014/main" id="{00000000-0008-0000-0000-00009EF93B00}"/>
            </a:ext>
          </a:extLst>
        </xdr:cNvPr>
        <xdr:cNvGrpSpPr>
          <a:grpSpLocks/>
        </xdr:cNvGrpSpPr>
      </xdr:nvGrpSpPr>
      <xdr:grpSpPr bwMode="auto">
        <a:xfrm>
          <a:off x="332317" y="1869017"/>
          <a:ext cx="2254250" cy="2065866"/>
          <a:chOff x="32" y="188"/>
          <a:chExt cx="225" cy="225"/>
        </a:xfrm>
      </xdr:grpSpPr>
      <xdr:sp macro="" textlink="">
        <xdr:nvSpPr>
          <xdr:cNvPr id="3930553" name="AutoShape 31">
            <a:extLst>
              <a:ext uri="{FF2B5EF4-FFF2-40B4-BE49-F238E27FC236}">
                <a16:creationId xmlns:a16="http://schemas.microsoft.com/office/drawing/2014/main" id="{00000000-0008-0000-0000-0000B9F93B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930527" name="Group 826">
          <a:extLst>
            <a:ext uri="{FF2B5EF4-FFF2-40B4-BE49-F238E27FC236}">
              <a16:creationId xmlns:a16="http://schemas.microsoft.com/office/drawing/2014/main" id="{00000000-0008-0000-0000-00009FF93B00}"/>
            </a:ext>
          </a:extLst>
        </xdr:cNvPr>
        <xdr:cNvGrpSpPr>
          <a:grpSpLocks/>
        </xdr:cNvGrpSpPr>
      </xdr:nvGrpSpPr>
      <xdr:grpSpPr bwMode="auto">
        <a:xfrm>
          <a:off x="5963708" y="3136900"/>
          <a:ext cx="1586442" cy="398992"/>
          <a:chOff x="578" y="328"/>
          <a:chExt cx="158" cy="43"/>
        </a:xfrm>
      </xdr:grpSpPr>
      <xdr:sp macro="" textlink="">
        <xdr:nvSpPr>
          <xdr:cNvPr id="3930549" name="AutoShape 30">
            <a:extLst>
              <a:ext uri="{FF2B5EF4-FFF2-40B4-BE49-F238E27FC236}">
                <a16:creationId xmlns:a16="http://schemas.microsoft.com/office/drawing/2014/main" id="{00000000-0008-0000-0000-0000B5F93B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50" name="Group 823">
            <a:extLst>
              <a:ext uri="{FF2B5EF4-FFF2-40B4-BE49-F238E27FC236}">
                <a16:creationId xmlns:a16="http://schemas.microsoft.com/office/drawing/2014/main" id="{00000000-0008-0000-0000-0000B6F93B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10"/>
              <a:extLst>
                <a:ext uri="{FF2B5EF4-FFF2-40B4-BE49-F238E27FC236}">
                  <a16:creationId xmlns:a16="http://schemas.microsoft.com/office/drawing/2014/main" id="{00000000-0008-0000-0000-00002C130000}"/>
                </a:ext>
              </a:extLst>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ru-RU" sz="1000" b="0" i="0" strike="noStrike">
                  <a:solidFill>
                    <a:srgbClr val="000000"/>
                  </a:solidFill>
                  <a:latin typeface="Arial"/>
                  <a:cs typeface="Arial"/>
                </a:rPr>
                <a:t>Действия</a:t>
              </a:r>
              <a:endParaRPr lang="en-ZA" sz="1000" b="0" i="0" strike="noStrike">
                <a:solidFill>
                  <a:srgbClr val="000000"/>
                </a:solidFill>
                <a:latin typeface="Arial"/>
                <a:cs typeface="Arial"/>
              </a:endParaRPr>
            </a:p>
          </xdr:txBody>
        </xdr:sp>
        <xdr:sp macro="" textlink="">
          <xdr:nvSpPr>
            <xdr:cNvPr id="3930552" name="Freeform 32">
              <a:extLst>
                <a:ext uri="{FF2B5EF4-FFF2-40B4-BE49-F238E27FC236}">
                  <a16:creationId xmlns:a16="http://schemas.microsoft.com/office/drawing/2014/main" id="{00000000-0008-0000-0000-0000B8F93B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3930528" name="Group 831">
          <a:extLst>
            <a:ext uri="{FF2B5EF4-FFF2-40B4-BE49-F238E27FC236}">
              <a16:creationId xmlns:a16="http://schemas.microsoft.com/office/drawing/2014/main" id="{00000000-0008-0000-0000-0000A0F93B00}"/>
            </a:ext>
          </a:extLst>
        </xdr:cNvPr>
        <xdr:cNvGrpSpPr>
          <a:grpSpLocks/>
        </xdr:cNvGrpSpPr>
      </xdr:nvGrpSpPr>
      <xdr:grpSpPr bwMode="auto">
        <a:xfrm>
          <a:off x="599017" y="3398308"/>
          <a:ext cx="1579033" cy="332317"/>
          <a:chOff x="56" y="259"/>
          <a:chExt cx="158" cy="40"/>
        </a:xfrm>
      </xdr:grpSpPr>
      <xdr:sp macro="" textlink="">
        <xdr:nvSpPr>
          <xdr:cNvPr id="3930545" name="AutoShape 30">
            <a:extLst>
              <a:ext uri="{FF2B5EF4-FFF2-40B4-BE49-F238E27FC236}">
                <a16:creationId xmlns:a16="http://schemas.microsoft.com/office/drawing/2014/main" id="{00000000-0008-0000-0000-0000B1F93B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46" name="11 Grupo">
            <a:extLst>
              <a:ext uri="{FF2B5EF4-FFF2-40B4-BE49-F238E27FC236}">
                <a16:creationId xmlns:a16="http://schemas.microsoft.com/office/drawing/2014/main" id="{00000000-0008-0000-0000-0000B2F93B00}"/>
              </a:ext>
            </a:extLst>
          </xdr:cNvPr>
          <xdr:cNvGrpSpPr>
            <a:grpSpLocks/>
          </xdr:cNvGrpSpPr>
        </xdr:nvGrpSpPr>
        <xdr:grpSpPr bwMode="auto">
          <a:xfrm>
            <a:off x="60" y="263"/>
            <a:ext cx="151" cy="32"/>
            <a:chOff x="1104968" y="2771584"/>
            <a:chExt cx="3605494" cy="566957"/>
          </a:xfrm>
        </xdr:grpSpPr>
        <xdr:sp macro="" textlink="">
          <xdr:nvSpPr>
            <xdr:cNvPr id="9" name="AutoShape 31">
              <a:hlinkClick xmlns:r="http://schemas.openxmlformats.org/officeDocument/2006/relationships" r:id="rId11"/>
              <a:extLst>
                <a:ext uri="{FF2B5EF4-FFF2-40B4-BE49-F238E27FC236}">
                  <a16:creationId xmlns:a16="http://schemas.microsoft.com/office/drawing/2014/main" id="{00000000-0008-0000-0000-000009000000}"/>
                </a:ext>
              </a:extLst>
            </xdr:cNvPr>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Сведения о гранте</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3930529" name="37 Grupo">
          <a:hlinkClick xmlns:r="http://schemas.openxmlformats.org/officeDocument/2006/relationships" r:id="rId12"/>
          <a:extLst>
            <a:ext uri="{FF2B5EF4-FFF2-40B4-BE49-F238E27FC236}">
              <a16:creationId xmlns:a16="http://schemas.microsoft.com/office/drawing/2014/main" id="{00000000-0008-0000-0000-0000A1F93B00}"/>
            </a:ext>
          </a:extLst>
        </xdr:cNvPr>
        <xdr:cNvGrpSpPr>
          <a:grpSpLocks/>
        </xdr:cNvGrpSpPr>
      </xdr:nvGrpSpPr>
      <xdr:grpSpPr bwMode="auto">
        <a:xfrm>
          <a:off x="599017" y="2367492"/>
          <a:ext cx="1579033" cy="360891"/>
          <a:chOff x="1343025" y="2428876"/>
          <a:chExt cx="3240982" cy="617274"/>
        </a:xfrm>
      </xdr:grpSpPr>
      <xdr:sp macro="" textlink="">
        <xdr:nvSpPr>
          <xdr:cNvPr id="3930541" name="AutoShape 30">
            <a:extLst>
              <a:ext uri="{FF2B5EF4-FFF2-40B4-BE49-F238E27FC236}">
                <a16:creationId xmlns:a16="http://schemas.microsoft.com/office/drawing/2014/main" id="{00000000-0008-0000-0000-0000ADF93B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42" name="13 Grupo">
            <a:extLst>
              <a:ext uri="{FF2B5EF4-FFF2-40B4-BE49-F238E27FC236}">
                <a16:creationId xmlns:a16="http://schemas.microsoft.com/office/drawing/2014/main" id="{00000000-0008-0000-0000-0000AEF93B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Показатели</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3930530" name="37 Grupo">
          <a:hlinkClick xmlns:r="http://schemas.openxmlformats.org/officeDocument/2006/relationships" r:id="rId13"/>
          <a:extLst>
            <a:ext uri="{FF2B5EF4-FFF2-40B4-BE49-F238E27FC236}">
              <a16:creationId xmlns:a16="http://schemas.microsoft.com/office/drawing/2014/main" id="{00000000-0008-0000-0000-0000A2F93B00}"/>
            </a:ext>
          </a:extLst>
        </xdr:cNvPr>
        <xdr:cNvGrpSpPr>
          <a:grpSpLocks/>
        </xdr:cNvGrpSpPr>
      </xdr:nvGrpSpPr>
      <xdr:grpSpPr bwMode="auto">
        <a:xfrm>
          <a:off x="599017" y="2890308"/>
          <a:ext cx="1579033" cy="360892"/>
          <a:chOff x="1343025" y="2428876"/>
          <a:chExt cx="3240982" cy="617274"/>
        </a:xfrm>
      </xdr:grpSpPr>
      <xdr:sp macro="" textlink="">
        <xdr:nvSpPr>
          <xdr:cNvPr id="3930537" name="AutoShape 30">
            <a:extLst>
              <a:ext uri="{FF2B5EF4-FFF2-40B4-BE49-F238E27FC236}">
                <a16:creationId xmlns:a16="http://schemas.microsoft.com/office/drawing/2014/main" id="{00000000-0008-0000-0000-0000A9F93B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38" name="13 Grupo">
            <a:extLst>
              <a:ext uri="{FF2B5EF4-FFF2-40B4-BE49-F238E27FC236}">
                <a16:creationId xmlns:a16="http://schemas.microsoft.com/office/drawing/2014/main" id="{00000000-0008-0000-0000-0000AAF93B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hlinkClick xmlns:r="http://schemas.openxmlformats.org/officeDocument/2006/relationships" r:id="rId14"/>
              <a:extLst>
                <a:ext uri="{FF2B5EF4-FFF2-40B4-BE49-F238E27FC236}">
                  <a16:creationId xmlns:a16="http://schemas.microsoft.com/office/drawing/2014/main" id="{00000000-0008-0000-0000-00000E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Ввод данных</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3930531" name="Picture 2012">
          <a:extLst>
            <a:ext uri="{FF2B5EF4-FFF2-40B4-BE49-F238E27FC236}">
              <a16:creationId xmlns:a16="http://schemas.microsoft.com/office/drawing/2014/main" id="{00000000-0008-0000-0000-0000A3F93B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az-Cyrl-AZ" sz="1200" b="0" i="0" u="none" strike="noStrike" baseline="0">
              <a:solidFill>
                <a:srgbClr val="000000"/>
              </a:solidFill>
              <a:latin typeface="Arial"/>
              <a:cs typeface="Arial"/>
            </a:rPr>
            <a:t>Информация о гранте</a:t>
          </a:r>
          <a:endParaRPr lang="az-Cyrl-AZ" sz="1800" b="0" i="0" u="none" strike="noStrike" baseline="0">
            <a:solidFill>
              <a:srgbClr val="000000"/>
            </a:solidFill>
            <a:latin typeface="Arial"/>
            <a:cs typeface="Arial"/>
          </a:endParaRPr>
        </a:p>
        <a:p>
          <a:pPr algn="ctr" rtl="0">
            <a:defRPr sz="1000"/>
          </a:pPr>
          <a:endParaRPr lang="az-Cyrl-AZ" sz="1800" b="0" i="0" u="none" strike="noStrike" baseline="0">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3930533" name="Picture 2016">
          <a:extLst>
            <a:ext uri="{FF2B5EF4-FFF2-40B4-BE49-F238E27FC236}">
              <a16:creationId xmlns:a16="http://schemas.microsoft.com/office/drawing/2014/main" id="{00000000-0008-0000-0000-0000A5F93B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ru-RU" sz="1200" b="0" i="0" strike="noStrike">
              <a:solidFill>
                <a:srgbClr val="000000"/>
              </a:solidFill>
              <a:latin typeface="Arial"/>
              <a:cs typeface="Arial"/>
            </a:rPr>
            <a:t>Показатели</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3930535" name="Picture 2018">
          <a:extLst>
            <a:ext uri="{FF2B5EF4-FFF2-40B4-BE49-F238E27FC236}">
              <a16:creationId xmlns:a16="http://schemas.microsoft.com/office/drawing/2014/main" id="{00000000-0008-0000-0000-0000A7F93B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ru-RU" sz="1200" b="0" i="0" strike="noStrike">
              <a:solidFill>
                <a:srgbClr val="000000"/>
              </a:solidFill>
              <a:latin typeface="Arial"/>
              <a:cs typeface="Arial"/>
            </a:rPr>
            <a:t>Отчеты</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71" name="Picture 2" descr="C:\Documents and Settings\Administrator\My Documents\My Pictures\Prueba.jpg">
          <a:extLst>
            <a:ext uri="{FF2B5EF4-FFF2-40B4-BE49-F238E27FC236}">
              <a16:creationId xmlns:a16="http://schemas.microsoft.com/office/drawing/2014/main" id="{00000000-0008-0000-0900-00002B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942975</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3</xdr:col>
      <xdr:colOff>38100</xdr:colOff>
      <xdr:row>55</xdr:row>
      <xdr:rowOff>144991</xdr:rowOff>
    </xdr:from>
    <xdr:to>
      <xdr:col>3</xdr:col>
      <xdr:colOff>885825</xdr:colOff>
      <xdr:row>55</xdr:row>
      <xdr:rowOff>144991</xdr:rowOff>
    </xdr:to>
    <xdr:cxnSp macro="">
      <xdr:nvCxnSpPr>
        <xdr:cNvPr id="7137" name="AutoShape 101">
          <a:extLst>
            <a:ext uri="{FF2B5EF4-FFF2-40B4-BE49-F238E27FC236}">
              <a16:creationId xmlns:a16="http://schemas.microsoft.com/office/drawing/2014/main" id="{00000000-0008-0000-0200-0000E11B0000}"/>
            </a:ext>
          </a:extLst>
        </xdr:cNvPr>
        <xdr:cNvCxnSpPr>
          <a:cxnSpLocks noChangeShapeType="1"/>
        </xdr:cNvCxnSpPr>
      </xdr:nvCxnSpPr>
      <xdr:spPr bwMode="auto">
        <a:xfrm flipH="1">
          <a:off x="6684433" y="7405158"/>
          <a:ext cx="847725"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405342</xdr:colOff>
      <xdr:row>34</xdr:row>
      <xdr:rowOff>48683</xdr:rowOff>
    </xdr:from>
    <xdr:to>
      <xdr:col>11</xdr:col>
      <xdr:colOff>414867</xdr:colOff>
      <xdr:row>55</xdr:row>
      <xdr:rowOff>10583</xdr:rowOff>
    </xdr:to>
    <xdr:cxnSp macro="">
      <xdr:nvCxnSpPr>
        <xdr:cNvPr id="7138" name="Straight Arrow Connector 9">
          <a:extLst>
            <a:ext uri="{FF2B5EF4-FFF2-40B4-BE49-F238E27FC236}">
              <a16:creationId xmlns:a16="http://schemas.microsoft.com/office/drawing/2014/main" id="{00000000-0008-0000-0200-0000E21B0000}"/>
            </a:ext>
          </a:extLst>
        </xdr:cNvPr>
        <xdr:cNvCxnSpPr>
          <a:cxnSpLocks noChangeShapeType="1"/>
        </xdr:cNvCxnSpPr>
      </xdr:nvCxnSpPr>
      <xdr:spPr bwMode="auto">
        <a:xfrm flipH="1">
          <a:off x="15550092" y="5329766"/>
          <a:ext cx="9525" cy="1940984"/>
        </a:xfrm>
        <a:prstGeom prst="straightConnector1">
          <a:avLst/>
        </a:prstGeom>
        <a:noFill/>
        <a:ln w="9525" algn="ctr">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54332" name="Chart 32">
          <a:extLst>
            <a:ext uri="{FF2B5EF4-FFF2-40B4-BE49-F238E27FC236}">
              <a16:creationId xmlns:a16="http://schemas.microsoft.com/office/drawing/2014/main" id="{00000000-0008-0000-0400-0000BC8D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0</xdr:col>
      <xdr:colOff>92364</xdr:colOff>
      <xdr:row>24</xdr:row>
      <xdr:rowOff>23090</xdr:rowOff>
    </xdr:from>
    <xdr:to>
      <xdr:col>6</xdr:col>
      <xdr:colOff>139211</xdr:colOff>
      <xdr:row>33</xdr:row>
      <xdr:rowOff>21980</xdr:rowOff>
    </xdr:to>
    <xdr:graphicFrame macro="">
      <xdr:nvGraphicFramePr>
        <xdr:cNvPr id="2854334" name="Chart 34">
          <a:extLst>
            <a:ext uri="{FF2B5EF4-FFF2-40B4-BE49-F238E27FC236}">
              <a16:creationId xmlns:a16="http://schemas.microsoft.com/office/drawing/2014/main" id="{00000000-0008-0000-0400-0000BE8D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161925</xdr:colOff>
      <xdr:row>9</xdr:row>
      <xdr:rowOff>66675</xdr:rowOff>
    </xdr:from>
    <xdr:to>
      <xdr:col>13</xdr:col>
      <xdr:colOff>171450</xdr:colOff>
      <xdr:row>20</xdr:row>
      <xdr:rowOff>76200</xdr:rowOff>
    </xdr:to>
    <xdr:graphicFrame macro="">
      <xdr:nvGraphicFramePr>
        <xdr:cNvPr id="2854335" name="Chart 7">
          <a:extLst>
            <a:ext uri="{FF2B5EF4-FFF2-40B4-BE49-F238E27FC236}">
              <a16:creationId xmlns:a16="http://schemas.microsoft.com/office/drawing/2014/main" id="{00000000-0008-0000-0400-0000BF8D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64477</xdr:colOff>
      <xdr:row>19</xdr:row>
      <xdr:rowOff>133351</xdr:rowOff>
    </xdr:from>
    <xdr:to>
      <xdr:col>13</xdr:col>
      <xdr:colOff>209550</xdr:colOff>
      <xdr:row>20</xdr:row>
      <xdr:rowOff>105509</xdr:rowOff>
    </xdr:to>
    <xdr:grpSp>
      <xdr:nvGrpSpPr>
        <xdr:cNvPr id="2854336" name="Group 6">
          <a:extLst>
            <a:ext uri="{FF2B5EF4-FFF2-40B4-BE49-F238E27FC236}">
              <a16:creationId xmlns:a16="http://schemas.microsoft.com/office/drawing/2014/main" id="{00000000-0008-0000-0400-0000C08D2B00}"/>
            </a:ext>
          </a:extLst>
        </xdr:cNvPr>
        <xdr:cNvGrpSpPr>
          <a:grpSpLocks/>
        </xdr:cNvGrpSpPr>
      </xdr:nvGrpSpPr>
      <xdr:grpSpPr bwMode="auto">
        <a:xfrm>
          <a:off x="4982841" y="4243533"/>
          <a:ext cx="3545209" cy="156885"/>
          <a:chOff x="0" y="0"/>
          <a:chExt cx="37352" cy="2842"/>
        </a:xfrm>
      </xdr:grpSpPr>
      <xdr:sp macro="" textlink="">
        <xdr:nvSpPr>
          <xdr:cNvPr id="2854337" name="Rectangle 1">
            <a:extLst>
              <a:ext uri="{FF2B5EF4-FFF2-40B4-BE49-F238E27FC236}">
                <a16:creationId xmlns:a16="http://schemas.microsoft.com/office/drawing/2014/main" id="{00000000-0008-0000-0400-0000C18D2B00}"/>
              </a:ext>
            </a:extLst>
          </xdr:cNvPr>
          <xdr:cNvSpPr>
            <a:spLocks noChangeArrowheads="1"/>
          </xdr:cNvSpPr>
        </xdr:nvSpPr>
        <xdr:spPr bwMode="auto">
          <a:xfrm>
            <a:off x="0" y="603"/>
            <a:ext cx="1639" cy="1726"/>
          </a:xfrm>
          <a:prstGeom prst="rect">
            <a:avLst/>
          </a:prstGeom>
          <a:solidFill>
            <a:srgbClr val="AEC9E4">
              <a:alpha val="94116"/>
            </a:srgbClr>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854231" name="Rectangle 3">
            <a:extLst>
              <a:ext uri="{FF2B5EF4-FFF2-40B4-BE49-F238E27FC236}">
                <a16:creationId xmlns:a16="http://schemas.microsoft.com/office/drawing/2014/main" id="{00000000-0008-0000-0400-0000578D2B00}"/>
              </a:ext>
            </a:extLst>
          </xdr:cNvPr>
          <xdr:cNvSpPr>
            <a:spLocks noChangeArrowheads="1"/>
          </xdr:cNvSpPr>
        </xdr:nvSpPr>
        <xdr:spPr bwMode="auto">
          <a:xfrm>
            <a:off x="2393" y="0"/>
            <a:ext cx="15815" cy="2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36000" tIns="36000" rIns="36000" bIns="36000" anchor="t" upright="1"/>
          <a:lstStyle/>
          <a:p>
            <a:pPr algn="l" rtl="0">
              <a:defRPr sz="1000"/>
            </a:pPr>
            <a:r>
              <a:rPr lang="ru-RU" sz="800" b="0" i="0" u="none" strike="noStrike" baseline="0">
                <a:solidFill>
                  <a:srgbClr val="000000"/>
                </a:solidFill>
                <a:latin typeface="Calibri"/>
                <a:cs typeface="Calibri"/>
              </a:rPr>
              <a:t>Текущий отчетный период</a:t>
            </a:r>
          </a:p>
        </xdr:txBody>
      </xdr:sp>
      <xdr:sp macro="" textlink="">
        <xdr:nvSpPr>
          <xdr:cNvPr id="2854339" name="Rectangle 4">
            <a:extLst>
              <a:ext uri="{FF2B5EF4-FFF2-40B4-BE49-F238E27FC236}">
                <a16:creationId xmlns:a16="http://schemas.microsoft.com/office/drawing/2014/main" id="{00000000-0008-0000-0400-0000C38D2B00}"/>
              </a:ext>
            </a:extLst>
          </xdr:cNvPr>
          <xdr:cNvSpPr>
            <a:spLocks noChangeArrowheads="1"/>
          </xdr:cNvSpPr>
        </xdr:nvSpPr>
        <xdr:spPr bwMode="auto">
          <a:xfrm>
            <a:off x="19150" y="776"/>
            <a:ext cx="1639" cy="1725"/>
          </a:xfrm>
          <a:prstGeom prst="rect">
            <a:avLst/>
          </a:prstGeom>
          <a:solidFill>
            <a:srgbClr val="005CB8"/>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854229" name="Rectangle 5">
            <a:extLst>
              <a:ext uri="{FF2B5EF4-FFF2-40B4-BE49-F238E27FC236}">
                <a16:creationId xmlns:a16="http://schemas.microsoft.com/office/drawing/2014/main" id="{00000000-0008-0000-0400-0000558D2B00}"/>
              </a:ext>
            </a:extLst>
          </xdr:cNvPr>
          <xdr:cNvSpPr>
            <a:spLocks noChangeArrowheads="1"/>
          </xdr:cNvSpPr>
        </xdr:nvSpPr>
        <xdr:spPr bwMode="auto">
          <a:xfrm>
            <a:off x="21537" y="0"/>
            <a:ext cx="15815" cy="2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36000" tIns="36000" rIns="36000" bIns="36000" anchor="t" upright="1"/>
          <a:lstStyle/>
          <a:p>
            <a:pPr algn="l" rtl="0">
              <a:defRPr sz="1000"/>
            </a:pPr>
            <a:r>
              <a:rPr lang="ru-RU" sz="800" b="0" i="0" u="none" strike="noStrike" baseline="0">
                <a:solidFill>
                  <a:srgbClr val="000000"/>
                </a:solidFill>
                <a:latin typeface="Calibri"/>
                <a:cs typeface="Calibri"/>
              </a:rPr>
              <a:t>До отчетного периода</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238125</xdr:colOff>
      <xdr:row>18</xdr:row>
      <xdr:rowOff>2447924</xdr:rowOff>
    </xdr:from>
    <xdr:to>
      <xdr:col>12</xdr:col>
      <xdr:colOff>914400</xdr:colOff>
      <xdr:row>26</xdr:row>
      <xdr:rowOff>47625</xdr:rowOff>
    </xdr:to>
    <xdr:graphicFrame macro="">
      <xdr:nvGraphicFramePr>
        <xdr:cNvPr id="2870841" name="Chart 1054">
          <a:extLst>
            <a:ext uri="{FF2B5EF4-FFF2-40B4-BE49-F238E27FC236}">
              <a16:creationId xmlns:a16="http://schemas.microsoft.com/office/drawing/2014/main" id="{00000000-0008-0000-0500-000039CE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2"/>
          <a:extLst>
            <a:ext uri="{FF2B5EF4-FFF2-40B4-BE49-F238E27FC236}">
              <a16:creationId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7</xdr:col>
      <xdr:colOff>247650</xdr:colOff>
      <xdr:row>8</xdr:row>
      <xdr:rowOff>9524</xdr:rowOff>
    </xdr:from>
    <xdr:to>
      <xdr:col>12</xdr:col>
      <xdr:colOff>933450</xdr:colOff>
      <xdr:row>16</xdr:row>
      <xdr:rowOff>476249</xdr:rowOff>
    </xdr:to>
    <xdr:graphicFrame macro="">
      <xdr:nvGraphicFramePr>
        <xdr:cNvPr id="9" name="Диаграмма 8">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219074</xdr:colOff>
      <xdr:row>8</xdr:row>
      <xdr:rowOff>0</xdr:rowOff>
    </xdr:from>
    <xdr:to>
      <xdr:col>5</xdr:col>
      <xdr:colOff>1123949</xdr:colOff>
      <xdr:row>16</xdr:row>
      <xdr:rowOff>504825</xdr:rowOff>
    </xdr:to>
    <xdr:graphicFrame macro="">
      <xdr:nvGraphicFramePr>
        <xdr:cNvPr id="10" name="Chart 1046">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19</xdr:row>
      <xdr:rowOff>0</xdr:rowOff>
    </xdr:from>
    <xdr:to>
      <xdr:col>5</xdr:col>
      <xdr:colOff>1123950</xdr:colOff>
      <xdr:row>26</xdr:row>
      <xdr:rowOff>76200</xdr:rowOff>
    </xdr:to>
    <xdr:graphicFrame macro="">
      <xdr:nvGraphicFramePr>
        <xdr:cNvPr id="11" name="Диаграмма 10">
          <a:extLst>
            <a:ext uri="{FF2B5EF4-FFF2-40B4-BE49-F238E27FC236}">
              <a16:creationId xmlns:a16="http://schemas.microsoft.com/office/drawing/2014/main" id="{00000000-0008-0000-05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xdr:colOff>
      <xdr:row>30</xdr:row>
      <xdr:rowOff>9525</xdr:rowOff>
    </xdr:from>
    <xdr:to>
      <xdr:col>5</xdr:col>
      <xdr:colOff>1085850</xdr:colOff>
      <xdr:row>37</xdr:row>
      <xdr:rowOff>114300</xdr:rowOff>
    </xdr:to>
    <xdr:graphicFrame macro="">
      <xdr:nvGraphicFramePr>
        <xdr:cNvPr id="8" name="Диаграмма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1"/>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0</xdr:col>
      <xdr:colOff>212910</xdr:colOff>
      <xdr:row>9</xdr:row>
      <xdr:rowOff>0</xdr:rowOff>
    </xdr:from>
    <xdr:to>
      <xdr:col>4</xdr:col>
      <xdr:colOff>952499</xdr:colOff>
      <xdr:row>19</xdr:row>
      <xdr:rowOff>69971</xdr:rowOff>
    </xdr:to>
    <xdr:graphicFrame macro="">
      <xdr:nvGraphicFramePr>
        <xdr:cNvPr id="10" name="Диаграмма 9">
          <a:extLst>
            <a:ext uri="{FF2B5EF4-FFF2-40B4-BE49-F238E27FC236}">
              <a16:creationId xmlns:a16="http://schemas.microsoft.com/office/drawing/2014/main" id="{00000000-0008-0000-0600-00000A000000}"/>
            </a:ext>
            <a:ext uri="{147F2762-F138-4A5C-976F-8EAC2B608ADB}">
              <a16:predDERef xmlns:a16="http://schemas.microsoft.com/office/drawing/2014/main" pred="{00000000-0008-0000-0600-00007D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5044</xdr:colOff>
      <xdr:row>9</xdr:row>
      <xdr:rowOff>0</xdr:rowOff>
    </xdr:from>
    <xdr:to>
      <xdr:col>11</xdr:col>
      <xdr:colOff>0</xdr:colOff>
      <xdr:row>19</xdr:row>
      <xdr:rowOff>67771</xdr:rowOff>
    </xdr:to>
    <xdr:graphicFrame macro="">
      <xdr:nvGraphicFramePr>
        <xdr:cNvPr id="12" name="Диаграмма 11">
          <a:extLst>
            <a:ext uri="{FF2B5EF4-FFF2-40B4-BE49-F238E27FC236}">
              <a16:creationId xmlns:a16="http://schemas.microsoft.com/office/drawing/2014/main"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9</xdr:row>
      <xdr:rowOff>1682</xdr:rowOff>
    </xdr:from>
    <xdr:to>
      <xdr:col>17</xdr:col>
      <xdr:colOff>0</xdr:colOff>
      <xdr:row>19</xdr:row>
      <xdr:rowOff>50362</xdr:rowOff>
    </xdr:to>
    <xdr:graphicFrame macro="">
      <xdr:nvGraphicFramePr>
        <xdr:cNvPr id="13" name="Диаграмма 12">
          <a:extLst>
            <a:ext uri="{FF2B5EF4-FFF2-40B4-BE49-F238E27FC236}">
              <a16:creationId xmlns:a16="http://schemas.microsoft.com/office/drawing/2014/main" id="{00000000-0008-0000-06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19050</xdr:colOff>
      <xdr:row>37</xdr:row>
      <xdr:rowOff>9525</xdr:rowOff>
    </xdr:from>
    <xdr:to>
      <xdr:col>5</xdr:col>
      <xdr:colOff>28575</xdr:colOff>
      <xdr:row>47</xdr:row>
      <xdr:rowOff>66675</xdr:rowOff>
    </xdr:to>
    <xdr:graphicFrame macro="">
      <xdr:nvGraphicFramePr>
        <xdr:cNvPr id="14" name="Диаграмма 13">
          <a:extLst>
            <a:ext uri="{FF2B5EF4-FFF2-40B4-BE49-F238E27FC236}">
              <a16:creationId xmlns:a16="http://schemas.microsoft.com/office/drawing/2014/main" id="{00000000-0008-0000-0600-00000E000000}"/>
            </a:ext>
            <a:ext uri="{147F2762-F138-4A5C-976F-8EAC2B608ADB}">
              <a16:predDERef xmlns:a16="http://schemas.microsoft.com/office/drawing/2014/main" pred="{00000000-0008-0000-06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952500</xdr:colOff>
      <xdr:row>37</xdr:row>
      <xdr:rowOff>0</xdr:rowOff>
    </xdr:from>
    <xdr:to>
      <xdr:col>10</xdr:col>
      <xdr:colOff>1428750</xdr:colOff>
      <xdr:row>47</xdr:row>
      <xdr:rowOff>66675</xdr:rowOff>
    </xdr:to>
    <xdr:graphicFrame macro="">
      <xdr:nvGraphicFramePr>
        <xdr:cNvPr id="15" name="Диаграмма 14">
          <a:extLst>
            <a:ext uri="{FF2B5EF4-FFF2-40B4-BE49-F238E27FC236}">
              <a16:creationId xmlns:a16="http://schemas.microsoft.com/office/drawing/2014/main" id="{00000000-0008-0000-0600-00000F000000}"/>
            </a:ext>
            <a:ext uri="{147F2762-F138-4A5C-976F-8EAC2B608ADB}">
              <a16:predDERef xmlns:a16="http://schemas.microsoft.com/office/drawing/2014/main" pre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11907</xdr:colOff>
      <xdr:row>37</xdr:row>
      <xdr:rowOff>0</xdr:rowOff>
    </xdr:from>
    <xdr:to>
      <xdr:col>17</xdr:col>
      <xdr:colOff>11907</xdr:colOff>
      <xdr:row>47</xdr:row>
      <xdr:rowOff>68356</xdr:rowOff>
    </xdr:to>
    <xdr:graphicFrame macro="">
      <xdr:nvGraphicFramePr>
        <xdr:cNvPr id="16" name="Диаграмма 15">
          <a:extLst>
            <a:ext uri="{FF2B5EF4-FFF2-40B4-BE49-F238E27FC236}">
              <a16:creationId xmlns:a16="http://schemas.microsoft.com/office/drawing/2014/main" id="{00000000-0008-0000-0600-000010000000}"/>
            </a:ext>
            <a:ext uri="{147F2762-F138-4A5C-976F-8EAC2B608ADB}">
              <a16:predDERef xmlns:a16="http://schemas.microsoft.com/office/drawing/2014/main" pre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5135" name="Group 41">
          <a:extLst>
            <a:ext uri="{FF2B5EF4-FFF2-40B4-BE49-F238E27FC236}">
              <a16:creationId xmlns:a16="http://schemas.microsoft.com/office/drawing/2014/main" id="{00000000-0008-0000-0700-00007F6A3400}"/>
            </a:ext>
          </a:extLst>
        </xdr:cNvPr>
        <xdr:cNvGrpSpPr>
          <a:grpSpLocks/>
        </xdr:cNvGrpSpPr>
      </xdr:nvGrpSpPr>
      <xdr:grpSpPr bwMode="auto">
        <a:xfrm>
          <a:off x="5827889" y="5524500"/>
          <a:ext cx="85725" cy="0"/>
          <a:chOff x="595" y="540"/>
          <a:chExt cx="9" cy="9"/>
        </a:xfrm>
      </xdr:grpSpPr>
      <xdr:sp macro="" textlink="">
        <xdr:nvSpPr>
          <xdr:cNvPr id="3435146" name="Rectangle 11">
            <a:extLst>
              <a:ext uri="{FF2B5EF4-FFF2-40B4-BE49-F238E27FC236}">
                <a16:creationId xmlns:a16="http://schemas.microsoft.com/office/drawing/2014/main" id="{00000000-0008-0000-0700-00008A6A34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7" name="Arc 12">
            <a:extLst>
              <a:ext uri="{FF2B5EF4-FFF2-40B4-BE49-F238E27FC236}">
                <a16:creationId xmlns:a16="http://schemas.microsoft.com/office/drawing/2014/main" id="{00000000-0008-0000-0700-00008B6A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5136" name="Group 44">
          <a:extLst>
            <a:ext uri="{FF2B5EF4-FFF2-40B4-BE49-F238E27FC236}">
              <a16:creationId xmlns:a16="http://schemas.microsoft.com/office/drawing/2014/main" id="{00000000-0008-0000-0700-0000806A3400}"/>
            </a:ext>
          </a:extLst>
        </xdr:cNvPr>
        <xdr:cNvGrpSpPr>
          <a:grpSpLocks/>
        </xdr:cNvGrpSpPr>
      </xdr:nvGrpSpPr>
      <xdr:grpSpPr bwMode="auto">
        <a:xfrm>
          <a:off x="6808964" y="5524500"/>
          <a:ext cx="136172" cy="0"/>
          <a:chOff x="698" y="540"/>
          <a:chExt cx="9" cy="9"/>
        </a:xfrm>
      </xdr:grpSpPr>
      <xdr:sp macro="" textlink="">
        <xdr:nvSpPr>
          <xdr:cNvPr id="3435144" name="Rectangle 47">
            <a:extLst>
              <a:ext uri="{FF2B5EF4-FFF2-40B4-BE49-F238E27FC236}">
                <a16:creationId xmlns:a16="http://schemas.microsoft.com/office/drawing/2014/main" id="{00000000-0008-0000-0700-0000886A34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5" name="Arc 48">
            <a:extLst>
              <a:ext uri="{FF2B5EF4-FFF2-40B4-BE49-F238E27FC236}">
                <a16:creationId xmlns:a16="http://schemas.microsoft.com/office/drawing/2014/main" id="{00000000-0008-0000-0700-0000896A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781050</xdr:colOff>
      <xdr:row>20</xdr:row>
      <xdr:rowOff>0</xdr:rowOff>
    </xdr:from>
    <xdr:to>
      <xdr:col>7</xdr:col>
      <xdr:colOff>0</xdr:colOff>
      <xdr:row>20</xdr:row>
      <xdr:rowOff>0</xdr:rowOff>
    </xdr:to>
    <xdr:grpSp>
      <xdr:nvGrpSpPr>
        <xdr:cNvPr id="3435137" name="Group 47">
          <a:extLst>
            <a:ext uri="{FF2B5EF4-FFF2-40B4-BE49-F238E27FC236}">
              <a16:creationId xmlns:a16="http://schemas.microsoft.com/office/drawing/2014/main" id="{00000000-0008-0000-0700-0000816A3400}"/>
            </a:ext>
          </a:extLst>
        </xdr:cNvPr>
        <xdr:cNvGrpSpPr>
          <a:grpSpLocks/>
        </xdr:cNvGrpSpPr>
      </xdr:nvGrpSpPr>
      <xdr:grpSpPr bwMode="auto">
        <a:xfrm>
          <a:off x="5402439" y="5524500"/>
          <a:ext cx="129117" cy="0"/>
          <a:chOff x="698" y="540"/>
          <a:chExt cx="9" cy="9"/>
        </a:xfrm>
      </xdr:grpSpPr>
      <xdr:sp macro="" textlink="">
        <xdr:nvSpPr>
          <xdr:cNvPr id="3435142" name="Rectangle 47">
            <a:extLst>
              <a:ext uri="{FF2B5EF4-FFF2-40B4-BE49-F238E27FC236}">
                <a16:creationId xmlns:a16="http://schemas.microsoft.com/office/drawing/2014/main" id="{00000000-0008-0000-0700-0000866A34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3" name="Arc 48">
            <a:extLst>
              <a:ext uri="{FF2B5EF4-FFF2-40B4-BE49-F238E27FC236}">
                <a16:creationId xmlns:a16="http://schemas.microsoft.com/office/drawing/2014/main" id="{00000000-0008-0000-0700-0000876A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0</xdr:colOff>
      <xdr:row>20</xdr:row>
      <xdr:rowOff>0</xdr:rowOff>
    </xdr:from>
    <xdr:to>
      <xdr:col>3</xdr:col>
      <xdr:colOff>85725</xdr:colOff>
      <xdr:row>20</xdr:row>
      <xdr:rowOff>0</xdr:rowOff>
    </xdr:to>
    <xdr:grpSp>
      <xdr:nvGrpSpPr>
        <xdr:cNvPr id="3435138" name="Group 50">
          <a:extLst>
            <a:ext uri="{FF2B5EF4-FFF2-40B4-BE49-F238E27FC236}">
              <a16:creationId xmlns:a16="http://schemas.microsoft.com/office/drawing/2014/main" id="{00000000-0008-0000-0700-0000826A3400}"/>
            </a:ext>
          </a:extLst>
        </xdr:cNvPr>
        <xdr:cNvGrpSpPr>
          <a:grpSpLocks/>
        </xdr:cNvGrpSpPr>
      </xdr:nvGrpSpPr>
      <xdr:grpSpPr bwMode="auto">
        <a:xfrm>
          <a:off x="1516944" y="5524500"/>
          <a:ext cx="85725" cy="0"/>
          <a:chOff x="595" y="540"/>
          <a:chExt cx="9" cy="9"/>
        </a:xfrm>
      </xdr:grpSpPr>
      <xdr:sp macro="" textlink="">
        <xdr:nvSpPr>
          <xdr:cNvPr id="3435140" name="Rectangle 11">
            <a:extLst>
              <a:ext uri="{FF2B5EF4-FFF2-40B4-BE49-F238E27FC236}">
                <a16:creationId xmlns:a16="http://schemas.microsoft.com/office/drawing/2014/main" id="{00000000-0008-0000-0700-0000846A34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1" name="Arc 12">
            <a:extLst>
              <a:ext uri="{FF2B5EF4-FFF2-40B4-BE49-F238E27FC236}">
                <a16:creationId xmlns:a16="http://schemas.microsoft.com/office/drawing/2014/main" id="{00000000-0008-0000-0700-0000856A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518" name="Chart 1">
          <a:extLst>
            <a:ext uri="{FF2B5EF4-FFF2-40B4-BE49-F238E27FC236}">
              <a16:creationId xmlns:a16="http://schemas.microsoft.com/office/drawing/2014/main" id="{00000000-0008-0000-0800-0000EE8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sheetPr>
  <dimension ref="B1:O22"/>
  <sheetViews>
    <sheetView showGridLines="0" showRowColHeaders="0" zoomScale="120" zoomScaleNormal="100" workbookViewId="0">
      <selection activeCell="D32" sqref="D32"/>
    </sheetView>
  </sheetViews>
  <sheetFormatPr defaultColWidth="11" defaultRowHeight="14.5"/>
  <cols>
    <col min="1" max="1" width="1.1796875" customWidth="1"/>
    <col min="2" max="10" width="11.453125" customWidth="1"/>
    <col min="11" max="11" width="1.7265625" customWidth="1"/>
  </cols>
  <sheetData>
    <row r="1" spans="2:15" ht="25.5" customHeight="1"/>
    <row r="2" spans="2:15" ht="36">
      <c r="B2" s="665" t="str">
        <f>+"Панель показателей:  "&amp;"  "&amp;IF(+'Ввод данных'!B4="Выберите","",'Ввод данных'!B4&amp;" - ")&amp;IF('Ввод данных'!F6="Выберите","",'Ввод данных'!F6)</f>
        <v>Панель показателей:    Кыргызстан - ВИЧ/СПИД/ТБ</v>
      </c>
      <c r="C2" s="665"/>
      <c r="D2" s="665"/>
      <c r="E2" s="665"/>
      <c r="F2" s="665"/>
      <c r="G2" s="665"/>
      <c r="H2" s="665"/>
      <c r="I2" s="665"/>
      <c r="J2" s="665"/>
      <c r="K2" s="665"/>
      <c r="L2" s="665"/>
      <c r="M2" s="665"/>
      <c r="N2" s="1"/>
      <c r="O2" s="1"/>
    </row>
    <row r="4" spans="2:15" ht="21">
      <c r="B4" s="661" t="str">
        <f>+IF('Ввод данных'!F6="Выберите", "",'Ввод данных'!F6) &amp;"  "&amp;+IF('Ввод данных'!F8="Выберите", "", 'Ввод данных'!F8&amp;",  ")&amp;+IF('Ввод данных'!H8="Выберите","",'Ввод данных'!H8)</f>
        <v xml:space="preserve">ВИЧ/СПИД/ТБ  ,  </v>
      </c>
      <c r="C4" s="661"/>
      <c r="D4" s="661"/>
      <c r="E4" s="662"/>
      <c r="F4" s="193"/>
      <c r="G4" s="193"/>
      <c r="H4" s="256" t="str">
        <f>+'Ввод данных'!A6&amp;" "&amp;+'Ввод данных'!B6</f>
        <v>Грант № KGZ-C-UNDP</v>
      </c>
      <c r="I4" s="256"/>
      <c r="J4" s="192"/>
      <c r="K4" s="193"/>
      <c r="L4" s="193"/>
    </row>
    <row r="22" spans="2:12" ht="26">
      <c r="B22" s="663" t="s">
        <v>0</v>
      </c>
      <c r="C22" s="664"/>
      <c r="D22" s="664"/>
      <c r="E22" s="664"/>
      <c r="F22" s="664"/>
      <c r="G22" s="664"/>
      <c r="H22" s="664"/>
      <c r="I22" s="664"/>
      <c r="J22" s="664"/>
      <c r="K22" s="664"/>
      <c r="L22" s="664"/>
    </row>
  </sheetData>
  <sheetProtection password="CFC9" sheet="1"/>
  <mergeCells count="3">
    <mergeCell ref="B4:E4"/>
    <mergeCell ref="B22:L22"/>
    <mergeCell ref="B2:M2"/>
  </mergeCells>
  <phoneticPr fontId="30" type="noConversion"/>
  <pageMargins left="0.70866141732283472" right="0.70866141732283472" top="0.74803149606299213" bottom="0.74803149606299213" header="0.31496062992125984" footer="0.31496062992125984"/>
  <pageSetup paperSize="8"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B2:O144"/>
  <sheetViews>
    <sheetView showGridLines="0" topLeftCell="A16" zoomScale="80" zoomScaleNormal="80" workbookViewId="0">
      <selection activeCell="I28" sqref="I28:I30"/>
    </sheetView>
  </sheetViews>
  <sheetFormatPr defaultColWidth="11" defaultRowHeight="14.5"/>
  <cols>
    <col min="1" max="1" width="11.453125" customWidth="1"/>
    <col min="2" max="2" width="16.1796875" customWidth="1"/>
    <col min="3" max="3" width="14.7265625" customWidth="1"/>
    <col min="4" max="4" width="15.54296875" customWidth="1"/>
    <col min="5" max="6" width="11.453125" customWidth="1"/>
    <col min="7" max="7" width="14.453125" customWidth="1"/>
    <col min="8" max="8" width="35.54296875" customWidth="1"/>
    <col min="9" max="9" width="45.7265625" customWidth="1"/>
    <col min="10" max="10" width="33.54296875" customWidth="1"/>
    <col min="11" max="12" width="11.453125" customWidth="1"/>
    <col min="13" max="13" width="28.54296875" customWidth="1"/>
    <col min="14" max="14" width="46.453125" customWidth="1"/>
  </cols>
  <sheetData>
    <row r="2" spans="2:15" ht="25.5" customHeight="1"/>
    <row r="3" spans="2:15" ht="36">
      <c r="B3" s="1210" t="str">
        <f>'Сведения о гранте'!B3:J3</f>
        <v>Панель показателей:  Кыргызстан - ВИЧ/СПИД/ТБ</v>
      </c>
      <c r="C3" s="1210"/>
      <c r="D3" s="1210"/>
      <c r="E3" s="1210"/>
      <c r="F3" s="1210"/>
      <c r="G3" s="1210"/>
      <c r="H3" s="1210"/>
      <c r="I3" s="1"/>
    </row>
    <row r="6" spans="2:15" ht="18.5">
      <c r="B6" s="1211" t="s">
        <v>459</v>
      </c>
      <c r="C6" s="1211"/>
      <c r="D6" s="1211"/>
      <c r="E6" s="1211"/>
      <c r="F6" s="1211"/>
      <c r="G6" s="1211"/>
      <c r="H6" s="1211"/>
    </row>
    <row r="8" spans="2:15" ht="18.5">
      <c r="B8" s="58" t="s">
        <v>460</v>
      </c>
      <c r="C8" s="58" t="s">
        <v>461</v>
      </c>
      <c r="D8" s="58" t="s">
        <v>462</v>
      </c>
      <c r="E8" s="58" t="s">
        <v>463</v>
      </c>
      <c r="F8" s="58" t="s">
        <v>464</v>
      </c>
      <c r="G8" s="58" t="s">
        <v>419</v>
      </c>
      <c r="H8" s="58" t="s">
        <v>465</v>
      </c>
      <c r="I8" s="59" t="s">
        <v>466</v>
      </c>
      <c r="J8" s="59" t="s">
        <v>467</v>
      </c>
      <c r="M8" s="19"/>
      <c r="N8" s="19"/>
      <c r="O8" s="19"/>
    </row>
    <row r="9" spans="2:15">
      <c r="B9" s="299" t="s">
        <v>468</v>
      </c>
      <c r="C9" s="299" t="s">
        <v>468</v>
      </c>
      <c r="D9" s="299" t="s">
        <v>468</v>
      </c>
      <c r="E9" s="299" t="s">
        <v>468</v>
      </c>
      <c r="F9" s="299" t="s">
        <v>468</v>
      </c>
      <c r="G9" s="299" t="s">
        <v>468</v>
      </c>
      <c r="H9" s="299" t="s">
        <v>468</v>
      </c>
      <c r="I9" s="300" t="s">
        <v>468</v>
      </c>
      <c r="J9" s="299" t="s">
        <v>468</v>
      </c>
      <c r="M9" s="19"/>
      <c r="N9" s="19"/>
      <c r="O9" s="19"/>
    </row>
    <row r="10" spans="2:15">
      <c r="B10" s="54" t="s">
        <v>258</v>
      </c>
      <c r="C10" s="54" t="s">
        <v>147</v>
      </c>
      <c r="D10" s="54" t="s">
        <v>469</v>
      </c>
      <c r="E10" s="54" t="s">
        <v>470</v>
      </c>
      <c r="F10" s="54" t="s">
        <v>150</v>
      </c>
      <c r="G10" s="287" t="s">
        <v>471</v>
      </c>
      <c r="H10" s="57" t="s">
        <v>472</v>
      </c>
      <c r="I10" s="25" t="s">
        <v>473</v>
      </c>
      <c r="J10" s="299" t="s">
        <v>474</v>
      </c>
      <c r="M10" s="19"/>
      <c r="N10" s="19"/>
      <c r="O10" s="19"/>
    </row>
    <row r="11" spans="2:15">
      <c r="B11" s="54" t="s">
        <v>475</v>
      </c>
      <c r="C11" s="54" t="s">
        <v>476</v>
      </c>
      <c r="D11" s="54" t="s">
        <v>477</v>
      </c>
      <c r="E11" s="54" t="s">
        <v>478</v>
      </c>
      <c r="F11" s="54" t="s">
        <v>151</v>
      </c>
      <c r="G11" s="287" t="s">
        <v>130</v>
      </c>
      <c r="H11" s="57" t="s">
        <v>479</v>
      </c>
      <c r="I11" s="25" t="s">
        <v>480</v>
      </c>
      <c r="J11" s="299" t="s">
        <v>481</v>
      </c>
      <c r="M11" s="19"/>
      <c r="N11" s="19"/>
      <c r="O11" s="19"/>
    </row>
    <row r="12" spans="2:15">
      <c r="B12" s="54" t="s">
        <v>220</v>
      </c>
      <c r="D12" s="54" t="s">
        <v>482</v>
      </c>
      <c r="E12" s="54" t="s">
        <v>483</v>
      </c>
      <c r="F12" s="54" t="s">
        <v>152</v>
      </c>
      <c r="G12" s="287" t="s">
        <v>484</v>
      </c>
      <c r="H12" s="57" t="s">
        <v>485</v>
      </c>
      <c r="I12" s="25" t="s">
        <v>486</v>
      </c>
      <c r="J12" s="299" t="s">
        <v>487</v>
      </c>
      <c r="M12" s="167"/>
      <c r="N12" s="19"/>
      <c r="O12" s="19"/>
    </row>
    <row r="13" spans="2:15">
      <c r="B13" s="54" t="s">
        <v>120</v>
      </c>
      <c r="D13" s="54" t="s">
        <v>488</v>
      </c>
      <c r="E13" s="55"/>
      <c r="F13" s="54" t="s">
        <v>153</v>
      </c>
      <c r="G13" s="287" t="s">
        <v>489</v>
      </c>
      <c r="H13" s="57" t="s">
        <v>490</v>
      </c>
      <c r="I13" s="25" t="s">
        <v>491</v>
      </c>
      <c r="J13" s="299" t="s">
        <v>492</v>
      </c>
      <c r="M13" s="167"/>
      <c r="N13" s="19"/>
      <c r="O13" s="19"/>
    </row>
    <row r="14" spans="2:15">
      <c r="B14" s="54" t="s">
        <v>493</v>
      </c>
      <c r="D14" s="54" t="s">
        <v>494</v>
      </c>
      <c r="F14" s="54" t="s">
        <v>135</v>
      </c>
      <c r="G14" s="287" t="s">
        <v>495</v>
      </c>
      <c r="H14" s="57" t="s">
        <v>496</v>
      </c>
      <c r="I14" s="25" t="s">
        <v>497</v>
      </c>
      <c r="J14" s="299" t="s">
        <v>498</v>
      </c>
      <c r="M14" s="167"/>
      <c r="N14" s="19"/>
      <c r="O14" s="19"/>
    </row>
    <row r="15" spans="2:15">
      <c r="D15" s="54" t="s">
        <v>499</v>
      </c>
      <c r="F15" s="54" t="s">
        <v>154</v>
      </c>
      <c r="H15" s="57" t="s">
        <v>500</v>
      </c>
      <c r="I15" s="25" t="s">
        <v>501</v>
      </c>
      <c r="J15" s="299" t="s">
        <v>502</v>
      </c>
      <c r="M15" s="167"/>
      <c r="N15" s="19"/>
      <c r="O15" s="19"/>
    </row>
    <row r="16" spans="2:15">
      <c r="D16" s="54" t="s">
        <v>503</v>
      </c>
      <c r="F16" s="54" t="s">
        <v>155</v>
      </c>
      <c r="H16" s="57" t="s">
        <v>504</v>
      </c>
      <c r="I16" s="25" t="s">
        <v>505</v>
      </c>
      <c r="J16" s="299" t="s">
        <v>506</v>
      </c>
      <c r="M16" s="167"/>
      <c r="N16" s="19"/>
      <c r="O16" s="19"/>
    </row>
    <row r="17" spans="4:15">
      <c r="D17" s="54" t="s">
        <v>507</v>
      </c>
      <c r="F17" s="54" t="s">
        <v>156</v>
      </c>
      <c r="H17" s="57" t="s">
        <v>508</v>
      </c>
      <c r="I17" s="25" t="s">
        <v>509</v>
      </c>
      <c r="J17" s="299" t="s">
        <v>510</v>
      </c>
      <c r="M17" s="167"/>
      <c r="N17" s="19"/>
      <c r="O17" s="19"/>
    </row>
    <row r="18" spans="4:15">
      <c r="D18" s="54" t="s">
        <v>511</v>
      </c>
      <c r="F18" s="54" t="s">
        <v>157</v>
      </c>
      <c r="H18" s="57" t="s">
        <v>512</v>
      </c>
      <c r="I18" s="25" t="s">
        <v>513</v>
      </c>
      <c r="J18" s="299" t="s">
        <v>514</v>
      </c>
      <c r="M18" s="167"/>
      <c r="N18" s="19"/>
      <c r="O18" s="19"/>
    </row>
    <row r="19" spans="4:15">
      <c r="D19" s="54" t="s">
        <v>515</v>
      </c>
      <c r="F19" s="54" t="s">
        <v>158</v>
      </c>
      <c r="H19" s="57" t="s">
        <v>516</v>
      </c>
      <c r="I19" s="25" t="s">
        <v>517</v>
      </c>
      <c r="J19" s="299" t="s">
        <v>518</v>
      </c>
      <c r="M19" s="167"/>
      <c r="N19" s="19"/>
      <c r="O19" s="19"/>
    </row>
    <row r="20" spans="4:15">
      <c r="D20" s="56"/>
      <c r="F20" s="54" t="s">
        <v>159</v>
      </c>
      <c r="H20" s="57" t="s">
        <v>128</v>
      </c>
      <c r="I20" s="25" t="s">
        <v>519</v>
      </c>
      <c r="J20" s="299" t="s">
        <v>520</v>
      </c>
      <c r="M20" s="19"/>
      <c r="N20" s="19"/>
      <c r="O20" s="19"/>
    </row>
    <row r="21" spans="4:15">
      <c r="D21" s="499"/>
      <c r="F21" s="54" t="s">
        <v>160</v>
      </c>
      <c r="H21" s="499"/>
      <c r="I21" s="25" t="s">
        <v>521</v>
      </c>
      <c r="J21" s="299" t="s">
        <v>522</v>
      </c>
      <c r="M21" s="19"/>
      <c r="N21" s="19"/>
      <c r="O21" s="19"/>
    </row>
    <row r="22" spans="4:15">
      <c r="H22" s="499"/>
      <c r="I22" s="25" t="s">
        <v>523</v>
      </c>
      <c r="J22" s="299" t="s">
        <v>524</v>
      </c>
      <c r="M22" s="19"/>
      <c r="N22" s="19"/>
      <c r="O22" s="19"/>
    </row>
    <row r="23" spans="4:15">
      <c r="I23" s="25" t="s">
        <v>525</v>
      </c>
      <c r="J23" s="299" t="s">
        <v>526</v>
      </c>
      <c r="M23" s="19"/>
      <c r="N23" s="19"/>
      <c r="O23" s="19"/>
    </row>
    <row r="24" spans="4:15">
      <c r="I24" s="25" t="s">
        <v>527</v>
      </c>
      <c r="J24" s="299" t="s">
        <v>528</v>
      </c>
      <c r="M24" s="19"/>
      <c r="N24" s="19"/>
      <c r="O24" s="19"/>
    </row>
    <row r="25" spans="4:15">
      <c r="I25" s="42"/>
      <c r="J25" s="299" t="s">
        <v>529</v>
      </c>
    </row>
    <row r="26" spans="4:15">
      <c r="I26" s="25" t="s">
        <v>530</v>
      </c>
      <c r="J26" s="299" t="s">
        <v>531</v>
      </c>
    </row>
    <row r="27" spans="4:15">
      <c r="I27" s="25" t="s">
        <v>532</v>
      </c>
      <c r="J27" s="299" t="s">
        <v>533</v>
      </c>
    </row>
    <row r="28" spans="4:15">
      <c r="I28" s="42" t="s">
        <v>534</v>
      </c>
      <c r="J28" s="299" t="s">
        <v>535</v>
      </c>
    </row>
    <row r="29" spans="4:15">
      <c r="I29" s="42" t="s">
        <v>536</v>
      </c>
      <c r="J29" s="299" t="s">
        <v>537</v>
      </c>
    </row>
    <row r="30" spans="4:15">
      <c r="I30" s="42" t="s">
        <v>519</v>
      </c>
      <c r="J30" s="299" t="s">
        <v>538</v>
      </c>
    </row>
    <row r="31" spans="4:15">
      <c r="J31" s="299" t="s">
        <v>539</v>
      </c>
    </row>
    <row r="32" spans="4:15">
      <c r="J32" s="299" t="s">
        <v>540</v>
      </c>
    </row>
    <row r="33" spans="10:10">
      <c r="J33" s="299" t="s">
        <v>541</v>
      </c>
    </row>
    <row r="34" spans="10:10">
      <c r="J34" s="299" t="s">
        <v>542</v>
      </c>
    </row>
    <row r="35" spans="10:10">
      <c r="J35" s="299" t="s">
        <v>543</v>
      </c>
    </row>
    <row r="36" spans="10:10">
      <c r="J36" s="299" t="s">
        <v>543</v>
      </c>
    </row>
    <row r="37" spans="10:10">
      <c r="J37" s="299" t="s">
        <v>544</v>
      </c>
    </row>
    <row r="38" spans="10:10">
      <c r="J38" s="299" t="s">
        <v>545</v>
      </c>
    </row>
    <row r="39" spans="10:10">
      <c r="J39" s="299" t="s">
        <v>546</v>
      </c>
    </row>
    <row r="40" spans="10:10">
      <c r="J40" s="299" t="s">
        <v>547</v>
      </c>
    </row>
    <row r="41" spans="10:10">
      <c r="J41" s="299" t="s">
        <v>548</v>
      </c>
    </row>
    <row r="42" spans="10:10">
      <c r="J42" s="299" t="s">
        <v>549</v>
      </c>
    </row>
    <row r="43" spans="10:10">
      <c r="J43" s="299" t="s">
        <v>550</v>
      </c>
    </row>
    <row r="44" spans="10:10">
      <c r="J44" s="299" t="s">
        <v>551</v>
      </c>
    </row>
    <row r="45" spans="10:10">
      <c r="J45" s="299" t="s">
        <v>552</v>
      </c>
    </row>
    <row r="46" spans="10:10">
      <c r="J46" s="299" t="s">
        <v>553</v>
      </c>
    </row>
    <row r="47" spans="10:10">
      <c r="J47" s="299" t="s">
        <v>554</v>
      </c>
    </row>
    <row r="48" spans="10:10">
      <c r="J48" s="299" t="s">
        <v>555</v>
      </c>
    </row>
    <row r="49" spans="10:10">
      <c r="J49" s="299" t="s">
        <v>556</v>
      </c>
    </row>
    <row r="50" spans="10:10">
      <c r="J50" s="299" t="s">
        <v>557</v>
      </c>
    </row>
    <row r="51" spans="10:10">
      <c r="J51" s="299" t="s">
        <v>558</v>
      </c>
    </row>
    <row r="52" spans="10:10">
      <c r="J52" s="299" t="s">
        <v>559</v>
      </c>
    </row>
    <row r="53" spans="10:10">
      <c r="J53" s="299" t="s">
        <v>560</v>
      </c>
    </row>
    <row r="54" spans="10:10">
      <c r="J54" s="299" t="s">
        <v>561</v>
      </c>
    </row>
    <row r="55" spans="10:10">
      <c r="J55" s="299" t="s">
        <v>562</v>
      </c>
    </row>
    <row r="56" spans="10:10">
      <c r="J56" s="299" t="s">
        <v>563</v>
      </c>
    </row>
    <row r="57" spans="10:10">
      <c r="J57" s="299" t="s">
        <v>564</v>
      </c>
    </row>
    <row r="58" spans="10:10">
      <c r="J58" s="299" t="s">
        <v>565</v>
      </c>
    </row>
    <row r="59" spans="10:10">
      <c r="J59" s="299" t="s">
        <v>566</v>
      </c>
    </row>
    <row r="60" spans="10:10">
      <c r="J60" s="299" t="s">
        <v>567</v>
      </c>
    </row>
    <row r="61" spans="10:10">
      <c r="J61" s="299" t="s">
        <v>568</v>
      </c>
    </row>
    <row r="62" spans="10:10">
      <c r="J62" s="299" t="s">
        <v>569</v>
      </c>
    </row>
    <row r="63" spans="10:10">
      <c r="J63" s="299" t="s">
        <v>570</v>
      </c>
    </row>
    <row r="64" spans="10:10">
      <c r="J64" s="299" t="s">
        <v>571</v>
      </c>
    </row>
    <row r="65" spans="10:10">
      <c r="J65" s="299" t="s">
        <v>572</v>
      </c>
    </row>
    <row r="66" spans="10:10">
      <c r="J66" s="299" t="s">
        <v>573</v>
      </c>
    </row>
    <row r="67" spans="10:10">
      <c r="J67" s="299" t="s">
        <v>574</v>
      </c>
    </row>
    <row r="68" spans="10:10">
      <c r="J68" s="299" t="s">
        <v>575</v>
      </c>
    </row>
    <row r="69" spans="10:10">
      <c r="J69" s="299" t="s">
        <v>576</v>
      </c>
    </row>
    <row r="70" spans="10:10">
      <c r="J70" s="299" t="s">
        <v>577</v>
      </c>
    </row>
    <row r="71" spans="10:10">
      <c r="J71" s="299" t="s">
        <v>578</v>
      </c>
    </row>
    <row r="72" spans="10:10">
      <c r="J72" s="299" t="s">
        <v>579</v>
      </c>
    </row>
    <row r="73" spans="10:10">
      <c r="J73" s="299" t="s">
        <v>580</v>
      </c>
    </row>
    <row r="74" spans="10:10">
      <c r="J74" s="299" t="s">
        <v>581</v>
      </c>
    </row>
    <row r="75" spans="10:10">
      <c r="J75" s="299" t="s">
        <v>582</v>
      </c>
    </row>
    <row r="76" spans="10:10">
      <c r="J76" s="299" t="s">
        <v>114</v>
      </c>
    </row>
    <row r="77" spans="10:10">
      <c r="J77" s="299" t="s">
        <v>583</v>
      </c>
    </row>
    <row r="78" spans="10:10">
      <c r="J78" s="299" t="s">
        <v>584</v>
      </c>
    </row>
    <row r="79" spans="10:10">
      <c r="J79" s="299" t="s">
        <v>585</v>
      </c>
    </row>
    <row r="80" spans="10:10">
      <c r="J80" s="299" t="s">
        <v>586</v>
      </c>
    </row>
    <row r="81" spans="10:10">
      <c r="J81" s="299" t="s">
        <v>587</v>
      </c>
    </row>
    <row r="82" spans="10:10">
      <c r="J82" s="299" t="s">
        <v>588</v>
      </c>
    </row>
    <row r="83" spans="10:10">
      <c r="J83" s="299" t="s">
        <v>589</v>
      </c>
    </row>
    <row r="84" spans="10:10">
      <c r="J84" s="299" t="s">
        <v>590</v>
      </c>
    </row>
    <row r="85" spans="10:10">
      <c r="J85" s="299" t="s">
        <v>591</v>
      </c>
    </row>
    <row r="86" spans="10:10">
      <c r="J86" s="299" t="s">
        <v>592</v>
      </c>
    </row>
    <row r="87" spans="10:10">
      <c r="J87" s="299" t="s">
        <v>593</v>
      </c>
    </row>
    <row r="88" spans="10:10">
      <c r="J88" s="299" t="s">
        <v>594</v>
      </c>
    </row>
    <row r="89" spans="10:10">
      <c r="J89" s="299" t="s">
        <v>595</v>
      </c>
    </row>
    <row r="90" spans="10:10">
      <c r="J90" s="299" t="s">
        <v>596</v>
      </c>
    </row>
    <row r="91" spans="10:10">
      <c r="J91" s="299" t="s">
        <v>597</v>
      </c>
    </row>
    <row r="92" spans="10:10">
      <c r="J92" s="299" t="s">
        <v>598</v>
      </c>
    </row>
    <row r="93" spans="10:10">
      <c r="J93" s="299" t="s">
        <v>599</v>
      </c>
    </row>
    <row r="94" spans="10:10">
      <c r="J94" s="299" t="s">
        <v>600</v>
      </c>
    </row>
    <row r="95" spans="10:10">
      <c r="J95" s="299" t="s">
        <v>601</v>
      </c>
    </row>
    <row r="96" spans="10:10">
      <c r="J96" s="299" t="s">
        <v>602</v>
      </c>
    </row>
    <row r="97" spans="10:10">
      <c r="J97" s="299" t="s">
        <v>603</v>
      </c>
    </row>
    <row r="98" spans="10:10">
      <c r="J98" s="299" t="s">
        <v>604</v>
      </c>
    </row>
    <row r="99" spans="10:10">
      <c r="J99" s="299" t="s">
        <v>605</v>
      </c>
    </row>
    <row r="100" spans="10:10">
      <c r="J100" s="299" t="s">
        <v>606</v>
      </c>
    </row>
    <row r="101" spans="10:10">
      <c r="J101" s="299" t="s">
        <v>607</v>
      </c>
    </row>
    <row r="102" spans="10:10">
      <c r="J102" s="299" t="s">
        <v>608</v>
      </c>
    </row>
    <row r="103" spans="10:10">
      <c r="J103" s="299" t="s">
        <v>609</v>
      </c>
    </row>
    <row r="104" spans="10:10">
      <c r="J104" s="299" t="s">
        <v>610</v>
      </c>
    </row>
    <row r="105" spans="10:10">
      <c r="J105" s="299" t="s">
        <v>611</v>
      </c>
    </row>
    <row r="106" spans="10:10">
      <c r="J106" s="299" t="s">
        <v>612</v>
      </c>
    </row>
    <row r="107" spans="10:10">
      <c r="J107" s="299" t="s">
        <v>613</v>
      </c>
    </row>
    <row r="108" spans="10:10">
      <c r="J108" s="299" t="s">
        <v>614</v>
      </c>
    </row>
    <row r="109" spans="10:10">
      <c r="J109" s="299" t="s">
        <v>615</v>
      </c>
    </row>
    <row r="110" spans="10:10">
      <c r="J110" s="299" t="s">
        <v>616</v>
      </c>
    </row>
    <row r="111" spans="10:10">
      <c r="J111" s="299" t="s">
        <v>617</v>
      </c>
    </row>
    <row r="112" spans="10:10">
      <c r="J112" s="299" t="s">
        <v>618</v>
      </c>
    </row>
    <row r="113" spans="10:10">
      <c r="J113" s="299" t="s">
        <v>619</v>
      </c>
    </row>
    <row r="114" spans="10:10">
      <c r="J114" s="299" t="s">
        <v>620</v>
      </c>
    </row>
    <row r="115" spans="10:10">
      <c r="J115" s="299" t="s">
        <v>621</v>
      </c>
    </row>
    <row r="116" spans="10:10">
      <c r="J116" s="299" t="s">
        <v>622</v>
      </c>
    </row>
    <row r="117" spans="10:10">
      <c r="J117" s="299" t="s">
        <v>623</v>
      </c>
    </row>
    <row r="118" spans="10:10">
      <c r="J118" s="299" t="s">
        <v>624</v>
      </c>
    </row>
    <row r="119" spans="10:10">
      <c r="J119" s="299" t="s">
        <v>625</v>
      </c>
    </row>
    <row r="120" spans="10:10">
      <c r="J120" s="299" t="s">
        <v>626</v>
      </c>
    </row>
    <row r="121" spans="10:10">
      <c r="J121" s="299" t="s">
        <v>627</v>
      </c>
    </row>
    <row r="122" spans="10:10">
      <c r="J122" s="299" t="s">
        <v>628</v>
      </c>
    </row>
    <row r="123" spans="10:10">
      <c r="J123" s="299" t="s">
        <v>629</v>
      </c>
    </row>
    <row r="124" spans="10:10">
      <c r="J124" s="299" t="s">
        <v>630</v>
      </c>
    </row>
    <row r="125" spans="10:10">
      <c r="J125" s="299" t="s">
        <v>631</v>
      </c>
    </row>
    <row r="126" spans="10:10">
      <c r="J126" s="299" t="s">
        <v>632</v>
      </c>
    </row>
    <row r="127" spans="10:10">
      <c r="J127" s="299" t="s">
        <v>633</v>
      </c>
    </row>
    <row r="128" spans="10:10">
      <c r="J128" s="299" t="s">
        <v>634</v>
      </c>
    </row>
    <row r="129" spans="10:10">
      <c r="J129" s="299" t="s">
        <v>635</v>
      </c>
    </row>
    <row r="130" spans="10:10">
      <c r="J130" s="299" t="s">
        <v>636</v>
      </c>
    </row>
    <row r="131" spans="10:10">
      <c r="J131" s="299" t="s">
        <v>637</v>
      </c>
    </row>
    <row r="132" spans="10:10">
      <c r="J132" s="299" t="s">
        <v>638</v>
      </c>
    </row>
    <row r="133" spans="10:10">
      <c r="J133" s="299" t="s">
        <v>639</v>
      </c>
    </row>
    <row r="134" spans="10:10">
      <c r="J134" s="299" t="s">
        <v>640</v>
      </c>
    </row>
    <row r="135" spans="10:10">
      <c r="J135" s="299" t="s">
        <v>641</v>
      </c>
    </row>
    <row r="136" spans="10:10">
      <c r="J136" s="299" t="s">
        <v>642</v>
      </c>
    </row>
    <row r="137" spans="10:10">
      <c r="J137" s="299" t="s">
        <v>643</v>
      </c>
    </row>
    <row r="138" spans="10:10">
      <c r="J138" s="299" t="s">
        <v>644</v>
      </c>
    </row>
    <row r="139" spans="10:10">
      <c r="J139" s="299" t="s">
        <v>645</v>
      </c>
    </row>
    <row r="140" spans="10:10">
      <c r="J140" s="299" t="s">
        <v>646</v>
      </c>
    </row>
    <row r="141" spans="10:10">
      <c r="J141" s="299" t="s">
        <v>647</v>
      </c>
    </row>
    <row r="142" spans="10:10">
      <c r="J142" s="299" t="s">
        <v>648</v>
      </c>
    </row>
    <row r="143" spans="10:10">
      <c r="J143" s="299" t="s">
        <v>649</v>
      </c>
    </row>
    <row r="144" spans="10:10">
      <c r="J144" s="285"/>
    </row>
  </sheetData>
  <mergeCells count="2">
    <mergeCell ref="B3:H3"/>
    <mergeCell ref="B6:H6"/>
  </mergeCells>
  <phoneticPr fontId="30" type="noConversion"/>
  <dataValidations count="1">
    <dataValidation type="list" allowBlank="1" showInputMessage="1" showErrorMessage="1" sqref="M28" xr:uid="{00000000-0002-0000-0900-000000000000}">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5"/>
  <sheetViews>
    <sheetView zoomScaleNormal="100" workbookViewId="0">
      <selection activeCell="N19" sqref="N19"/>
    </sheetView>
  </sheetViews>
  <sheetFormatPr defaultRowHeight="14.5"/>
  <sheetData>
    <row r="1" spans="1:2">
      <c r="A1" s="68" t="s">
        <v>650</v>
      </c>
      <c r="B1" t="s">
        <v>651</v>
      </c>
    </row>
    <row r="2" spans="1:2">
      <c r="A2" s="68" t="s">
        <v>652</v>
      </c>
      <c r="B2" t="s">
        <v>653</v>
      </c>
    </row>
    <row r="3" spans="1:2">
      <c r="A3" s="68" t="s">
        <v>654</v>
      </c>
      <c r="B3" t="s">
        <v>655</v>
      </c>
    </row>
    <row r="4" spans="1:2">
      <c r="A4" s="68" t="s">
        <v>656</v>
      </c>
      <c r="B4" t="s">
        <v>657</v>
      </c>
    </row>
    <row r="5" spans="1:2">
      <c r="A5" s="68" t="s">
        <v>658</v>
      </c>
      <c r="B5" t="s">
        <v>659</v>
      </c>
    </row>
    <row r="6" spans="1:2">
      <c r="A6" s="68" t="s">
        <v>660</v>
      </c>
      <c r="B6" t="s">
        <v>661</v>
      </c>
    </row>
    <row r="7" spans="1:2">
      <c r="A7" s="68" t="s">
        <v>662</v>
      </c>
      <c r="B7" t="s">
        <v>663</v>
      </c>
    </row>
    <row r="8" spans="1:2">
      <c r="A8" s="68" t="s">
        <v>664</v>
      </c>
      <c r="B8" t="s">
        <v>665</v>
      </c>
    </row>
    <row r="9" spans="1:2">
      <c r="A9" s="68" t="s">
        <v>666</v>
      </c>
      <c r="B9" t="s">
        <v>667</v>
      </c>
    </row>
    <row r="10" spans="1:2">
      <c r="A10" s="68" t="s">
        <v>668</v>
      </c>
      <c r="B10" t="s">
        <v>669</v>
      </c>
    </row>
    <row r="11" spans="1:2">
      <c r="A11" s="68" t="s">
        <v>670</v>
      </c>
      <c r="B11" t="s">
        <v>671</v>
      </c>
    </row>
    <row r="12" spans="1:2">
      <c r="A12" s="68" t="s">
        <v>672</v>
      </c>
      <c r="B12" t="s">
        <v>673</v>
      </c>
    </row>
    <row r="13" spans="1:2">
      <c r="A13" s="68" t="s">
        <v>674</v>
      </c>
      <c r="B13" t="s">
        <v>675</v>
      </c>
    </row>
    <row r="14" spans="1:2">
      <c r="A14" s="68" t="s">
        <v>676</v>
      </c>
      <c r="B14" t="s">
        <v>677</v>
      </c>
    </row>
    <row r="15" spans="1:2">
      <c r="A15" s="68" t="s">
        <v>678</v>
      </c>
      <c r="B15" t="s">
        <v>679</v>
      </c>
    </row>
  </sheetData>
  <phoneticPr fontId="3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V77"/>
  <sheetViews>
    <sheetView showGridLines="0" zoomScale="75" zoomScaleNormal="100" workbookViewId="0">
      <pane ySplit="2" topLeftCell="A46" activePane="bottomLeft" state="frozen"/>
      <selection activeCell="E22" sqref="E22"/>
      <selection pane="bottomLeft" activeCell="B52" sqref="B52:D52"/>
    </sheetView>
  </sheetViews>
  <sheetFormatPr defaultColWidth="11" defaultRowHeight="14.5"/>
  <cols>
    <col min="1" max="1" width="2.7265625" customWidth="1"/>
    <col min="2" max="2" width="21.453125" customWidth="1"/>
    <col min="3" max="3" width="11.453125" customWidth="1"/>
    <col min="4" max="4" width="22.54296875" customWidth="1"/>
    <col min="5" max="5" width="16.453125" customWidth="1"/>
    <col min="6" max="6" width="15.7265625" customWidth="1"/>
    <col min="7" max="7" width="37.26953125" customWidth="1"/>
    <col min="8" max="8" width="17.26953125" customWidth="1"/>
    <col min="9" max="9" width="71" customWidth="1"/>
    <col min="10" max="10" width="14.1796875" customWidth="1"/>
    <col min="11" max="11" width="16" customWidth="1"/>
    <col min="12" max="12" width="33.7265625" customWidth="1"/>
    <col min="13" max="13" width="49.453125" customWidth="1"/>
    <col min="14" max="14" width="2.54296875" style="33" customWidth="1"/>
    <col min="15" max="15" width="3" style="33" customWidth="1"/>
    <col min="16" max="16" width="2.54296875" customWidth="1"/>
    <col min="17" max="17" width="16.1796875" customWidth="1"/>
    <col min="18" max="18" width="13.7265625" customWidth="1"/>
    <col min="19" max="19" width="11.453125" customWidth="1"/>
    <col min="20" max="20" width="14.81640625" customWidth="1"/>
    <col min="21" max="21" width="16" customWidth="1"/>
    <col min="22" max="22" width="11.453125" hidden="1" customWidth="1"/>
    <col min="23" max="23" width="15.54296875" customWidth="1"/>
    <col min="24" max="24" width="11.453125" customWidth="1"/>
    <col min="25" max="25" width="2.26953125" customWidth="1"/>
    <col min="26" max="26" width="1.1796875" customWidth="1"/>
    <col min="27" max="27" width="3.26953125" customWidth="1"/>
    <col min="28" max="28" width="17" customWidth="1"/>
    <col min="29" max="29" width="15" customWidth="1"/>
    <col min="30" max="30" width="11.453125" customWidth="1"/>
    <col min="31" max="31" width="13.54296875" customWidth="1"/>
    <col min="32" max="32" width="16.81640625" customWidth="1"/>
    <col min="33" max="33" width="11.453125" customWidth="1"/>
    <col min="34" max="34" width="2" customWidth="1"/>
    <col min="35" max="35" width="3.26953125" customWidth="1"/>
    <col min="36" max="36" width="2.26953125" customWidth="1"/>
    <col min="37" max="37" width="40.7265625" customWidth="1"/>
    <col min="38" max="38" width="15.453125" customWidth="1"/>
  </cols>
  <sheetData>
    <row r="1" spans="1:15" ht="34.5" customHeight="1">
      <c r="A1" s="3"/>
      <c r="B1" s="3"/>
      <c r="C1" s="3"/>
      <c r="D1" s="3"/>
      <c r="E1" s="3"/>
      <c r="F1" s="3"/>
      <c r="G1" s="3"/>
      <c r="H1" s="3"/>
      <c r="I1" s="3"/>
      <c r="J1" s="3"/>
      <c r="K1" s="3"/>
      <c r="L1" s="3"/>
      <c r="M1" s="3"/>
    </row>
    <row r="2" spans="1:15" ht="36" customHeight="1">
      <c r="A2" s="3"/>
      <c r="B2" s="760" t="str">
        <f>+"Панель показателей: "&amp;" "&amp;+IF('Ввод данных'!B4="Выберите","",'Ввод данных'!B4&amp;" - ")&amp;+IF('Ввод данных'!F6="Выберите","",'Ввод данных'!F6)</f>
        <v>Панель показателей:  Кыргызстан - ВИЧ/СПИД/ТБ</v>
      </c>
      <c r="C2" s="760"/>
      <c r="D2" s="760"/>
      <c r="E2" s="760"/>
      <c r="F2" s="760"/>
      <c r="G2" s="760"/>
      <c r="H2" s="760"/>
      <c r="I2" s="760"/>
      <c r="J2" s="760"/>
      <c r="K2" s="760"/>
      <c r="L2" s="760"/>
      <c r="M2" s="760"/>
    </row>
    <row r="3" spans="1:15" ht="15.75" customHeight="1">
      <c r="A3" s="3"/>
      <c r="B3" s="185"/>
      <c r="C3" s="185"/>
      <c r="D3" s="185"/>
      <c r="E3" s="185"/>
      <c r="F3" s="185"/>
      <c r="G3" s="185"/>
      <c r="H3" s="185"/>
      <c r="I3" s="185"/>
      <c r="J3" s="185"/>
      <c r="K3" s="186"/>
      <c r="L3" s="186"/>
      <c r="M3" s="3"/>
    </row>
    <row r="5" spans="1:15" ht="23.5">
      <c r="B5" s="745" t="s">
        <v>1</v>
      </c>
      <c r="C5" s="745"/>
      <c r="D5" s="745"/>
      <c r="E5" s="745"/>
      <c r="F5" s="745"/>
      <c r="G5" s="745"/>
      <c r="H5" s="745"/>
      <c r="I5" s="745"/>
      <c r="J5" s="745"/>
      <c r="K5" s="745"/>
      <c r="L5" s="745"/>
      <c r="M5" s="745"/>
      <c r="N5" s="745"/>
      <c r="O5" s="745"/>
    </row>
    <row r="7" spans="1:15" s="323" customFormat="1" ht="21">
      <c r="A7" s="589"/>
      <c r="B7" s="761" t="s">
        <v>2</v>
      </c>
      <c r="C7" s="762"/>
      <c r="D7" s="763"/>
      <c r="E7" s="761" t="s">
        <v>3</v>
      </c>
      <c r="F7" s="762"/>
      <c r="G7" s="762"/>
      <c r="H7" s="762"/>
      <c r="I7" s="763"/>
      <c r="J7" s="761" t="s">
        <v>4</v>
      </c>
      <c r="K7" s="762"/>
      <c r="L7" s="763"/>
      <c r="M7" s="761" t="s">
        <v>5</v>
      </c>
      <c r="N7" s="762"/>
      <c r="O7" s="763"/>
    </row>
    <row r="8" spans="1:15" ht="117.75" customHeight="1">
      <c r="B8" s="730" t="str">
        <f>+'Ввод данных'!A27</f>
        <v>F1: Бюджет и выплаты Глобальным фондом</v>
      </c>
      <c r="C8" s="767"/>
      <c r="D8" s="768"/>
      <c r="E8" s="764" t="s">
        <v>6</v>
      </c>
      <c r="F8" s="765"/>
      <c r="G8" s="765"/>
      <c r="H8" s="765"/>
      <c r="I8" s="766"/>
      <c r="J8" s="755" t="s">
        <v>7</v>
      </c>
      <c r="K8" s="756"/>
      <c r="L8" s="757"/>
      <c r="M8" s="755" t="s">
        <v>8</v>
      </c>
      <c r="N8" s="756"/>
      <c r="O8" s="757"/>
    </row>
    <row r="9" spans="1:15" ht="117.75" customHeight="1">
      <c r="B9" s="718" t="str">
        <f>+'Ввод данных'!A36</f>
        <v>F2: Бюджет и фактические расходы согласно задачам гранта</v>
      </c>
      <c r="C9" s="769"/>
      <c r="D9" s="770"/>
      <c r="E9" s="721" t="s">
        <v>9</v>
      </c>
      <c r="F9" s="722"/>
      <c r="G9" s="722"/>
      <c r="H9" s="722"/>
      <c r="I9" s="723"/>
      <c r="J9" s="755" t="s">
        <v>10</v>
      </c>
      <c r="K9" s="756"/>
      <c r="L9" s="757"/>
      <c r="M9" s="755" t="s">
        <v>8</v>
      </c>
      <c r="N9" s="756"/>
      <c r="O9" s="757"/>
    </row>
    <row r="10" spans="1:15" ht="247.5" customHeight="1">
      <c r="B10" s="718" t="str">
        <f>+'Ввод данных'!A58</f>
        <v>F3: Выплаты и расходы</v>
      </c>
      <c r="C10" s="769"/>
      <c r="D10" s="770"/>
      <c r="E10" s="721" t="s">
        <v>11</v>
      </c>
      <c r="F10" s="722"/>
      <c r="G10" s="722"/>
      <c r="H10" s="722"/>
      <c r="I10" s="723"/>
      <c r="J10" s="755" t="s">
        <v>12</v>
      </c>
      <c r="K10" s="756"/>
      <c r="L10" s="757"/>
      <c r="M10" s="755" t="s">
        <v>13</v>
      </c>
      <c r="N10" s="756"/>
      <c r="O10" s="757"/>
    </row>
    <row r="11" spans="1:15" ht="252.75" customHeight="1">
      <c r="B11" s="718" t="str">
        <f>+'Ввод данных'!A67</f>
        <v>F4: Последний отчетный и платежный цикл ОР</v>
      </c>
      <c r="C11" s="719"/>
      <c r="D11" s="720"/>
      <c r="E11" s="721" t="s">
        <v>14</v>
      </c>
      <c r="F11" s="722"/>
      <c r="G11" s="722"/>
      <c r="H11" s="722"/>
      <c r="I11" s="723"/>
      <c r="J11" s="755" t="s">
        <v>15</v>
      </c>
      <c r="K11" s="756"/>
      <c r="L11" s="757"/>
      <c r="M11" s="755" t="s">
        <v>16</v>
      </c>
      <c r="N11" s="756"/>
      <c r="O11" s="757"/>
    </row>
    <row r="12" spans="1:15" s="19" customFormat="1">
      <c r="B12" s="772"/>
      <c r="C12" s="772"/>
      <c r="D12" s="772"/>
      <c r="E12" s="758"/>
      <c r="F12" s="758"/>
      <c r="G12" s="758"/>
      <c r="H12" s="758"/>
      <c r="I12" s="758"/>
      <c r="J12" s="758"/>
      <c r="K12" s="758"/>
      <c r="L12" s="758"/>
      <c r="M12" s="758"/>
      <c r="N12" s="758"/>
      <c r="O12" s="758"/>
    </row>
    <row r="13" spans="1:15" s="19" customFormat="1">
      <c r="B13" s="771"/>
      <c r="C13" s="771"/>
      <c r="D13" s="771"/>
      <c r="E13" s="759"/>
      <c r="F13" s="759"/>
      <c r="G13" s="759"/>
      <c r="H13" s="759"/>
      <c r="I13" s="759"/>
      <c r="J13" s="759"/>
      <c r="K13" s="759"/>
      <c r="L13" s="759"/>
      <c r="M13" s="759"/>
      <c r="N13" s="759"/>
      <c r="O13" s="759"/>
    </row>
    <row r="14" spans="1:15" s="19" customFormat="1">
      <c r="B14" s="771"/>
      <c r="C14" s="771"/>
      <c r="D14" s="771"/>
      <c r="E14" s="759"/>
      <c r="F14" s="759"/>
      <c r="G14" s="759"/>
      <c r="H14" s="759"/>
      <c r="I14" s="759"/>
      <c r="J14" s="759"/>
      <c r="K14" s="759"/>
      <c r="L14" s="759"/>
      <c r="M14" s="759"/>
      <c r="N14" s="759"/>
      <c r="O14" s="759"/>
    </row>
    <row r="15" spans="1:15" s="19" customFormat="1">
      <c r="B15" s="771"/>
      <c r="C15" s="771"/>
      <c r="D15" s="771"/>
      <c r="E15" s="759"/>
      <c r="F15" s="759"/>
      <c r="G15" s="759"/>
      <c r="H15" s="759"/>
      <c r="I15" s="759"/>
      <c r="J15" s="759"/>
      <c r="K15" s="759"/>
      <c r="L15" s="759"/>
      <c r="M15" s="759"/>
      <c r="N15" s="759"/>
      <c r="O15" s="759"/>
    </row>
    <row r="16" spans="1:15" ht="23.5">
      <c r="B16" s="745" t="s">
        <v>17</v>
      </c>
      <c r="C16" s="745"/>
      <c r="D16" s="745"/>
      <c r="E16" s="745"/>
      <c r="F16" s="745"/>
      <c r="G16" s="745"/>
      <c r="H16" s="745"/>
      <c r="I16" s="745"/>
      <c r="J16" s="745"/>
      <c r="K16" s="745"/>
      <c r="L16" s="745"/>
      <c r="M16" s="745"/>
      <c r="N16" s="745"/>
      <c r="O16" s="745"/>
    </row>
    <row r="18" spans="1:15" ht="21">
      <c r="B18" s="752" t="s">
        <v>2</v>
      </c>
      <c r="C18" s="753"/>
      <c r="D18" s="754"/>
      <c r="E18" s="752" t="s">
        <v>3</v>
      </c>
      <c r="F18" s="753"/>
      <c r="G18" s="753"/>
      <c r="H18" s="753"/>
      <c r="I18" s="754"/>
      <c r="J18" s="752" t="s">
        <v>4</v>
      </c>
      <c r="K18" s="753"/>
      <c r="L18" s="754"/>
      <c r="M18" s="752" t="s">
        <v>18</v>
      </c>
      <c r="N18" s="753"/>
      <c r="O18" s="754"/>
    </row>
    <row r="19" spans="1:15" ht="114" customHeight="1">
      <c r="B19" s="730" t="str">
        <f>+'Ввод данных'!A78</f>
        <v>M1: Статус Предварительных условий (ПУ) и Действий с установленным сроком исполнения (ДУС)</v>
      </c>
      <c r="C19" s="731"/>
      <c r="D19" s="732"/>
      <c r="E19" s="721" t="s">
        <v>19</v>
      </c>
      <c r="F19" s="787"/>
      <c r="G19" s="787"/>
      <c r="H19" s="787"/>
      <c r="I19" s="788"/>
      <c r="J19" s="715" t="s">
        <v>20</v>
      </c>
      <c r="K19" s="716"/>
      <c r="L19" s="717"/>
      <c r="M19" s="715" t="s">
        <v>21</v>
      </c>
      <c r="N19" s="716"/>
      <c r="O19" s="717"/>
    </row>
    <row r="20" spans="1:15" ht="102.75" customHeight="1">
      <c r="B20" s="718" t="str">
        <f>+'Ввод данных'!A87</f>
        <v>M2: Статус ключевых руководящих должностей в структуре ОР</v>
      </c>
      <c r="C20" s="719"/>
      <c r="D20" s="720"/>
      <c r="E20" s="721" t="s">
        <v>22</v>
      </c>
      <c r="F20" s="722"/>
      <c r="G20" s="722"/>
      <c r="H20" s="722"/>
      <c r="I20" s="723"/>
      <c r="J20" s="715" t="s">
        <v>23</v>
      </c>
      <c r="K20" s="716"/>
      <c r="L20" s="717"/>
      <c r="M20" s="715" t="s">
        <v>24</v>
      </c>
      <c r="N20" s="716"/>
      <c r="O20" s="717"/>
    </row>
    <row r="21" spans="1:15" ht="141.75" customHeight="1">
      <c r="B21" s="730" t="str">
        <f>+'Ввод данных'!A94</f>
        <v xml:space="preserve">M3: Контрактные соглашения (СР) </v>
      </c>
      <c r="C21" s="731"/>
      <c r="D21" s="732"/>
      <c r="E21" s="715" t="s">
        <v>25</v>
      </c>
      <c r="F21" s="722"/>
      <c r="G21" s="722"/>
      <c r="H21" s="722"/>
      <c r="I21" s="723"/>
      <c r="J21" s="784" t="s">
        <v>26</v>
      </c>
      <c r="K21" s="785"/>
      <c r="L21" s="786"/>
      <c r="M21" s="715" t="s">
        <v>27</v>
      </c>
      <c r="N21" s="716"/>
      <c r="O21" s="717"/>
    </row>
    <row r="22" spans="1:15" ht="96" customHeight="1">
      <c r="B22" s="730" t="str">
        <f>+'Ввод данных'!A100</f>
        <v>M4: Количество полных отчетов, полученных к установленному сроку</v>
      </c>
      <c r="C22" s="731"/>
      <c r="D22" s="732"/>
      <c r="E22" s="715" t="s">
        <v>28</v>
      </c>
      <c r="F22" s="716"/>
      <c r="G22" s="716"/>
      <c r="H22" s="716"/>
      <c r="I22" s="717"/>
      <c r="J22" s="715" t="s">
        <v>29</v>
      </c>
      <c r="K22" s="716"/>
      <c r="L22" s="717"/>
      <c r="M22" s="715" t="s">
        <v>30</v>
      </c>
      <c r="N22" s="716"/>
      <c r="O22" s="717"/>
    </row>
    <row r="23" spans="1:15" ht="187.5" customHeight="1">
      <c r="B23" s="733" t="str">
        <f>'Ввод данных'!A108</f>
        <v>M5: Бюджет и закупки товаров медицинского назначения, медицинского оборудования,  лекарственных средств и фармацевтических препаратов</v>
      </c>
      <c r="C23" s="734"/>
      <c r="D23" s="735"/>
      <c r="E23" s="742" t="s">
        <v>31</v>
      </c>
      <c r="F23" s="743"/>
      <c r="G23" s="743"/>
      <c r="H23" s="743"/>
      <c r="I23" s="744"/>
      <c r="J23" s="773" t="s">
        <v>32</v>
      </c>
      <c r="K23" s="774"/>
      <c r="L23" s="775"/>
      <c r="M23" s="773" t="s">
        <v>33</v>
      </c>
      <c r="N23" s="774"/>
      <c r="O23" s="775"/>
    </row>
    <row r="24" spans="1:15" ht="72.75" customHeight="1">
      <c r="B24" s="736"/>
      <c r="C24" s="737"/>
      <c r="D24" s="738"/>
      <c r="E24" s="727" t="s">
        <v>34</v>
      </c>
      <c r="F24" s="728"/>
      <c r="G24" s="728"/>
      <c r="H24" s="728"/>
      <c r="I24" s="729"/>
      <c r="J24" s="776"/>
      <c r="K24" s="777"/>
      <c r="L24" s="778"/>
      <c r="M24" s="776"/>
      <c r="N24" s="777"/>
      <c r="O24" s="778"/>
    </row>
    <row r="25" spans="1:15" ht="282.75" customHeight="1">
      <c r="B25" s="730" t="str">
        <f>+'Ввод данных'!A121</f>
        <v>M6: Разница между текущим и резервным запасами</v>
      </c>
      <c r="C25" s="731"/>
      <c r="D25" s="732"/>
      <c r="E25" s="724" t="s">
        <v>35</v>
      </c>
      <c r="F25" s="725"/>
      <c r="G25" s="725"/>
      <c r="H25" s="725"/>
      <c r="I25" s="726"/>
      <c r="J25" s="724" t="s">
        <v>36</v>
      </c>
      <c r="K25" s="782"/>
      <c r="L25" s="783"/>
      <c r="M25" s="779" t="s">
        <v>37</v>
      </c>
      <c r="N25" s="780"/>
      <c r="O25" s="781"/>
    </row>
    <row r="29" spans="1:15" ht="18.5">
      <c r="B29" s="209"/>
    </row>
    <row r="30" spans="1:15" ht="23.5">
      <c r="B30" s="745" t="s">
        <v>38</v>
      </c>
      <c r="C30" s="745"/>
      <c r="D30" s="745"/>
      <c r="E30" s="745"/>
      <c r="F30" s="745"/>
      <c r="G30" s="745"/>
      <c r="H30" s="745"/>
      <c r="I30" s="745"/>
      <c r="J30" s="745"/>
      <c r="K30" s="745"/>
      <c r="L30" s="745"/>
      <c r="M30" s="745"/>
      <c r="N30" s="745"/>
      <c r="O30" s="745"/>
    </row>
    <row r="32" spans="1:15" ht="28.5" customHeight="1">
      <c r="A32" s="207"/>
      <c r="B32" s="746" t="s">
        <v>39</v>
      </c>
      <c r="C32" s="747"/>
      <c r="D32" s="748"/>
      <c r="E32" s="749" t="s">
        <v>40</v>
      </c>
      <c r="F32" s="750"/>
      <c r="G32" s="750"/>
      <c r="H32" s="750"/>
      <c r="I32" s="751"/>
      <c r="J32" s="749" t="s">
        <v>4</v>
      </c>
      <c r="K32" s="750"/>
      <c r="L32" s="751"/>
      <c r="M32" s="749" t="s">
        <v>5</v>
      </c>
      <c r="N32" s="750"/>
      <c r="O32" s="751"/>
    </row>
    <row r="33" spans="1:15" ht="61.5" customHeight="1">
      <c r="A33" s="207"/>
      <c r="B33" s="675" t="s">
        <v>41</v>
      </c>
      <c r="C33" s="676"/>
      <c r="D33" s="677"/>
      <c r="E33" s="666" t="s">
        <v>42</v>
      </c>
      <c r="F33" s="678"/>
      <c r="G33" s="678"/>
      <c r="H33" s="678"/>
      <c r="I33" s="679"/>
      <c r="J33" s="669" t="s">
        <v>43</v>
      </c>
      <c r="K33" s="680"/>
      <c r="L33" s="681"/>
      <c r="M33" s="669" t="s">
        <v>44</v>
      </c>
      <c r="N33" s="680"/>
      <c r="O33" s="681"/>
    </row>
    <row r="34" spans="1:15" ht="61.5" customHeight="1">
      <c r="A34" s="207"/>
      <c r="B34" s="675" t="s">
        <v>45</v>
      </c>
      <c r="C34" s="676"/>
      <c r="D34" s="677"/>
      <c r="E34" s="666" t="s">
        <v>46</v>
      </c>
      <c r="F34" s="678"/>
      <c r="G34" s="678"/>
      <c r="H34" s="678"/>
      <c r="I34" s="679"/>
      <c r="J34" s="669" t="s">
        <v>47</v>
      </c>
      <c r="K34" s="680"/>
      <c r="L34" s="681"/>
      <c r="M34" s="669" t="s">
        <v>48</v>
      </c>
      <c r="N34" s="680"/>
      <c r="O34" s="681"/>
    </row>
    <row r="35" spans="1:15" ht="102.75" customHeight="1">
      <c r="A35" s="207"/>
      <c r="B35" s="675" t="s">
        <v>49</v>
      </c>
      <c r="C35" s="676"/>
      <c r="D35" s="677"/>
      <c r="E35" s="666" t="s">
        <v>50</v>
      </c>
      <c r="F35" s="678"/>
      <c r="G35" s="678"/>
      <c r="H35" s="678"/>
      <c r="I35" s="679"/>
      <c r="J35" s="669" t="s">
        <v>51</v>
      </c>
      <c r="K35" s="680"/>
      <c r="L35" s="681"/>
      <c r="M35" s="669" t="s">
        <v>48</v>
      </c>
      <c r="N35" s="680"/>
      <c r="O35" s="681"/>
    </row>
    <row r="36" spans="1:15" ht="74.25" customHeight="1">
      <c r="A36" s="207"/>
      <c r="B36" s="675" t="s">
        <v>52</v>
      </c>
      <c r="C36" s="676"/>
      <c r="D36" s="677"/>
      <c r="E36" s="669" t="s">
        <v>53</v>
      </c>
      <c r="F36" s="680"/>
      <c r="G36" s="680"/>
      <c r="H36" s="680"/>
      <c r="I36" s="681"/>
      <c r="J36" s="669" t="s">
        <v>54</v>
      </c>
      <c r="K36" s="680"/>
      <c r="L36" s="681"/>
      <c r="M36" s="669" t="s">
        <v>55</v>
      </c>
      <c r="N36" s="680"/>
      <c r="O36" s="681"/>
    </row>
    <row r="37" spans="1:15" ht="99.75" customHeight="1">
      <c r="A37" s="207"/>
      <c r="B37" s="675" t="s">
        <v>56</v>
      </c>
      <c r="C37" s="676"/>
      <c r="D37" s="677"/>
      <c r="E37" s="666" t="s">
        <v>57</v>
      </c>
      <c r="F37" s="704"/>
      <c r="G37" s="704"/>
      <c r="H37" s="704"/>
      <c r="I37" s="705"/>
      <c r="J37" s="669" t="s">
        <v>58</v>
      </c>
      <c r="K37" s="680"/>
      <c r="L37" s="681"/>
      <c r="M37" s="669" t="s">
        <v>44</v>
      </c>
      <c r="N37" s="680"/>
      <c r="O37" s="681"/>
    </row>
    <row r="38" spans="1:15" ht="85.5" customHeight="1">
      <c r="A38" s="207"/>
      <c r="B38" s="675" t="s">
        <v>59</v>
      </c>
      <c r="C38" s="676"/>
      <c r="D38" s="677"/>
      <c r="E38" s="666" t="s">
        <v>60</v>
      </c>
      <c r="F38" s="704"/>
      <c r="G38" s="704"/>
      <c r="H38" s="704"/>
      <c r="I38" s="705"/>
      <c r="J38" s="669" t="s">
        <v>61</v>
      </c>
      <c r="K38" s="680"/>
      <c r="L38" s="681"/>
      <c r="M38" s="669" t="s">
        <v>62</v>
      </c>
      <c r="N38" s="680"/>
      <c r="O38" s="681"/>
    </row>
    <row r="39" spans="1:15" ht="94.5" customHeight="1">
      <c r="A39" s="207"/>
      <c r="B39" s="675" t="s">
        <v>63</v>
      </c>
      <c r="C39" s="676"/>
      <c r="D39" s="677"/>
      <c r="E39" s="791" t="s">
        <v>64</v>
      </c>
      <c r="F39" s="792"/>
      <c r="G39" s="792"/>
      <c r="H39" s="792"/>
      <c r="I39" s="793"/>
      <c r="J39" s="669" t="s">
        <v>65</v>
      </c>
      <c r="K39" s="680"/>
      <c r="L39" s="681"/>
      <c r="M39" s="669" t="s">
        <v>66</v>
      </c>
      <c r="N39" s="680"/>
      <c r="O39" s="681"/>
    </row>
    <row r="40" spans="1:15" ht="103.5" customHeight="1">
      <c r="A40" s="207"/>
      <c r="B40" s="675" t="s">
        <v>67</v>
      </c>
      <c r="C40" s="676"/>
      <c r="D40" s="677"/>
      <c r="E40" s="666" t="s">
        <v>68</v>
      </c>
      <c r="F40" s="704"/>
      <c r="G40" s="704"/>
      <c r="H40" s="704"/>
      <c r="I40" s="705"/>
      <c r="J40" s="669" t="s">
        <v>69</v>
      </c>
      <c r="K40" s="680"/>
      <c r="L40" s="681"/>
      <c r="M40" s="669" t="s">
        <v>44</v>
      </c>
      <c r="N40" s="680"/>
      <c r="O40" s="681"/>
    </row>
    <row r="41" spans="1:15" ht="101.25" customHeight="1">
      <c r="A41" s="207"/>
      <c r="B41" s="675" t="s">
        <v>70</v>
      </c>
      <c r="C41" s="676"/>
      <c r="D41" s="677"/>
      <c r="E41" s="669" t="s">
        <v>71</v>
      </c>
      <c r="F41" s="680"/>
      <c r="G41" s="680"/>
      <c r="H41" s="680"/>
      <c r="I41" s="681"/>
      <c r="J41" s="669" t="s">
        <v>72</v>
      </c>
      <c r="K41" s="680"/>
      <c r="L41" s="681"/>
      <c r="M41" s="669" t="s">
        <v>44</v>
      </c>
      <c r="N41" s="680"/>
      <c r="O41" s="681"/>
    </row>
    <row r="42" spans="1:15" ht="94.5" customHeight="1">
      <c r="A42" s="207"/>
      <c r="B42" s="675" t="s">
        <v>73</v>
      </c>
      <c r="C42" s="676"/>
      <c r="D42" s="677"/>
      <c r="E42" s="666" t="s">
        <v>74</v>
      </c>
      <c r="F42" s="704"/>
      <c r="G42" s="704"/>
      <c r="H42" s="704"/>
      <c r="I42" s="705"/>
      <c r="J42" s="669" t="s">
        <v>75</v>
      </c>
      <c r="K42" s="680"/>
      <c r="L42" s="681"/>
      <c r="M42" s="669" t="s">
        <v>44</v>
      </c>
      <c r="N42" s="680"/>
      <c r="O42" s="681"/>
    </row>
    <row r="43" spans="1:15" ht="61.5" customHeight="1">
      <c r="A43" s="207"/>
      <c r="B43" s="675" t="s">
        <v>76</v>
      </c>
      <c r="C43" s="676"/>
      <c r="D43" s="677"/>
      <c r="E43" s="666" t="s">
        <v>77</v>
      </c>
      <c r="F43" s="678"/>
      <c r="G43" s="678"/>
      <c r="H43" s="678"/>
      <c r="I43" s="679"/>
      <c r="J43" s="669" t="s">
        <v>78</v>
      </c>
      <c r="K43" s="680"/>
      <c r="L43" s="681"/>
      <c r="M43" s="669" t="s">
        <v>48</v>
      </c>
      <c r="N43" s="680"/>
      <c r="O43" s="681"/>
    </row>
    <row r="44" spans="1:15" ht="84.75" customHeight="1">
      <c r="A44" s="207"/>
      <c r="B44" s="675" t="s">
        <v>79</v>
      </c>
      <c r="C44" s="676"/>
      <c r="D44" s="677"/>
      <c r="E44" s="666" t="s">
        <v>80</v>
      </c>
      <c r="F44" s="678"/>
      <c r="G44" s="678"/>
      <c r="H44" s="678"/>
      <c r="I44" s="679"/>
      <c r="J44" s="669" t="s">
        <v>81</v>
      </c>
      <c r="K44" s="680"/>
      <c r="L44" s="681"/>
      <c r="M44" s="669" t="s">
        <v>82</v>
      </c>
      <c r="N44" s="680"/>
      <c r="O44" s="681"/>
    </row>
    <row r="45" spans="1:15" ht="94.5" customHeight="1">
      <c r="A45" s="207"/>
      <c r="B45" s="675" t="s">
        <v>83</v>
      </c>
      <c r="C45" s="676"/>
      <c r="D45" s="677"/>
      <c r="E45" s="669" t="s">
        <v>84</v>
      </c>
      <c r="F45" s="680"/>
      <c r="G45" s="680"/>
      <c r="H45" s="680"/>
      <c r="I45" s="681"/>
      <c r="J45" s="669" t="s">
        <v>85</v>
      </c>
      <c r="K45" s="680"/>
      <c r="L45" s="681"/>
      <c r="M45" s="562" t="s">
        <v>86</v>
      </c>
      <c r="N45" s="563"/>
      <c r="O45" s="564"/>
    </row>
    <row r="46" spans="1:15" ht="61.5" customHeight="1">
      <c r="A46" s="207"/>
      <c r="B46" s="746" t="s">
        <v>87</v>
      </c>
      <c r="C46" s="747"/>
      <c r="D46" s="748"/>
      <c r="E46" s="749" t="s">
        <v>40</v>
      </c>
      <c r="F46" s="750"/>
      <c r="G46" s="750"/>
      <c r="H46" s="750"/>
      <c r="I46" s="751"/>
      <c r="J46" s="749" t="s">
        <v>4</v>
      </c>
      <c r="K46" s="750"/>
      <c r="L46" s="751"/>
      <c r="M46" s="749" t="s">
        <v>5</v>
      </c>
      <c r="N46" s="750"/>
      <c r="O46" s="751"/>
    </row>
    <row r="47" spans="1:15" ht="61.5" customHeight="1">
      <c r="A47" s="207"/>
      <c r="B47" s="739" t="s">
        <v>88</v>
      </c>
      <c r="C47" s="740"/>
      <c r="D47" s="741"/>
      <c r="E47" s="669" t="s">
        <v>89</v>
      </c>
      <c r="F47" s="789"/>
      <c r="G47" s="789"/>
      <c r="H47" s="789"/>
      <c r="I47" s="790"/>
      <c r="J47" s="669" t="s">
        <v>90</v>
      </c>
      <c r="K47" s="680"/>
      <c r="L47" s="681"/>
      <c r="M47" s="669" t="s">
        <v>91</v>
      </c>
      <c r="N47" s="680"/>
      <c r="O47" s="681"/>
    </row>
    <row r="48" spans="1:15" ht="78" customHeight="1">
      <c r="A48" s="207"/>
      <c r="B48" s="739" t="s">
        <v>92</v>
      </c>
      <c r="C48" s="740"/>
      <c r="D48" s="741"/>
      <c r="E48" s="669" t="s">
        <v>93</v>
      </c>
      <c r="F48" s="789"/>
      <c r="G48" s="789"/>
      <c r="H48" s="789"/>
      <c r="I48" s="790"/>
      <c r="J48" s="669" t="s">
        <v>90</v>
      </c>
      <c r="K48" s="680"/>
      <c r="L48" s="681"/>
      <c r="M48" s="669" t="s">
        <v>94</v>
      </c>
      <c r="N48" s="680"/>
      <c r="O48" s="681"/>
    </row>
    <row r="49" spans="1:15" ht="78" customHeight="1">
      <c r="A49" s="207"/>
      <c r="B49" s="712" t="s">
        <v>95</v>
      </c>
      <c r="C49" s="713"/>
      <c r="D49" s="714"/>
      <c r="E49" s="669" t="s">
        <v>96</v>
      </c>
      <c r="F49" s="680"/>
      <c r="G49" s="680"/>
      <c r="H49" s="680"/>
      <c r="I49" s="681"/>
      <c r="J49" s="669" t="s">
        <v>90</v>
      </c>
      <c r="K49" s="680"/>
      <c r="L49" s="681"/>
      <c r="M49" s="669" t="s">
        <v>97</v>
      </c>
      <c r="N49" s="680"/>
      <c r="O49" s="681"/>
    </row>
    <row r="50" spans="1:15" ht="78" customHeight="1">
      <c r="A50" s="207"/>
      <c r="B50" s="712" t="s">
        <v>98</v>
      </c>
      <c r="C50" s="713"/>
      <c r="D50" s="714"/>
      <c r="E50" s="669" t="s">
        <v>99</v>
      </c>
      <c r="F50" s="680"/>
      <c r="G50" s="680"/>
      <c r="H50" s="680"/>
      <c r="I50" s="681"/>
      <c r="J50" s="669" t="s">
        <v>100</v>
      </c>
      <c r="K50" s="680"/>
      <c r="L50" s="681"/>
      <c r="M50" s="669" t="s">
        <v>101</v>
      </c>
      <c r="N50" s="680"/>
      <c r="O50" s="681"/>
    </row>
    <row r="51" spans="1:15" ht="78" customHeight="1">
      <c r="A51" s="207"/>
      <c r="B51" s="712" t="s">
        <v>102</v>
      </c>
      <c r="C51" s="713"/>
      <c r="D51" s="714"/>
      <c r="E51" s="669" t="s">
        <v>103</v>
      </c>
      <c r="F51" s="680"/>
      <c r="G51" s="680"/>
      <c r="H51" s="680"/>
      <c r="I51" s="681"/>
      <c r="J51" s="706" t="s">
        <v>104</v>
      </c>
      <c r="K51" s="707"/>
      <c r="L51" s="708"/>
      <c r="M51" s="669" t="s">
        <v>94</v>
      </c>
      <c r="N51" s="680"/>
      <c r="O51" s="681"/>
    </row>
    <row r="52" spans="1:15" ht="78" customHeight="1">
      <c r="A52" s="207"/>
      <c r="B52" s="712" t="s">
        <v>105</v>
      </c>
      <c r="C52" s="713"/>
      <c r="D52" s="714"/>
      <c r="E52" s="669" t="s">
        <v>106</v>
      </c>
      <c r="F52" s="680"/>
      <c r="G52" s="680"/>
      <c r="H52" s="680"/>
      <c r="I52" s="681"/>
      <c r="J52" s="709" t="s">
        <v>107</v>
      </c>
      <c r="K52" s="710"/>
      <c r="L52" s="711"/>
      <c r="M52" s="669" t="s">
        <v>108</v>
      </c>
      <c r="N52" s="680"/>
      <c r="O52" s="681"/>
    </row>
    <row r="53" spans="1:15" ht="2.25" hidden="1" customHeight="1">
      <c r="A53" s="207"/>
      <c r="B53" s="691"/>
      <c r="C53" s="699"/>
      <c r="D53" s="700"/>
      <c r="E53" s="701"/>
      <c r="F53" s="702"/>
      <c r="G53" s="702"/>
      <c r="H53" s="702"/>
      <c r="I53" s="703"/>
      <c r="J53" s="669"/>
      <c r="K53" s="680"/>
      <c r="L53" s="681"/>
      <c r="M53" s="669"/>
      <c r="N53" s="680"/>
      <c r="O53" s="681"/>
    </row>
    <row r="54" spans="1:15" ht="3.75" customHeight="1">
      <c r="A54" s="207"/>
      <c r="B54" s="691"/>
      <c r="C54" s="699"/>
      <c r="D54" s="700"/>
      <c r="E54" s="666"/>
      <c r="F54" s="678"/>
      <c r="G54" s="678"/>
      <c r="H54" s="678"/>
      <c r="I54" s="679"/>
      <c r="J54" s="669"/>
      <c r="K54" s="680"/>
      <c r="L54" s="681"/>
      <c r="M54" s="669"/>
      <c r="N54" s="680"/>
      <c r="O54" s="681"/>
    </row>
    <row r="55" spans="1:15" ht="14.25" customHeight="1">
      <c r="A55" s="207"/>
      <c r="B55" s="691"/>
      <c r="C55" s="692"/>
      <c r="D55" s="693"/>
      <c r="E55" s="666"/>
      <c r="F55" s="694"/>
      <c r="G55" s="694"/>
      <c r="H55" s="694"/>
      <c r="I55" s="695"/>
      <c r="J55" s="669"/>
      <c r="K55" s="670"/>
      <c r="L55" s="671"/>
      <c r="M55" s="562"/>
      <c r="N55" s="563"/>
      <c r="O55" s="564"/>
    </row>
    <row r="56" spans="1:15" ht="119.25" hidden="1" customHeight="1">
      <c r="A56" s="207"/>
      <c r="B56" s="691"/>
      <c r="C56" s="692"/>
      <c r="D56" s="693"/>
      <c r="E56" s="672"/>
      <c r="F56" s="673"/>
      <c r="G56" s="673"/>
      <c r="H56" s="673"/>
      <c r="I56" s="674"/>
      <c r="J56" s="669"/>
      <c r="K56" s="670"/>
      <c r="L56" s="671"/>
      <c r="M56" s="669"/>
      <c r="N56" s="670"/>
      <c r="O56" s="671"/>
    </row>
    <row r="57" spans="1:15" ht="88.5" hidden="1" customHeight="1">
      <c r="A57" s="207"/>
      <c r="B57" s="691"/>
      <c r="C57" s="692"/>
      <c r="D57" s="693"/>
      <c r="E57" s="666"/>
      <c r="F57" s="667"/>
      <c r="G57" s="667"/>
      <c r="H57" s="667"/>
      <c r="I57" s="668"/>
      <c r="J57" s="669"/>
      <c r="K57" s="670"/>
      <c r="L57" s="671"/>
      <c r="M57" s="562"/>
      <c r="N57" s="563"/>
      <c r="O57" s="564"/>
    </row>
    <row r="58" spans="1:15" ht="30" customHeight="1">
      <c r="B58" s="688" t="s">
        <v>109</v>
      </c>
      <c r="C58" s="689"/>
      <c r="D58" s="690"/>
      <c r="E58" s="685" t="s">
        <v>3</v>
      </c>
      <c r="F58" s="686"/>
      <c r="G58" s="686"/>
      <c r="H58" s="686"/>
      <c r="I58" s="687"/>
      <c r="J58" s="685" t="s">
        <v>4</v>
      </c>
      <c r="K58" s="686"/>
      <c r="L58" s="687"/>
      <c r="M58" s="685" t="s">
        <v>5</v>
      </c>
      <c r="N58" s="686"/>
      <c r="O58" s="687"/>
    </row>
    <row r="59" spans="1:15" ht="33.75" customHeight="1">
      <c r="B59" s="205"/>
      <c r="C59" s="565"/>
      <c r="D59" s="565"/>
      <c r="E59" s="200"/>
      <c r="F59" s="202"/>
      <c r="G59" s="202"/>
      <c r="H59" s="202"/>
      <c r="I59" s="202"/>
      <c r="J59" s="200"/>
      <c r="K59" s="200"/>
      <c r="L59" s="201"/>
      <c r="M59" s="199"/>
      <c r="N59" s="200"/>
      <c r="O59" s="201"/>
    </row>
    <row r="60" spans="1:15" ht="15.75" customHeight="1">
      <c r="B60" s="696" t="s">
        <v>110</v>
      </c>
      <c r="C60" s="697"/>
      <c r="D60" s="697"/>
      <c r="E60" s="697"/>
      <c r="F60" s="697"/>
      <c r="G60" s="697"/>
      <c r="H60" s="697"/>
      <c r="I60" s="697"/>
      <c r="J60" s="697"/>
      <c r="K60" s="697"/>
      <c r="L60" s="698"/>
      <c r="M60" s="682" t="s">
        <v>111</v>
      </c>
      <c r="N60" s="683"/>
      <c r="O60" s="684"/>
    </row>
    <row r="61" spans="1:15">
      <c r="D61" s="187"/>
    </row>
    <row r="63" spans="1:15">
      <c r="D63" s="187"/>
    </row>
    <row r="64" spans="1:15">
      <c r="D64" s="187"/>
    </row>
    <row r="77" spans="1:1">
      <c r="A77" s="189"/>
    </row>
  </sheetData>
  <mergeCells count="176">
    <mergeCell ref="M44:O44"/>
    <mergeCell ref="M38:O38"/>
    <mergeCell ref="B39:D39"/>
    <mergeCell ref="E39:I39"/>
    <mergeCell ref="J39:L39"/>
    <mergeCell ref="M39:O39"/>
    <mergeCell ref="M40:O40"/>
    <mergeCell ref="B41:D41"/>
    <mergeCell ref="E41:I41"/>
    <mergeCell ref="J41:L41"/>
    <mergeCell ref="M41:O41"/>
    <mergeCell ref="M52:O52"/>
    <mergeCell ref="B46:D46"/>
    <mergeCell ref="E46:I46"/>
    <mergeCell ref="J46:L46"/>
    <mergeCell ref="M46:O46"/>
    <mergeCell ref="B45:D45"/>
    <mergeCell ref="E45:I45"/>
    <mergeCell ref="J45:L45"/>
    <mergeCell ref="M47:O47"/>
    <mergeCell ref="B48:D48"/>
    <mergeCell ref="J49:L49"/>
    <mergeCell ref="M49:O49"/>
    <mergeCell ref="M51:O51"/>
    <mergeCell ref="B51:D51"/>
    <mergeCell ref="E51:I51"/>
    <mergeCell ref="B52:D52"/>
    <mergeCell ref="E52:I52"/>
    <mergeCell ref="E47:I47"/>
    <mergeCell ref="J47:L47"/>
    <mergeCell ref="M48:O48"/>
    <mergeCell ref="B49:D49"/>
    <mergeCell ref="E48:I48"/>
    <mergeCell ref="J48:L48"/>
    <mergeCell ref="E49:I49"/>
    <mergeCell ref="B15:D15"/>
    <mergeCell ref="B13:D13"/>
    <mergeCell ref="B12:D12"/>
    <mergeCell ref="J11:L11"/>
    <mergeCell ref="E14:I14"/>
    <mergeCell ref="M23:O24"/>
    <mergeCell ref="B25:D25"/>
    <mergeCell ref="M21:O21"/>
    <mergeCell ref="M22:O22"/>
    <mergeCell ref="B21:D21"/>
    <mergeCell ref="E21:I21"/>
    <mergeCell ref="M19:O19"/>
    <mergeCell ref="J23:L24"/>
    <mergeCell ref="J20:L20"/>
    <mergeCell ref="M20:O20"/>
    <mergeCell ref="M25:O25"/>
    <mergeCell ref="J25:L25"/>
    <mergeCell ref="J21:L21"/>
    <mergeCell ref="E18:I18"/>
    <mergeCell ref="J15:L15"/>
    <mergeCell ref="E19:I19"/>
    <mergeCell ref="B18:D18"/>
    <mergeCell ref="B19:D19"/>
    <mergeCell ref="B14:D14"/>
    <mergeCell ref="J14:L14"/>
    <mergeCell ref="M14:O14"/>
    <mergeCell ref="J13:L13"/>
    <mergeCell ref="E13:I13"/>
    <mergeCell ref="M34:O34"/>
    <mergeCell ref="B2:M2"/>
    <mergeCell ref="B5:O5"/>
    <mergeCell ref="M8:O8"/>
    <mergeCell ref="J8:L8"/>
    <mergeCell ref="E7:I7"/>
    <mergeCell ref="B7:D7"/>
    <mergeCell ref="E8:I8"/>
    <mergeCell ref="J7:L7"/>
    <mergeCell ref="M7:O7"/>
    <mergeCell ref="B8:D8"/>
    <mergeCell ref="M9:O9"/>
    <mergeCell ref="B9:D9"/>
    <mergeCell ref="E9:I9"/>
    <mergeCell ref="J9:L9"/>
    <mergeCell ref="J10:L10"/>
    <mergeCell ref="E10:I10"/>
    <mergeCell ref="M10:O10"/>
    <mergeCell ref="B10:D10"/>
    <mergeCell ref="E15:I15"/>
    <mergeCell ref="B11:D11"/>
    <mergeCell ref="E11:I11"/>
    <mergeCell ref="B47:D47"/>
    <mergeCell ref="E23:I23"/>
    <mergeCell ref="E22:I22"/>
    <mergeCell ref="M33:O33"/>
    <mergeCell ref="B30:O30"/>
    <mergeCell ref="B32:D32"/>
    <mergeCell ref="E32:I32"/>
    <mergeCell ref="J32:L32"/>
    <mergeCell ref="M32:O32"/>
    <mergeCell ref="E33:I33"/>
    <mergeCell ref="M18:O18"/>
    <mergeCell ref="J18:L18"/>
    <mergeCell ref="B16:O16"/>
    <mergeCell ref="J33:L33"/>
    <mergeCell ref="B35:D35"/>
    <mergeCell ref="J19:L19"/>
    <mergeCell ref="M11:O11"/>
    <mergeCell ref="J12:L12"/>
    <mergeCell ref="M12:O12"/>
    <mergeCell ref="E12:I12"/>
    <mergeCell ref="M15:O15"/>
    <mergeCell ref="M13:O13"/>
    <mergeCell ref="M50:O50"/>
    <mergeCell ref="J22:L22"/>
    <mergeCell ref="B20:D20"/>
    <mergeCell ref="E20:I20"/>
    <mergeCell ref="E25:I25"/>
    <mergeCell ref="E24:I24"/>
    <mergeCell ref="B22:D22"/>
    <mergeCell ref="B23:D24"/>
    <mergeCell ref="B33:D33"/>
    <mergeCell ref="M36:O36"/>
    <mergeCell ref="B37:D37"/>
    <mergeCell ref="E37:I37"/>
    <mergeCell ref="J37:L37"/>
    <mergeCell ref="B40:D40"/>
    <mergeCell ref="E40:I40"/>
    <mergeCell ref="J40:L40"/>
    <mergeCell ref="E35:I35"/>
    <mergeCell ref="J35:L35"/>
    <mergeCell ref="M35:O35"/>
    <mergeCell ref="M37:O37"/>
    <mergeCell ref="M42:O42"/>
    <mergeCell ref="M43:O43"/>
    <mergeCell ref="B44:D44"/>
    <mergeCell ref="E44:I44"/>
    <mergeCell ref="B53:D53"/>
    <mergeCell ref="E53:I53"/>
    <mergeCell ref="E54:I54"/>
    <mergeCell ref="B43:D43"/>
    <mergeCell ref="E43:I43"/>
    <mergeCell ref="J43:L43"/>
    <mergeCell ref="B36:D36"/>
    <mergeCell ref="E36:I36"/>
    <mergeCell ref="J36:L36"/>
    <mergeCell ref="B38:D38"/>
    <mergeCell ref="E38:I38"/>
    <mergeCell ref="J38:L38"/>
    <mergeCell ref="B42:D42"/>
    <mergeCell ref="E42:I42"/>
    <mergeCell ref="J42:L42"/>
    <mergeCell ref="J51:L51"/>
    <mergeCell ref="J52:L52"/>
    <mergeCell ref="B50:D50"/>
    <mergeCell ref="E50:I50"/>
    <mergeCell ref="J50:L50"/>
    <mergeCell ref="J44:L44"/>
    <mergeCell ref="E57:I57"/>
    <mergeCell ref="M56:O56"/>
    <mergeCell ref="E56:I56"/>
    <mergeCell ref="B34:D34"/>
    <mergeCell ref="E34:I34"/>
    <mergeCell ref="J34:L34"/>
    <mergeCell ref="M60:O60"/>
    <mergeCell ref="M58:O58"/>
    <mergeCell ref="J54:L54"/>
    <mergeCell ref="M53:O53"/>
    <mergeCell ref="J53:L53"/>
    <mergeCell ref="B58:D58"/>
    <mergeCell ref="M54:O54"/>
    <mergeCell ref="E58:I58"/>
    <mergeCell ref="J58:L58"/>
    <mergeCell ref="B55:D55"/>
    <mergeCell ref="B56:D56"/>
    <mergeCell ref="B57:D57"/>
    <mergeCell ref="J57:L57"/>
    <mergeCell ref="E55:I55"/>
    <mergeCell ref="J55:L55"/>
    <mergeCell ref="J56:L56"/>
    <mergeCell ref="B60:L60"/>
    <mergeCell ref="B54:D54"/>
  </mergeCells>
  <phoneticPr fontId="30" type="noConversion"/>
  <pageMargins left="0.70866141732283472" right="0.70866141732283472" top="0.74803149606299213" bottom="0.74803149606299213" header="0.31496062992125984" footer="0.31496062992125984"/>
  <pageSetup paperSize="8" orientation="landscape" r:id="rId1"/>
  <headerFooter alignWithMargins="0">
    <oddFooter>&amp;L&amp;F&amp;C&amp;A&amp;RV1.0          &amp;D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AJ238"/>
  <sheetViews>
    <sheetView showGridLines="0" topLeftCell="A220" zoomScale="70" zoomScaleNormal="70" workbookViewId="0">
      <selection activeCell="I229" sqref="I229"/>
    </sheetView>
  </sheetViews>
  <sheetFormatPr defaultColWidth="11" defaultRowHeight="14.5"/>
  <cols>
    <col min="1" max="1" width="82.7265625" customWidth="1"/>
    <col min="2" max="2" width="27.1796875" customWidth="1"/>
    <col min="3" max="3" width="20" customWidth="1"/>
    <col min="4" max="4" width="22.7265625" customWidth="1"/>
    <col min="5" max="5" width="16.453125" customWidth="1"/>
    <col min="6" max="6" width="23.81640625" customWidth="1"/>
    <col min="7" max="7" width="12.453125" customWidth="1"/>
    <col min="8" max="8" width="16.81640625" customWidth="1"/>
    <col min="9" max="9" width="13.54296875" customWidth="1"/>
    <col min="10" max="10" width="14.453125" customWidth="1"/>
    <col min="11" max="11" width="11.26953125" customWidth="1"/>
    <col min="12" max="12" width="13.453125" customWidth="1"/>
    <col min="13" max="13" width="11.453125" style="33" customWidth="1"/>
    <col min="14" max="14" width="15.7265625" style="33" customWidth="1"/>
    <col min="15" max="15" width="15.54296875" customWidth="1"/>
    <col min="16" max="16" width="16.1796875" customWidth="1"/>
    <col min="17" max="17" width="13.7265625" customWidth="1"/>
    <col min="18" max="18" width="14.81640625" customWidth="1"/>
    <col min="19" max="19" width="16" customWidth="1"/>
    <col min="20" max="20" width="11.453125" hidden="1" customWidth="1"/>
    <col min="21" max="21" width="15.54296875" customWidth="1"/>
    <col min="22" max="22" width="11.453125" customWidth="1"/>
    <col min="23" max="23" width="2.26953125" customWidth="1"/>
    <col min="24" max="24" width="1.1796875" customWidth="1"/>
    <col min="25" max="25" width="3.26953125" customWidth="1"/>
    <col min="26" max="26" width="17" customWidth="1"/>
    <col min="27" max="27" width="15" customWidth="1"/>
    <col min="28" max="28" width="11.453125" customWidth="1"/>
    <col min="29" max="29" width="13.54296875" customWidth="1"/>
    <col min="30" max="30" width="16.81640625" customWidth="1"/>
    <col min="31" max="31" width="11.453125" customWidth="1"/>
    <col min="32" max="32" width="2" style="33" customWidth="1"/>
    <col min="33" max="33" width="3.26953125" style="33" customWidth="1"/>
    <col min="34" max="34" width="2.26953125" style="33" customWidth="1"/>
    <col min="35" max="35" width="40.7265625" customWidth="1"/>
    <col min="36" max="36" width="15.453125" customWidth="1"/>
  </cols>
  <sheetData>
    <row r="1" spans="1:12" ht="29.25" customHeight="1">
      <c r="A1" s="3"/>
      <c r="B1" s="801"/>
      <c r="C1" s="801"/>
      <c r="D1" s="3"/>
      <c r="E1" s="3"/>
      <c r="F1" s="3"/>
      <c r="G1" s="3"/>
      <c r="H1" s="3"/>
      <c r="I1" s="3"/>
      <c r="J1" s="3"/>
      <c r="K1" s="3"/>
      <c r="L1" s="3"/>
    </row>
    <row r="2" spans="1:12" ht="15.75" customHeight="1">
      <c r="A2" s="802" t="s">
        <v>112</v>
      </c>
      <c r="B2" s="802"/>
      <c r="C2" s="802"/>
      <c r="D2" s="802"/>
      <c r="E2" s="802"/>
      <c r="F2" s="802"/>
      <c r="G2" s="802"/>
      <c r="H2" s="802"/>
      <c r="I2" s="802"/>
      <c r="J2" s="226"/>
      <c r="K2" s="226"/>
      <c r="L2" s="226"/>
    </row>
    <row r="3" spans="1:12" ht="4.5" customHeight="1">
      <c r="A3" s="3"/>
      <c r="B3" s="3"/>
      <c r="C3" s="3"/>
      <c r="D3" s="3"/>
      <c r="E3" s="3"/>
      <c r="F3" s="3"/>
      <c r="G3" s="3"/>
      <c r="H3" s="3"/>
      <c r="I3" s="3"/>
      <c r="J3" s="3"/>
      <c r="K3" s="3"/>
      <c r="L3" s="3"/>
    </row>
    <row r="4" spans="1:12">
      <c r="A4" s="571" t="s">
        <v>113</v>
      </c>
      <c r="B4" s="794" t="s">
        <v>114</v>
      </c>
      <c r="C4" s="796"/>
      <c r="D4" s="803" t="s">
        <v>115</v>
      </c>
      <c r="E4" s="803"/>
      <c r="F4" s="567" t="s">
        <v>116</v>
      </c>
      <c r="G4" s="568"/>
      <c r="H4" s="568"/>
      <c r="I4" s="569"/>
      <c r="J4" s="3"/>
      <c r="K4" s="3"/>
      <c r="L4" s="3"/>
    </row>
    <row r="5" spans="1:12" ht="3" customHeight="1">
      <c r="A5" s="571"/>
      <c r="B5" s="3"/>
      <c r="C5" s="3"/>
      <c r="D5" s="463"/>
      <c r="E5" s="463"/>
      <c r="F5" s="3"/>
      <c r="G5" s="3"/>
      <c r="H5" s="3"/>
      <c r="I5" s="3"/>
      <c r="J5" s="3"/>
      <c r="K5" s="3"/>
      <c r="L5" s="3"/>
    </row>
    <row r="6" spans="1:12">
      <c r="A6" s="571" t="s">
        <v>117</v>
      </c>
      <c r="B6" s="794" t="s">
        <v>118</v>
      </c>
      <c r="C6" s="796"/>
      <c r="D6" s="803" t="s">
        <v>119</v>
      </c>
      <c r="E6" s="803"/>
      <c r="F6" s="242" t="s">
        <v>120</v>
      </c>
      <c r="G6" s="571" t="s">
        <v>121</v>
      </c>
      <c r="H6" s="804">
        <v>26019855.499224864</v>
      </c>
      <c r="I6" s="805"/>
      <c r="J6" s="3"/>
      <c r="K6" s="173"/>
      <c r="L6" s="3"/>
    </row>
    <row r="7" spans="1:12" ht="3" customHeight="1">
      <c r="A7" s="571"/>
      <c r="B7" s="3"/>
      <c r="C7" s="3"/>
      <c r="D7" s="463"/>
      <c r="E7" s="463"/>
      <c r="F7" s="3"/>
      <c r="G7" s="571"/>
      <c r="H7" s="3"/>
      <c r="I7" s="3"/>
      <c r="J7" s="3"/>
      <c r="K7" s="3"/>
      <c r="L7" s="3"/>
    </row>
    <row r="8" spans="1:12">
      <c r="A8" s="571" t="s">
        <v>122</v>
      </c>
      <c r="B8" s="794" t="s">
        <v>123</v>
      </c>
      <c r="C8" s="796"/>
      <c r="D8" s="218"/>
      <c r="E8" s="574" t="s">
        <v>124</v>
      </c>
      <c r="F8" s="575"/>
      <c r="G8" s="574" t="s">
        <v>125</v>
      </c>
      <c r="H8" s="794"/>
      <c r="I8" s="796"/>
      <c r="J8" s="3"/>
      <c r="K8" s="3"/>
      <c r="L8" s="3"/>
    </row>
    <row r="9" spans="1:12" ht="3" customHeight="1">
      <c r="A9" s="463"/>
      <c r="B9" s="3"/>
      <c r="C9" s="3"/>
      <c r="D9" s="463"/>
      <c r="E9" s="463"/>
      <c r="F9" s="3"/>
      <c r="G9" s="3"/>
      <c r="H9" s="3"/>
      <c r="I9" s="3"/>
      <c r="J9" s="3"/>
      <c r="K9" s="3"/>
      <c r="L9" s="3"/>
    </row>
    <row r="10" spans="1:12">
      <c r="A10" s="571" t="s">
        <v>126</v>
      </c>
      <c r="B10" s="806">
        <v>43282</v>
      </c>
      <c r="C10" s="807"/>
      <c r="D10" s="808" t="s">
        <v>127</v>
      </c>
      <c r="E10" s="811"/>
      <c r="F10" s="794" t="s">
        <v>128</v>
      </c>
      <c r="G10" s="795"/>
      <c r="H10" s="795"/>
      <c r="I10" s="796"/>
      <c r="J10" s="3"/>
      <c r="K10" s="3"/>
      <c r="L10" s="3"/>
    </row>
    <row r="11" spans="1:12" ht="5.25" customHeight="1">
      <c r="A11" s="3"/>
      <c r="B11" s="3"/>
      <c r="C11" s="3"/>
      <c r="D11" s="3"/>
      <c r="E11" s="3"/>
      <c r="F11" s="3"/>
      <c r="G11" s="3"/>
      <c r="H11" s="3"/>
      <c r="I11" s="3"/>
      <c r="J11" s="3"/>
      <c r="K11" s="3"/>
      <c r="L11" s="3"/>
    </row>
    <row r="12" spans="1:12" ht="15" customHeight="1">
      <c r="A12" s="571" t="s">
        <v>129</v>
      </c>
      <c r="B12" s="812" t="s">
        <v>130</v>
      </c>
      <c r="C12" s="812"/>
      <c r="D12" s="808" t="s">
        <v>131</v>
      </c>
      <c r="E12" s="803"/>
      <c r="F12" s="809" t="s">
        <v>132</v>
      </c>
      <c r="G12" s="809"/>
      <c r="H12" s="809"/>
      <c r="I12" s="809"/>
      <c r="J12" s="3"/>
      <c r="K12" s="3"/>
      <c r="L12" s="3"/>
    </row>
    <row r="13" spans="1:12" ht="5.25" customHeight="1">
      <c r="A13" s="3"/>
      <c r="B13" s="3"/>
      <c r="C13" s="3"/>
      <c r="D13" s="3"/>
      <c r="E13" s="3"/>
      <c r="F13" s="3"/>
      <c r="G13" s="3"/>
      <c r="H13" s="3"/>
      <c r="I13" s="3"/>
      <c r="J13" s="3"/>
      <c r="K13" s="3"/>
      <c r="L13" s="3"/>
    </row>
    <row r="14" spans="1:12" ht="15.75" customHeight="1">
      <c r="A14" s="802" t="s">
        <v>133</v>
      </c>
      <c r="B14" s="802"/>
      <c r="C14" s="802"/>
      <c r="D14" s="802"/>
      <c r="E14" s="802"/>
      <c r="F14" s="802"/>
      <c r="G14" s="802"/>
      <c r="H14" s="802"/>
      <c r="I14" s="802"/>
      <c r="J14" s="3"/>
      <c r="K14" s="3"/>
      <c r="L14" s="3"/>
    </row>
    <row r="15" spans="1:12" ht="3" customHeight="1">
      <c r="A15" s="3"/>
      <c r="B15" s="3"/>
      <c r="C15" s="3"/>
      <c r="D15" s="3"/>
      <c r="E15" s="3"/>
      <c r="F15" s="3"/>
      <c r="G15" s="3"/>
      <c r="H15" s="3"/>
      <c r="I15" s="3"/>
      <c r="J15" s="3"/>
      <c r="K15" s="3"/>
      <c r="L15" s="3"/>
    </row>
    <row r="16" spans="1:12">
      <c r="A16" s="571" t="s">
        <v>134</v>
      </c>
      <c r="B16" s="575" t="s">
        <v>135</v>
      </c>
      <c r="C16" s="574" t="s">
        <v>136</v>
      </c>
      <c r="D16" s="333">
        <v>44013</v>
      </c>
      <c r="E16" s="573" t="s">
        <v>137</v>
      </c>
      <c r="F16" s="333">
        <v>44196</v>
      </c>
      <c r="G16" s="808" t="s">
        <v>138</v>
      </c>
      <c r="H16" s="811"/>
      <c r="I16" s="572">
        <v>44281</v>
      </c>
      <c r="J16" s="3"/>
      <c r="K16" s="3"/>
      <c r="L16" s="3"/>
    </row>
    <row r="17" spans="1:33" ht="3" customHeight="1">
      <c r="A17" s="3"/>
      <c r="B17" s="3"/>
      <c r="C17" s="3"/>
      <c r="D17" s="3"/>
      <c r="E17" s="3"/>
      <c r="F17" s="3"/>
      <c r="G17" s="3"/>
      <c r="H17" s="3"/>
      <c r="I17" s="3"/>
      <c r="J17" s="3"/>
      <c r="K17" s="3"/>
      <c r="L17" s="3"/>
    </row>
    <row r="18" spans="1:33">
      <c r="A18" s="810" t="s">
        <v>139</v>
      </c>
      <c r="B18" s="811"/>
      <c r="C18" s="831" t="s">
        <v>123</v>
      </c>
      <c r="D18" s="831"/>
      <c r="E18" s="831"/>
      <c r="F18" s="227"/>
      <c r="G18" s="227"/>
      <c r="H18" s="227"/>
      <c r="I18" s="227"/>
      <c r="J18" s="3"/>
      <c r="K18" s="3"/>
      <c r="L18" s="3"/>
    </row>
    <row r="19" spans="1:33" ht="3" customHeight="1">
      <c r="A19" s="3"/>
      <c r="B19" s="3"/>
      <c r="C19" s="3"/>
      <c r="D19" s="3"/>
      <c r="E19" s="3"/>
      <c r="F19" s="3"/>
      <c r="G19" s="3"/>
      <c r="H19" s="3"/>
      <c r="I19" s="3"/>
      <c r="J19" s="3"/>
      <c r="K19" s="3"/>
      <c r="L19" s="3"/>
    </row>
    <row r="20" spans="1:33" ht="5.25" customHeight="1">
      <c r="A20" s="3"/>
      <c r="B20" s="3"/>
      <c r="C20" s="3"/>
      <c r="D20" s="3"/>
      <c r="E20" s="3"/>
      <c r="F20" s="3"/>
      <c r="G20" s="3"/>
      <c r="H20" s="3"/>
      <c r="I20" s="3"/>
      <c r="J20" s="3"/>
      <c r="K20" s="3"/>
      <c r="L20" s="3"/>
    </row>
    <row r="21" spans="1:33" ht="15.75" customHeight="1">
      <c r="A21" s="802" t="s">
        <v>140</v>
      </c>
      <c r="B21" s="802"/>
      <c r="C21" s="802"/>
      <c r="D21" s="802"/>
      <c r="E21" s="802"/>
      <c r="F21" s="802"/>
      <c r="G21" s="802"/>
      <c r="H21" s="802"/>
      <c r="I21" s="802"/>
      <c r="J21" s="3"/>
      <c r="K21" s="3"/>
      <c r="L21" s="3"/>
    </row>
    <row r="22" spans="1:33">
      <c r="A22" s="463" t="s">
        <v>141</v>
      </c>
      <c r="B22" s="3"/>
      <c r="C22" s="3"/>
      <c r="D22" s="570"/>
      <c r="E22" s="570"/>
      <c r="F22" s="3"/>
      <c r="G22" s="3"/>
      <c r="H22" s="570"/>
      <c r="I22" s="570"/>
      <c r="J22" s="3"/>
      <c r="K22" s="3"/>
      <c r="L22" s="3"/>
    </row>
    <row r="23" spans="1:33" ht="3" customHeight="1">
      <c r="A23" s="3"/>
      <c r="B23" s="3"/>
      <c r="C23" s="3"/>
      <c r="D23" s="3"/>
      <c r="E23" s="3"/>
      <c r="F23" s="3"/>
      <c r="G23" s="3"/>
      <c r="H23" s="3"/>
      <c r="I23" s="3"/>
      <c r="J23" s="3"/>
      <c r="K23" s="3"/>
      <c r="L23" s="3"/>
    </row>
    <row r="24" spans="1:33" ht="15" thickBot="1">
      <c r="A24" s="571" t="s">
        <v>142</v>
      </c>
      <c r="B24" s="277"/>
      <c r="C24" s="803" t="s">
        <v>143</v>
      </c>
      <c r="D24" s="803"/>
      <c r="E24" s="278"/>
      <c r="F24" s="803" t="s">
        <v>144</v>
      </c>
      <c r="G24" s="803"/>
      <c r="H24" s="829"/>
      <c r="I24" s="830"/>
      <c r="J24" s="3"/>
      <c r="K24" s="3"/>
      <c r="L24" s="3"/>
      <c r="M24" s="20"/>
    </row>
    <row r="25" spans="1:33" ht="19" thickBot="1">
      <c r="A25" s="79" t="s">
        <v>142</v>
      </c>
      <c r="B25" s="80"/>
      <c r="C25" s="80"/>
      <c r="D25" s="80"/>
      <c r="E25" s="80"/>
      <c r="F25" s="80"/>
      <c r="G25" s="217"/>
      <c r="H25" s="464"/>
      <c r="I25" s="464"/>
      <c r="J25" s="465" t="s">
        <v>145</v>
      </c>
      <c r="K25" s="466"/>
      <c r="L25" s="466"/>
      <c r="M25" s="466"/>
      <c r="N25" s="467"/>
      <c r="AG25" s="41"/>
    </row>
    <row r="26" spans="1:33">
      <c r="A26" s="815" t="s">
        <v>146</v>
      </c>
      <c r="B26" s="816"/>
      <c r="C26" s="286" t="s">
        <v>147</v>
      </c>
      <c r="D26" s="82"/>
      <c r="E26" s="82"/>
      <c r="F26" s="82"/>
      <c r="G26" s="82"/>
      <c r="H26" s="82"/>
      <c r="I26" s="468"/>
      <c r="J26" s="82"/>
      <c r="K26" s="82"/>
      <c r="L26" s="82"/>
      <c r="M26" s="37"/>
      <c r="N26" s="37"/>
      <c r="AG26" s="41"/>
    </row>
    <row r="27" spans="1:33" ht="18.5">
      <c r="A27" s="81" t="s">
        <v>148</v>
      </c>
      <c r="B27" s="82"/>
      <c r="C27" s="82"/>
      <c r="D27" s="82"/>
      <c r="E27" s="82"/>
      <c r="F27" s="82"/>
      <c r="G27" s="82"/>
      <c r="H27" s="82"/>
      <c r="I27" s="468"/>
      <c r="J27" s="82"/>
      <c r="K27" s="82"/>
      <c r="L27" s="82"/>
      <c r="M27" s="37"/>
      <c r="N27" s="37"/>
      <c r="AG27" s="41"/>
    </row>
    <row r="28" spans="1:33" ht="15" thickBot="1">
      <c r="A28" s="3"/>
      <c r="B28" s="3"/>
      <c r="C28" s="3"/>
      <c r="D28" s="3"/>
      <c r="E28" s="3"/>
      <c r="F28" s="3"/>
      <c r="G28" s="3"/>
      <c r="H28" s="3"/>
      <c r="I28" s="3"/>
      <c r="J28" s="3"/>
      <c r="K28" s="3"/>
      <c r="L28" s="3"/>
    </row>
    <row r="29" spans="1:33" ht="15" thickBot="1">
      <c r="A29" s="824" t="s">
        <v>149</v>
      </c>
      <c r="B29" s="825"/>
      <c r="C29" s="825"/>
      <c r="D29" s="825"/>
      <c r="E29" s="825"/>
      <c r="F29" s="825"/>
      <c r="G29" s="825"/>
      <c r="H29" s="825"/>
      <c r="I29" s="825"/>
      <c r="J29" s="825"/>
      <c r="K29" s="825"/>
      <c r="L29" s="825"/>
      <c r="M29" s="826"/>
      <c r="O29" s="178"/>
      <c r="P29" s="179"/>
      <c r="Q29" s="180">
        <f>+B33</f>
        <v>3229329.58</v>
      </c>
    </row>
    <row r="30" spans="1:33">
      <c r="A30" s="83" t="s">
        <v>134</v>
      </c>
      <c r="B30" s="265" t="s">
        <v>150</v>
      </c>
      <c r="C30" s="265" t="s">
        <v>151</v>
      </c>
      <c r="D30" s="265" t="s">
        <v>152</v>
      </c>
      <c r="E30" s="265" t="s">
        <v>153</v>
      </c>
      <c r="F30" s="265" t="s">
        <v>135</v>
      </c>
      <c r="G30" s="265" t="s">
        <v>154</v>
      </c>
      <c r="H30" s="265" t="s">
        <v>155</v>
      </c>
      <c r="I30" s="265" t="s">
        <v>156</v>
      </c>
      <c r="J30" s="265" t="s">
        <v>157</v>
      </c>
      <c r="K30" s="265" t="s">
        <v>158</v>
      </c>
      <c r="L30" s="265" t="s">
        <v>159</v>
      </c>
      <c r="M30" s="266" t="s">
        <v>160</v>
      </c>
      <c r="N30" s="267" t="s">
        <v>161</v>
      </c>
      <c r="O30" s="178"/>
      <c r="P30" s="179"/>
      <c r="Q30" s="180">
        <f>+C33</f>
        <v>7403519.0299999993</v>
      </c>
    </row>
    <row r="31" spans="1:33">
      <c r="A31" s="224" t="s">
        <v>162</v>
      </c>
      <c r="B31" s="559">
        <v>3229329.58</v>
      </c>
      <c r="C31" s="558">
        <v>4174189.4499999993</v>
      </c>
      <c r="D31" s="558">
        <v>4536023.2400000012</v>
      </c>
      <c r="E31" s="557">
        <v>3770791.7017653794</v>
      </c>
      <c r="F31" s="557">
        <v>10309521.527459482</v>
      </c>
      <c r="G31" s="364"/>
      <c r="H31" s="365"/>
      <c r="I31" s="364"/>
      <c r="J31" s="364"/>
      <c r="K31" s="272"/>
      <c r="L31" s="366"/>
      <c r="M31" s="272"/>
      <c r="N31" s="849"/>
      <c r="O31" s="178"/>
      <c r="P31" s="179"/>
      <c r="Q31" s="180">
        <f>+D33</f>
        <v>11939542.27</v>
      </c>
    </row>
    <row r="32" spans="1:33">
      <c r="A32" s="83" t="str">
        <f>CONCATENATE("Выплаты ГФ (в ", $C$26,")")</f>
        <v>Выплаты ГФ (в $)</v>
      </c>
      <c r="B32" s="273">
        <v>9283289</v>
      </c>
      <c r="C32" s="273">
        <v>3078027.41</v>
      </c>
      <c r="D32" s="273">
        <v>5194310.5</v>
      </c>
      <c r="E32" s="273">
        <v>6731567</v>
      </c>
      <c r="F32" s="273">
        <v>1448430.6099999999</v>
      </c>
      <c r="G32" s="273"/>
      <c r="H32" s="351"/>
      <c r="I32" s="272"/>
      <c r="J32" s="272"/>
      <c r="K32" s="272"/>
      <c r="L32" s="272"/>
      <c r="M32" s="272"/>
      <c r="N32" s="850"/>
      <c r="O32" s="178"/>
      <c r="P32" s="179"/>
      <c r="Q32" s="180">
        <f>+E33</f>
        <v>15710333.971765378</v>
      </c>
    </row>
    <row r="33" spans="1:33">
      <c r="A33" s="84" t="s">
        <v>163</v>
      </c>
      <c r="B33" s="274">
        <f>+B31</f>
        <v>3229329.58</v>
      </c>
      <c r="C33" s="274">
        <f>IF(AND(C31=0,C32=0),0,+B33+C31)</f>
        <v>7403519.0299999993</v>
      </c>
      <c r="D33" s="274">
        <f>IF(AND(D31=0,D32=0),0,+C33+D31)</f>
        <v>11939542.27</v>
      </c>
      <c r="E33" s="274">
        <f>IF(AND(E31=0,E32=0),0,+D33+E31)</f>
        <v>15710333.971765378</v>
      </c>
      <c r="F33" s="338">
        <f>IF(AND(F31=0,F32=0),0,+E33+F31)</f>
        <v>26019855.49922486</v>
      </c>
      <c r="G33" s="362"/>
      <c r="H33" s="362"/>
      <c r="I33" s="362"/>
      <c r="J33" s="362"/>
      <c r="K33" s="362"/>
      <c r="L33" s="367"/>
      <c r="M33" s="274"/>
      <c r="N33" s="850"/>
      <c r="O33" s="262"/>
      <c r="P33" s="179"/>
      <c r="Q33" s="180">
        <f>+F33</f>
        <v>26019855.49922486</v>
      </c>
    </row>
    <row r="34" spans="1:33" ht="15" thickBot="1">
      <c r="A34" s="85" t="s">
        <v>164</v>
      </c>
      <c r="B34" s="275">
        <f>+B32</f>
        <v>9283289</v>
      </c>
      <c r="C34" s="275">
        <f>IF(AND(C31=0,C32=0),0,+B34+C32)</f>
        <v>12361316.41</v>
      </c>
      <c r="D34" s="275">
        <f>IF(AND(D31=0,D32=0),0,+C34+D32)</f>
        <v>17555626.91</v>
      </c>
      <c r="E34" s="275">
        <f>IF(AND(E31=0,E32=0),0,+D34+E32)</f>
        <v>24287193.91</v>
      </c>
      <c r="F34" s="560">
        <f>IF(AND(F31=0,F32=0),0,+E34+F32)</f>
        <v>25735624.52</v>
      </c>
      <c r="G34" s="363"/>
      <c r="H34" s="363"/>
      <c r="I34" s="363"/>
      <c r="J34" s="363"/>
      <c r="K34" s="363"/>
      <c r="L34" s="368"/>
      <c r="M34" s="275"/>
      <c r="N34" s="851"/>
      <c r="O34" s="262"/>
      <c r="P34" s="179"/>
      <c r="Q34" s="180">
        <f>+G33</f>
        <v>0</v>
      </c>
    </row>
    <row r="35" spans="1:33">
      <c r="A35" s="3"/>
      <c r="B35" s="253">
        <f>+IF(AND(B30=$B$16,B33&lt;&gt;0),B34/B33,0)</f>
        <v>0</v>
      </c>
      <c r="C35" s="253">
        <f t="shared" ref="C35:M35" si="0">+IF(AND(C30=$B$16,C33&lt;&gt;0),C34/C33,0)</f>
        <v>0</v>
      </c>
      <c r="D35" s="253">
        <f t="shared" si="0"/>
        <v>0</v>
      </c>
      <c r="E35" s="253">
        <f>+IF(AND(E30=$B$16,E33&lt;&gt;0),E34/E33,0)</f>
        <v>0</v>
      </c>
      <c r="F35" s="253">
        <f t="shared" si="0"/>
        <v>0.98907638133373466</v>
      </c>
      <c r="G35" s="253">
        <f t="shared" si="0"/>
        <v>0</v>
      </c>
      <c r="H35" s="253">
        <f t="shared" si="0"/>
        <v>0</v>
      </c>
      <c r="I35" s="253">
        <f t="shared" si="0"/>
        <v>0</v>
      </c>
      <c r="J35" s="253">
        <f t="shared" si="0"/>
        <v>0</v>
      </c>
      <c r="K35" s="253">
        <f t="shared" si="0"/>
        <v>0</v>
      </c>
      <c r="L35" s="253">
        <f t="shared" si="0"/>
        <v>0</v>
      </c>
      <c r="M35" s="253">
        <f t="shared" si="0"/>
        <v>0</v>
      </c>
      <c r="N35" s="228"/>
      <c r="O35" s="181"/>
      <c r="P35" s="182"/>
      <c r="Q35" s="180">
        <f>+H33</f>
        <v>0</v>
      </c>
    </row>
    <row r="36" spans="1:33" ht="18.5">
      <c r="A36" s="81" t="s">
        <v>165</v>
      </c>
      <c r="B36" s="3"/>
      <c r="C36" s="3"/>
      <c r="D36" s="259"/>
      <c r="E36" s="3"/>
      <c r="F36" s="215"/>
      <c r="G36" s="3"/>
      <c r="H36" s="3"/>
      <c r="I36" s="3"/>
      <c r="J36" s="3"/>
      <c r="K36" s="3"/>
      <c r="L36" s="3"/>
      <c r="M36" s="38"/>
      <c r="N36" s="38"/>
      <c r="AG36" s="20"/>
    </row>
    <row r="37" spans="1:33" ht="15" thickBot="1">
      <c r="A37" s="3"/>
      <c r="B37" s="3"/>
      <c r="C37" s="3"/>
      <c r="D37" s="3"/>
      <c r="E37" s="3"/>
      <c r="F37" s="3"/>
      <c r="G37" s="3"/>
      <c r="H37" s="3"/>
      <c r="I37" s="3"/>
      <c r="J37" s="3"/>
      <c r="K37" s="3"/>
      <c r="L37" s="3"/>
      <c r="M37" s="36"/>
      <c r="N37" s="36"/>
    </row>
    <row r="38" spans="1:33" ht="30" customHeight="1">
      <c r="A38" s="310"/>
      <c r="B38" s="469" t="str">
        <f>CONCATENATE("Общий бюджет (в ",'Ввод данных'!$C$26,")")</f>
        <v>Общий бюджет (в $)</v>
      </c>
      <c r="C38" s="470" t="str">
        <f>CONCATENATE("Общие расходы (в ",'Ввод данных'!$C$26,")")</f>
        <v>Общие расходы (в $)</v>
      </c>
      <c r="D38" s="221"/>
      <c r="E38" s="221" t="s">
        <v>166</v>
      </c>
      <c r="F38" s="3"/>
      <c r="G38" s="3"/>
      <c r="H38" s="3"/>
      <c r="I38" s="91"/>
      <c r="J38" s="39"/>
      <c r="M38"/>
      <c r="N38"/>
      <c r="AC38" s="20"/>
      <c r="AD38" s="33"/>
    </row>
    <row r="39" spans="1:33">
      <c r="A39" s="369" t="s">
        <v>167</v>
      </c>
      <c r="B39" s="279">
        <v>106252.72469827587</v>
      </c>
      <c r="C39" s="282">
        <v>85463.37</v>
      </c>
      <c r="D39" s="15"/>
      <c r="E39" s="15" t="s">
        <v>713</v>
      </c>
      <c r="F39" s="264"/>
      <c r="G39" s="3"/>
      <c r="H39" s="3"/>
      <c r="I39" s="92"/>
      <c r="J39" s="40"/>
      <c r="M39"/>
      <c r="N39"/>
      <c r="AC39" s="20"/>
      <c r="AD39" s="33"/>
    </row>
    <row r="40" spans="1:33">
      <c r="A40" s="369" t="s">
        <v>168</v>
      </c>
      <c r="B40" s="279">
        <v>595662.05787846353</v>
      </c>
      <c r="C40" s="282">
        <v>410952.24999999994</v>
      </c>
      <c r="D40" s="15"/>
      <c r="E40" s="15" t="s">
        <v>714</v>
      </c>
      <c r="F40" s="264"/>
      <c r="G40" s="3"/>
      <c r="H40" s="3"/>
      <c r="I40" s="92"/>
      <c r="J40" s="40"/>
      <c r="M40"/>
      <c r="N40"/>
      <c r="AC40" s="20"/>
      <c r="AD40" s="33"/>
    </row>
    <row r="41" spans="1:33">
      <c r="A41" s="369" t="s">
        <v>169</v>
      </c>
      <c r="B41" s="279">
        <v>0</v>
      </c>
      <c r="C41" s="282">
        <v>0</v>
      </c>
      <c r="D41" s="15"/>
      <c r="E41" s="15" t="s">
        <v>170</v>
      </c>
      <c r="F41" s="264"/>
      <c r="G41" s="3"/>
      <c r="H41" s="3"/>
      <c r="I41" s="92"/>
      <c r="J41" s="40"/>
      <c r="M41"/>
      <c r="N41"/>
      <c r="AC41" s="20"/>
      <c r="AD41" s="33"/>
    </row>
    <row r="42" spans="1:33">
      <c r="A42" s="281" t="s">
        <v>171</v>
      </c>
      <c r="B42" s="279">
        <v>407</v>
      </c>
      <c r="C42" s="282">
        <v>243.59999999999991</v>
      </c>
      <c r="D42" s="15"/>
      <c r="E42" s="15" t="s">
        <v>715</v>
      </c>
      <c r="F42" s="264"/>
      <c r="G42" s="3"/>
      <c r="H42" s="3"/>
      <c r="I42" s="92"/>
      <c r="J42" s="40"/>
      <c r="M42"/>
      <c r="N42"/>
      <c r="AC42" s="20"/>
      <c r="AD42" s="33"/>
    </row>
    <row r="43" spans="1:33">
      <c r="A43" s="369" t="s">
        <v>172</v>
      </c>
      <c r="B43" s="279">
        <v>804007.3469109193</v>
      </c>
      <c r="C43" s="282">
        <v>690051.82999999984</v>
      </c>
      <c r="D43" s="15"/>
      <c r="E43" s="15" t="s">
        <v>716</v>
      </c>
      <c r="F43" s="264"/>
      <c r="G43" s="3"/>
      <c r="H43" s="3"/>
      <c r="I43" s="92"/>
      <c r="J43" s="40"/>
      <c r="M43"/>
      <c r="N43"/>
      <c r="AC43" s="20"/>
      <c r="AD43" s="33"/>
    </row>
    <row r="44" spans="1:33">
      <c r="A44" s="370" t="s">
        <v>173</v>
      </c>
      <c r="B44" s="279">
        <v>0</v>
      </c>
      <c r="C44" s="282">
        <v>0</v>
      </c>
      <c r="D44" s="15"/>
      <c r="E44" s="15" t="s">
        <v>170</v>
      </c>
      <c r="F44" s="264"/>
      <c r="G44" s="3"/>
      <c r="H44" s="3"/>
      <c r="I44" s="92"/>
      <c r="J44" s="40"/>
      <c r="M44"/>
      <c r="N44"/>
      <c r="AC44" s="20"/>
      <c r="AD44" s="33"/>
    </row>
    <row r="45" spans="1:33">
      <c r="A45" s="281" t="s">
        <v>174</v>
      </c>
      <c r="B45" s="279">
        <v>5446047.2591398051</v>
      </c>
      <c r="C45" s="282">
        <v>4898427.4000000022</v>
      </c>
      <c r="D45" s="15"/>
      <c r="E45" s="15" t="s">
        <v>717</v>
      </c>
      <c r="F45" s="264"/>
      <c r="G45" s="3"/>
      <c r="H45" s="3"/>
      <c r="I45" s="92"/>
      <c r="J45" s="40"/>
      <c r="M45"/>
      <c r="N45"/>
      <c r="AC45" s="20"/>
      <c r="AD45" s="33"/>
    </row>
    <row r="46" spans="1:33">
      <c r="A46" s="281" t="s">
        <v>175</v>
      </c>
      <c r="B46" s="279">
        <v>104474.64631907888</v>
      </c>
      <c r="C46" s="282">
        <v>128704.88</v>
      </c>
      <c r="D46" s="15"/>
      <c r="E46" s="15" t="s">
        <v>176</v>
      </c>
      <c r="F46" s="264"/>
      <c r="G46" s="3"/>
      <c r="H46" s="3"/>
      <c r="I46" s="92"/>
      <c r="J46" s="40"/>
      <c r="M46"/>
      <c r="N46"/>
      <c r="AC46" s="20"/>
      <c r="AD46" s="33"/>
    </row>
    <row r="47" spans="1:33">
      <c r="A47" s="281" t="s">
        <v>177</v>
      </c>
      <c r="B47" s="280">
        <v>65599.230356321845</v>
      </c>
      <c r="C47" s="282">
        <v>90166.680000000022</v>
      </c>
      <c r="D47" s="15"/>
      <c r="E47" s="15" t="s">
        <v>178</v>
      </c>
      <c r="F47" s="264"/>
      <c r="G47" s="3"/>
      <c r="H47" s="3"/>
      <c r="I47" s="92"/>
      <c r="J47" s="40"/>
      <c r="M47"/>
      <c r="N47"/>
      <c r="AC47" s="20"/>
      <c r="AD47" s="33"/>
    </row>
    <row r="48" spans="1:33">
      <c r="A48" s="281" t="s">
        <v>179</v>
      </c>
      <c r="B48" s="279">
        <v>1628422.5518335488</v>
      </c>
      <c r="C48" s="282">
        <v>1174633.4878000002</v>
      </c>
      <c r="D48" s="15"/>
      <c r="E48" s="15" t="s">
        <v>180</v>
      </c>
      <c r="F48" s="264"/>
      <c r="G48" s="3"/>
      <c r="H48" s="3"/>
      <c r="I48" s="92"/>
      <c r="J48" s="40"/>
      <c r="M48"/>
      <c r="N48"/>
      <c r="AC48" s="20"/>
      <c r="AD48" s="33"/>
    </row>
    <row r="49" spans="1:32">
      <c r="A49" s="281" t="s">
        <v>181</v>
      </c>
      <c r="B49" s="279">
        <v>67142.554396551728</v>
      </c>
      <c r="C49" s="282">
        <v>54679.600000000006</v>
      </c>
      <c r="D49" s="15"/>
      <c r="E49" s="15" t="s">
        <v>182</v>
      </c>
      <c r="F49" s="264"/>
      <c r="G49" s="3"/>
      <c r="H49" s="3"/>
      <c r="I49" s="92"/>
      <c r="J49" s="40"/>
      <c r="M49"/>
      <c r="N49"/>
      <c r="AC49" s="20"/>
      <c r="AD49" s="33"/>
    </row>
    <row r="50" spans="1:32">
      <c r="A50" s="281" t="s">
        <v>183</v>
      </c>
      <c r="B50" s="279">
        <v>178783.95862068961</v>
      </c>
      <c r="C50" s="282">
        <v>155663.06000000003</v>
      </c>
      <c r="D50" s="15"/>
      <c r="E50" s="15" t="s">
        <v>718</v>
      </c>
      <c r="F50" s="264"/>
      <c r="G50" s="3"/>
      <c r="H50" s="3"/>
      <c r="I50" s="92"/>
      <c r="J50" s="40"/>
      <c r="M50"/>
      <c r="N50"/>
      <c r="AC50" s="20"/>
      <c r="AD50" s="33"/>
    </row>
    <row r="51" spans="1:32">
      <c r="A51" s="283" t="s">
        <v>184</v>
      </c>
      <c r="B51" s="280">
        <v>382691.26820007851</v>
      </c>
      <c r="C51" s="282">
        <v>383630.82999999984</v>
      </c>
      <c r="D51" s="15"/>
      <c r="E51" s="264" t="s">
        <v>185</v>
      </c>
      <c r="F51" s="264"/>
      <c r="G51" s="3"/>
      <c r="H51" s="3"/>
      <c r="I51" s="92"/>
      <c r="J51" s="40"/>
      <c r="M51"/>
      <c r="N51"/>
      <c r="AC51" s="20"/>
      <c r="AD51" s="33"/>
    </row>
    <row r="52" spans="1:32">
      <c r="A52" s="370" t="s">
        <v>186</v>
      </c>
      <c r="B52" s="280">
        <v>930030.92910574703</v>
      </c>
      <c r="C52" s="282">
        <v>1054817.1921999999</v>
      </c>
      <c r="D52" s="15"/>
      <c r="E52" s="263" t="s">
        <v>719</v>
      </c>
      <c r="F52" s="264"/>
      <c r="G52" s="3"/>
      <c r="H52" s="3"/>
      <c r="I52" s="92"/>
      <c r="J52" s="40"/>
      <c r="M52"/>
      <c r="N52"/>
      <c r="AC52" s="20"/>
      <c r="AD52" s="33"/>
    </row>
    <row r="53" spans="1:32">
      <c r="A53" s="281"/>
      <c r="B53" s="352"/>
      <c r="C53" s="282"/>
      <c r="D53" s="15"/>
      <c r="E53" s="263"/>
      <c r="F53" s="264"/>
      <c r="G53" s="3"/>
      <c r="H53" s="3"/>
      <c r="I53" s="92"/>
      <c r="J53" s="40"/>
      <c r="M53"/>
      <c r="N53"/>
      <c r="AC53" s="20"/>
      <c r="AD53" s="33"/>
    </row>
    <row r="54" spans="1:32">
      <c r="A54" s="281"/>
      <c r="B54" s="352"/>
      <c r="C54" s="282"/>
      <c r="D54" s="228"/>
      <c r="E54" s="263"/>
      <c r="F54" s="264"/>
      <c r="G54" s="3"/>
      <c r="H54" s="3"/>
      <c r="I54" s="3"/>
      <c r="J54" s="40"/>
      <c r="M54"/>
      <c r="N54"/>
      <c r="AC54" s="20"/>
      <c r="AD54" s="33"/>
    </row>
    <row r="55" spans="1:32" ht="15" thickBot="1">
      <c r="A55" s="283"/>
      <c r="B55" s="353"/>
      <c r="C55" s="360"/>
      <c r="D55" s="219"/>
      <c r="E55" s="263"/>
      <c r="F55" s="3"/>
      <c r="G55" s="3"/>
      <c r="H55" s="3"/>
      <c r="I55" s="3"/>
      <c r="J55" s="40"/>
      <c r="M55"/>
      <c r="N55"/>
      <c r="AC55" s="20"/>
      <c r="AD55" s="33"/>
    </row>
    <row r="56" spans="1:32" ht="15" thickBot="1">
      <c r="A56" s="284" t="s">
        <v>187</v>
      </c>
      <c r="B56" s="413">
        <f>SUM(B39:B55)</f>
        <v>10309521.527459482</v>
      </c>
      <c r="C56" s="554">
        <f>SUM(C39:C55)</f>
        <v>9127434.1800000016</v>
      </c>
      <c r="D56" s="3"/>
      <c r="E56" s="844" t="str">
        <f ca="1">+IF((ROUND(B56,0)=ROUND(OFFSET(A31,0,RIGHT('Ввод данных'!$B$16,LEN('Ввод данных'!$B$16)-1),1,1),0)),"Все правильно: данные верны","Предупреждение: данные не совпадают")</f>
        <v>Все правильно: данные верны</v>
      </c>
      <c r="F56" s="845"/>
      <c r="G56" s="845"/>
      <c r="H56" s="846"/>
      <c r="I56" s="173"/>
      <c r="J56" s="173"/>
      <c r="K56" s="173"/>
      <c r="L56" s="181"/>
      <c r="M56" s="182"/>
      <c r="N56" s="180"/>
      <c r="O56" s="178"/>
      <c r="AC56" s="33"/>
      <c r="AD56" s="33"/>
    </row>
    <row r="57" spans="1:32">
      <c r="A57" s="3"/>
      <c r="B57" s="173"/>
      <c r="C57" s="173"/>
      <c r="E57" s="173"/>
      <c r="F57" s="173"/>
      <c r="G57" s="173"/>
      <c r="H57" s="173"/>
      <c r="I57" s="173"/>
      <c r="J57" s="173"/>
      <c r="K57" s="173"/>
      <c r="L57" s="173"/>
      <c r="M57" s="173"/>
      <c r="N57" s="173"/>
      <c r="O57" s="181"/>
      <c r="P57" s="182"/>
      <c r="Q57" s="180"/>
    </row>
    <row r="58" spans="1:32" ht="18.5">
      <c r="A58" s="81" t="s">
        <v>188</v>
      </c>
      <c r="B58" s="3"/>
      <c r="C58" s="173"/>
      <c r="D58" s="337"/>
      <c r="E58" s="3"/>
      <c r="F58" s="3"/>
      <c r="G58" s="3"/>
      <c r="H58" s="3"/>
      <c r="I58" s="3"/>
      <c r="J58" s="3"/>
      <c r="K58" s="3"/>
      <c r="L58" s="3"/>
      <c r="O58" s="178"/>
      <c r="P58" s="179"/>
      <c r="Q58" s="180">
        <f>+I33</f>
        <v>0</v>
      </c>
    </row>
    <row r="59" spans="1:32" ht="15" thickBot="1">
      <c r="A59" s="3"/>
      <c r="B59" s="3"/>
      <c r="C59" s="3"/>
      <c r="D59" s="3"/>
      <c r="E59" s="3"/>
      <c r="F59" s="3"/>
      <c r="G59" s="3"/>
      <c r="H59" s="3"/>
      <c r="I59" s="3"/>
      <c r="J59" s="3"/>
      <c r="K59" s="3"/>
      <c r="L59" s="3"/>
      <c r="O59" s="178"/>
      <c r="P59" s="179"/>
      <c r="Q59" s="180">
        <f>+J33</f>
        <v>0</v>
      </c>
    </row>
    <row r="60" spans="1:32" ht="51" customHeight="1">
      <c r="A60" s="340"/>
      <c r="B60" s="341" t="s">
        <v>189</v>
      </c>
      <c r="C60" s="341" t="s">
        <v>190</v>
      </c>
      <c r="D60" s="342" t="str">
        <f>CONCATENATE("Всего израсходовано и выплачено (в ",C26,")")</f>
        <v>Всего израсходовано и выплачено (в $)</v>
      </c>
      <c r="E60" s="3"/>
      <c r="F60" s="232"/>
      <c r="G60" s="471"/>
      <c r="H60" s="225"/>
      <c r="I60" s="225"/>
      <c r="J60" s="225"/>
      <c r="K60" s="225"/>
      <c r="L60" s="21"/>
      <c r="M60" s="21"/>
      <c r="N60" s="178"/>
      <c r="O60" s="179"/>
      <c r="P60" s="180">
        <f>+L33</f>
        <v>0</v>
      </c>
      <c r="Q60" s="178"/>
      <c r="AF60" s="20"/>
    </row>
    <row r="61" spans="1:32">
      <c r="A61" s="343" t="s">
        <v>191</v>
      </c>
      <c r="B61" s="371">
        <v>24287193.91</v>
      </c>
      <c r="C61" s="371">
        <v>1448430.6099999999</v>
      </c>
      <c r="D61" s="345">
        <f>+C61+B61</f>
        <v>25735624.52</v>
      </c>
      <c r="E61" s="3"/>
      <c r="F61" s="87"/>
      <c r="G61" s="230"/>
      <c r="H61" s="86"/>
      <c r="I61" s="176"/>
      <c r="J61" s="177"/>
      <c r="K61" s="88"/>
      <c r="L61" s="34"/>
      <c r="M61" s="34"/>
      <c r="N61" s="178"/>
      <c r="O61" s="178"/>
      <c r="P61" s="178"/>
      <c r="Q61" s="178"/>
      <c r="AF61" s="20"/>
    </row>
    <row r="62" spans="1:32">
      <c r="A62" s="343" t="s">
        <v>192</v>
      </c>
      <c r="B62" s="371">
        <v>11556213.720000058</v>
      </c>
      <c r="C62" s="371">
        <v>9114391.3457666282</v>
      </c>
      <c r="D62" s="345">
        <f>+C62+B62</f>
        <v>20670605.065766685</v>
      </c>
      <c r="E62" s="3"/>
      <c r="F62" s="210"/>
      <c r="G62" s="230"/>
      <c r="H62" s="86"/>
      <c r="I62" s="176"/>
      <c r="J62" s="176"/>
      <c r="K62" s="88"/>
      <c r="L62" s="35"/>
      <c r="M62" s="35"/>
      <c r="N62" s="178"/>
      <c r="O62" s="178"/>
      <c r="P62" s="178"/>
      <c r="Q62" s="178"/>
      <c r="AF62" s="20"/>
    </row>
    <row r="63" spans="1:32">
      <c r="A63" s="343" t="s">
        <v>193</v>
      </c>
      <c r="B63" s="371">
        <v>4046329.33</v>
      </c>
      <c r="C63" s="371">
        <v>1200678.5199999984</v>
      </c>
      <c r="D63" s="345">
        <f>+C63+B63</f>
        <v>5247007.8499999987</v>
      </c>
      <c r="E63" s="3"/>
      <c r="F63" s="87"/>
      <c r="G63" s="230"/>
      <c r="H63" s="86"/>
      <c r="I63" s="176"/>
      <c r="J63" s="177"/>
      <c r="K63" s="88"/>
      <c r="L63" s="34"/>
      <c r="M63" s="34"/>
      <c r="N63"/>
      <c r="AF63" s="20"/>
    </row>
    <row r="64" spans="1:32">
      <c r="A64" s="344" t="s">
        <v>194</v>
      </c>
      <c r="B64" s="371">
        <v>3836577.71</v>
      </c>
      <c r="C64" s="371">
        <v>1292802.0374460206</v>
      </c>
      <c r="D64" s="346">
        <f>+C64+B64</f>
        <v>5129379.7474460211</v>
      </c>
      <c r="E64" s="173"/>
      <c r="F64" s="211"/>
      <c r="G64" s="231"/>
      <c r="H64" s="89"/>
      <c r="I64" s="89"/>
      <c r="J64" s="89"/>
      <c r="K64" s="88"/>
      <c r="L64" s="35"/>
      <c r="M64" s="35"/>
      <c r="N64"/>
      <c r="AF64" s="20"/>
    </row>
    <row r="65" spans="1:33" ht="15.75" customHeight="1">
      <c r="A65" s="3"/>
      <c r="B65" s="3"/>
      <c r="C65" s="173"/>
      <c r="D65" s="3"/>
      <c r="E65" s="173"/>
      <c r="F65" s="3"/>
      <c r="G65" s="3"/>
      <c r="H65" s="3"/>
      <c r="I65" s="3"/>
      <c r="J65" s="3"/>
      <c r="K65" s="3"/>
      <c r="L65" s="3"/>
      <c r="AG65" s="20"/>
    </row>
    <row r="66" spans="1:33">
      <c r="A66" s="3"/>
      <c r="B66" s="3"/>
      <c r="C66" s="339"/>
      <c r="D66" s="3"/>
      <c r="E66" s="3"/>
      <c r="F66" s="3"/>
      <c r="G66" s="3"/>
      <c r="H66" s="3"/>
      <c r="I66" s="3"/>
      <c r="J66" s="3"/>
      <c r="K66" s="3"/>
      <c r="L66" s="3"/>
    </row>
    <row r="67" spans="1:33" ht="18.5">
      <c r="A67" s="81" t="s">
        <v>195</v>
      </c>
      <c r="B67" s="3"/>
      <c r="C67" s="173"/>
      <c r="D67" s="3"/>
      <c r="E67" s="3"/>
      <c r="F67" s="3"/>
      <c r="G67" s="3"/>
      <c r="H67" s="3"/>
      <c r="I67" s="3"/>
      <c r="J67" s="3"/>
      <c r="K67" s="3"/>
      <c r="L67" s="3"/>
    </row>
    <row r="68" spans="1:33" ht="15" thickBot="1">
      <c r="A68" s="3"/>
      <c r="B68" s="3"/>
      <c r="C68" s="3"/>
      <c r="D68" s="3"/>
      <c r="E68" s="3"/>
      <c r="F68" s="3"/>
      <c r="G68" s="3"/>
      <c r="H68" s="3"/>
      <c r="I68" s="3"/>
      <c r="J68" s="3"/>
      <c r="K68" s="3"/>
      <c r="L68" s="3"/>
    </row>
    <row r="69" spans="1:33" ht="15.75" customHeight="1" thickBot="1">
      <c r="A69" s="819" t="s">
        <v>196</v>
      </c>
      <c r="B69" s="820"/>
      <c r="C69" s="821"/>
      <c r="D69" s="359"/>
      <c r="E69" s="3"/>
      <c r="F69" s="3"/>
      <c r="G69" s="3"/>
      <c r="H69" s="3"/>
      <c r="I69" s="3"/>
      <c r="J69" s="3"/>
      <c r="K69" s="3"/>
      <c r="L69" s="33"/>
      <c r="N69"/>
    </row>
    <row r="70" spans="1:33">
      <c r="A70" s="354"/>
      <c r="B70" s="322"/>
      <c r="C70" s="334" t="s">
        <v>197</v>
      </c>
      <c r="D70" s="355" t="s">
        <v>198</v>
      </c>
      <c r="E70" s="3"/>
      <c r="F70" s="3"/>
      <c r="G70" s="3"/>
      <c r="H70" s="3"/>
      <c r="I70" s="3"/>
      <c r="J70" s="3"/>
      <c r="K70" s="3"/>
      <c r="L70" s="33"/>
      <c r="N70"/>
    </row>
    <row r="71" spans="1:33">
      <c r="A71" s="356" t="s">
        <v>199</v>
      </c>
      <c r="B71" s="42"/>
      <c r="C71" s="372">
        <v>45</v>
      </c>
      <c r="D71" s="555">
        <v>59</v>
      </c>
      <c r="E71" s="3"/>
      <c r="F71" s="3"/>
      <c r="G71" s="3"/>
      <c r="H71" s="3"/>
      <c r="I71" s="3"/>
      <c r="J71" s="3"/>
      <c r="K71" s="3"/>
      <c r="L71" s="33"/>
      <c r="N71"/>
    </row>
    <row r="72" spans="1:33">
      <c r="A72" s="233" t="s">
        <v>200</v>
      </c>
      <c r="B72" s="42"/>
      <c r="C72" s="372" t="s">
        <v>201</v>
      </c>
      <c r="D72" s="556" t="s">
        <v>201</v>
      </c>
      <c r="E72" s="3"/>
      <c r="F72" s="3"/>
      <c r="G72" s="230"/>
      <c r="H72" s="230"/>
      <c r="I72" s="3"/>
      <c r="J72" s="3"/>
      <c r="K72" s="3"/>
      <c r="L72" s="33"/>
      <c r="N72"/>
    </row>
    <row r="73" spans="1:33" ht="15" thickBot="1">
      <c r="A73" s="357" t="s">
        <v>202</v>
      </c>
      <c r="B73" s="358"/>
      <c r="C73" s="373" t="s">
        <v>201</v>
      </c>
      <c r="D73" s="556" t="s">
        <v>201</v>
      </c>
      <c r="E73" s="3"/>
      <c r="F73" s="3"/>
      <c r="G73" s="230"/>
      <c r="H73" s="230"/>
      <c r="I73" s="3"/>
      <c r="J73" s="3"/>
      <c r="K73" s="3"/>
      <c r="L73" s="33"/>
      <c r="N73"/>
    </row>
    <row r="74" spans="1:33">
      <c r="A74" s="3"/>
      <c r="B74" s="3"/>
      <c r="C74" s="335"/>
      <c r="D74" s="335"/>
      <c r="E74" s="3"/>
      <c r="F74" s="3"/>
      <c r="G74" s="3"/>
      <c r="H74" s="3"/>
      <c r="I74" s="3"/>
      <c r="J74" s="3"/>
      <c r="K74" s="3"/>
      <c r="L74" s="3"/>
    </row>
    <row r="75" spans="1:33" ht="15" thickBot="1">
      <c r="A75" s="3"/>
      <c r="B75" s="3"/>
      <c r="C75" s="3"/>
      <c r="D75" s="3"/>
      <c r="E75" s="3"/>
      <c r="F75" s="3"/>
      <c r="G75" s="3"/>
      <c r="H75" s="3"/>
      <c r="I75" s="3"/>
      <c r="J75" s="3"/>
      <c r="K75" s="2"/>
      <c r="L75" s="3"/>
      <c r="AA75" s="19"/>
      <c r="AB75" s="19"/>
    </row>
    <row r="76" spans="1:33" ht="31.5" customHeight="1" thickBot="1">
      <c r="A76" s="93" t="s">
        <v>203</v>
      </c>
      <c r="B76" s="94"/>
      <c r="C76" s="94"/>
      <c r="D76" s="94"/>
      <c r="E76" s="94"/>
      <c r="F76" s="94"/>
      <c r="G76" s="472" t="s">
        <v>204</v>
      </c>
      <c r="H76" s="473"/>
      <c r="I76" s="474"/>
      <c r="J76" s="474"/>
      <c r="K76" s="475"/>
      <c r="L76" s="95"/>
      <c r="M76" s="77"/>
      <c r="N76" s="77"/>
      <c r="O76" s="77"/>
      <c r="AA76" s="19"/>
      <c r="AB76" s="19"/>
    </row>
    <row r="77" spans="1:33" ht="18.5">
      <c r="A77" s="96"/>
      <c r="B77" s="95"/>
      <c r="C77" s="95"/>
      <c r="D77" s="95"/>
      <c r="E77" s="95"/>
      <c r="F77" s="95"/>
      <c r="G77" s="95"/>
      <c r="H77" s="95"/>
      <c r="I77" s="95"/>
      <c r="J77" s="97"/>
      <c r="K77" s="97"/>
      <c r="L77" s="95"/>
      <c r="M77" s="77"/>
      <c r="N77" s="77"/>
      <c r="O77" s="77"/>
      <c r="AA77" s="19"/>
      <c r="AB77" s="19"/>
    </row>
    <row r="78" spans="1:33" ht="18.5">
      <c r="A78" s="96" t="s">
        <v>205</v>
      </c>
      <c r="B78" s="95"/>
      <c r="C78" s="95"/>
      <c r="D78" s="95"/>
      <c r="E78" s="95"/>
      <c r="F78" s="95"/>
      <c r="G78" s="95"/>
      <c r="H78" s="95"/>
      <c r="I78" s="95"/>
      <c r="J78" s="97"/>
      <c r="K78" s="97"/>
      <c r="L78" s="95"/>
      <c r="M78" s="77"/>
      <c r="N78" s="77"/>
      <c r="O78" s="77"/>
      <c r="AA78" s="19"/>
      <c r="AB78" s="19"/>
    </row>
    <row r="79" spans="1:33" ht="15" thickBot="1">
      <c r="A79" s="2"/>
      <c r="B79" s="98"/>
      <c r="C79" s="98"/>
      <c r="D79" s="98"/>
      <c r="E79" s="98"/>
      <c r="F79" s="98"/>
      <c r="G79" s="2"/>
      <c r="H79" s="98"/>
      <c r="I79" s="2"/>
      <c r="J79" s="2"/>
      <c r="K79" s="2"/>
      <c r="L79" s="2"/>
      <c r="M79" s="20"/>
      <c r="N79" s="19"/>
      <c r="O79" s="19"/>
      <c r="P79" s="19"/>
      <c r="Q79" s="19"/>
      <c r="AB79" s="19"/>
    </row>
    <row r="80" spans="1:33" ht="29">
      <c r="A80" s="817"/>
      <c r="B80" s="818"/>
      <c r="C80" s="99" t="s">
        <v>206</v>
      </c>
      <c r="D80" s="100" t="s">
        <v>207</v>
      </c>
      <c r="E80" s="301" t="s">
        <v>208</v>
      </c>
      <c r="F80" s="302" t="s">
        <v>209</v>
      </c>
      <c r="G80" s="476"/>
      <c r="H80" s="477"/>
      <c r="I80" s="15"/>
      <c r="J80" s="2"/>
      <c r="K80" s="2"/>
      <c r="L80" s="2"/>
      <c r="M80" s="20"/>
      <c r="N80" s="19"/>
      <c r="O80" s="19"/>
      <c r="P80" s="19"/>
      <c r="Q80" s="19"/>
    </row>
    <row r="81" spans="1:17">
      <c r="A81" s="822" t="s">
        <v>210</v>
      </c>
      <c r="B81" s="823"/>
      <c r="C81" s="212">
        <v>0</v>
      </c>
      <c r="D81" s="212">
        <v>0</v>
      </c>
      <c r="E81" s="212">
        <v>0</v>
      </c>
      <c r="F81" s="101"/>
      <c r="G81" s="476"/>
      <c r="H81" s="477"/>
      <c r="I81" s="15"/>
      <c r="J81" s="2"/>
      <c r="K81" s="2"/>
      <c r="L81" s="2"/>
      <c r="M81" s="20"/>
      <c r="N81" s="19"/>
      <c r="O81" s="19"/>
      <c r="P81" s="19"/>
      <c r="Q81" s="19"/>
    </row>
    <row r="82" spans="1:17" ht="15" thickBot="1">
      <c r="A82" s="827" t="s">
        <v>211</v>
      </c>
      <c r="B82" s="828"/>
      <c r="C82" s="212">
        <v>0</v>
      </c>
      <c r="D82" s="212">
        <v>0</v>
      </c>
      <c r="E82" s="212">
        <v>0</v>
      </c>
      <c r="F82" s="212">
        <v>0</v>
      </c>
      <c r="G82" s="476"/>
      <c r="H82" s="477"/>
      <c r="I82" s="15"/>
      <c r="J82" s="2"/>
      <c r="K82" s="2"/>
      <c r="L82" s="2"/>
      <c r="M82" s="20"/>
      <c r="N82" s="19"/>
      <c r="O82" s="19"/>
      <c r="P82" s="19"/>
      <c r="Q82" s="19"/>
    </row>
    <row r="83" spans="1:17">
      <c r="A83" s="822" t="s">
        <v>212</v>
      </c>
      <c r="B83" s="823"/>
      <c r="C83" s="212">
        <v>0</v>
      </c>
      <c r="D83" s="212">
        <v>0</v>
      </c>
      <c r="E83" s="212">
        <v>0</v>
      </c>
      <c r="F83" s="101">
        <f>SUM(C83:E83)</f>
        <v>0</v>
      </c>
      <c r="G83" s="229"/>
      <c r="H83" s="240"/>
      <c r="I83" s="240"/>
      <c r="J83" s="2"/>
      <c r="K83" s="2"/>
      <c r="L83" s="2"/>
      <c r="M83" s="20"/>
      <c r="N83" s="19"/>
      <c r="O83" s="19"/>
      <c r="P83" s="19"/>
      <c r="Q83" s="19"/>
    </row>
    <row r="84" spans="1:17" ht="15" thickBot="1">
      <c r="A84" s="827" t="s">
        <v>213</v>
      </c>
      <c r="B84" s="828"/>
      <c r="C84" s="213">
        <v>0</v>
      </c>
      <c r="D84" s="213">
        <v>0</v>
      </c>
      <c r="E84" s="213">
        <v>0</v>
      </c>
      <c r="F84" s="102">
        <f>SUM(C84:E84)</f>
        <v>0</v>
      </c>
      <c r="G84" s="229"/>
      <c r="H84" s="15"/>
      <c r="I84" s="15"/>
      <c r="J84" s="2"/>
      <c r="K84" s="2"/>
      <c r="L84" s="2"/>
      <c r="M84" s="19"/>
      <c r="N84" s="19"/>
      <c r="O84" s="19"/>
      <c r="P84" s="19"/>
      <c r="Q84" s="19"/>
    </row>
    <row r="85" spans="1:17">
      <c r="A85" s="2"/>
      <c r="B85" s="2"/>
      <c r="C85" s="2"/>
      <c r="D85" s="2"/>
      <c r="E85" s="2"/>
      <c r="F85" s="2"/>
      <c r="G85" s="2"/>
      <c r="H85" s="2"/>
      <c r="I85" s="2"/>
      <c r="J85" s="2"/>
      <c r="K85" s="2"/>
      <c r="L85" s="2"/>
      <c r="M85" s="19"/>
      <c r="N85" s="19"/>
      <c r="O85" s="19"/>
      <c r="P85" s="19"/>
      <c r="Q85" s="19"/>
    </row>
    <row r="86" spans="1:17">
      <c r="A86" s="2"/>
      <c r="B86" s="2"/>
      <c r="C86" s="2"/>
      <c r="D86" s="2"/>
      <c r="E86" s="2"/>
      <c r="F86" s="2"/>
      <c r="G86" s="2"/>
      <c r="H86" s="2"/>
      <c r="I86" s="2"/>
      <c r="J86" s="2"/>
      <c r="K86" s="2"/>
      <c r="L86" s="2"/>
      <c r="M86" s="19"/>
      <c r="N86" s="19"/>
      <c r="O86" s="19"/>
    </row>
    <row r="87" spans="1:17" ht="18.5">
      <c r="A87" s="96" t="s">
        <v>214</v>
      </c>
      <c r="B87" s="2"/>
      <c r="C87" s="2"/>
      <c r="D87" s="2"/>
      <c r="E87" s="2"/>
      <c r="F87" s="2"/>
      <c r="G87" s="2"/>
      <c r="H87" s="2"/>
      <c r="I87" s="2"/>
      <c r="J87" s="2"/>
      <c r="K87" s="2"/>
      <c r="L87" s="2"/>
      <c r="M87" s="19"/>
      <c r="N87" s="19"/>
      <c r="O87" s="19"/>
    </row>
    <row r="88" spans="1:17" ht="15" thickBot="1">
      <c r="A88" s="2"/>
      <c r="B88" s="2"/>
      <c r="C88" s="2"/>
      <c r="D88" s="2"/>
      <c r="E88" s="2"/>
      <c r="F88" s="2"/>
      <c r="G88" s="2"/>
      <c r="H88" s="2"/>
      <c r="I88" s="2"/>
      <c r="J88" s="2"/>
      <c r="K88" s="2"/>
      <c r="L88" s="2"/>
      <c r="M88" s="19"/>
      <c r="N88" s="19"/>
      <c r="O88" s="19"/>
    </row>
    <row r="89" spans="1:17">
      <c r="A89" s="405" t="s">
        <v>215</v>
      </c>
      <c r="B89" s="298" t="s">
        <v>216</v>
      </c>
      <c r="C89" s="298" t="s">
        <v>217</v>
      </c>
      <c r="D89" s="103" t="s">
        <v>218</v>
      </c>
      <c r="E89" s="15"/>
      <c r="F89" s="15"/>
      <c r="G89" s="15"/>
      <c r="H89" s="477"/>
      <c r="I89" s="2"/>
      <c r="J89" s="2"/>
      <c r="K89" s="2"/>
      <c r="L89" s="2"/>
      <c r="M89" s="19"/>
      <c r="N89" s="19"/>
      <c r="O89" s="19"/>
    </row>
    <row r="90" spans="1:17" ht="15" thickBot="1">
      <c r="A90" s="324" t="s">
        <v>219</v>
      </c>
      <c r="B90" s="212">
        <v>4</v>
      </c>
      <c r="C90" s="212">
        <v>4</v>
      </c>
      <c r="D90" s="212">
        <f>B90-C90</f>
        <v>0</v>
      </c>
      <c r="E90" s="15"/>
      <c r="F90" s="15"/>
      <c r="G90" s="15"/>
      <c r="H90" s="477"/>
      <c r="I90" s="2"/>
      <c r="J90" s="2"/>
      <c r="K90" s="2"/>
      <c r="L90" s="2"/>
      <c r="M90" s="19"/>
      <c r="N90" s="19"/>
      <c r="O90" s="19"/>
    </row>
    <row r="91" spans="1:17" ht="15" thickBot="1">
      <c r="A91" s="324" t="s">
        <v>220</v>
      </c>
      <c r="B91" s="524">
        <v>2</v>
      </c>
      <c r="C91" s="212">
        <v>2</v>
      </c>
      <c r="D91" s="212">
        <v>0</v>
      </c>
      <c r="E91" s="15"/>
      <c r="F91" s="15"/>
      <c r="G91" s="15"/>
      <c r="H91" s="477"/>
      <c r="I91" s="2"/>
      <c r="J91" s="2"/>
      <c r="K91" s="2"/>
      <c r="L91" s="2"/>
      <c r="M91" s="19"/>
      <c r="N91" s="19"/>
      <c r="O91" s="19"/>
    </row>
    <row r="92" spans="1:17" ht="15" thickBot="1">
      <c r="A92" s="324" t="s">
        <v>221</v>
      </c>
      <c r="B92" s="524">
        <v>16</v>
      </c>
      <c r="C92" s="212">
        <v>13</v>
      </c>
      <c r="D92" s="212">
        <v>3</v>
      </c>
      <c r="E92" s="216"/>
      <c r="F92" s="478"/>
      <c r="G92" s="15"/>
      <c r="H92" s="240"/>
      <c r="I92" s="2"/>
      <c r="J92" s="2"/>
      <c r="K92" s="2"/>
      <c r="L92" s="2"/>
      <c r="M92" s="19"/>
      <c r="N92" s="19"/>
      <c r="O92" s="19"/>
    </row>
    <row r="93" spans="1:17">
      <c r="A93" s="2"/>
      <c r="B93" s="479"/>
      <c r="C93" s="479"/>
      <c r="D93" s="479"/>
      <c r="E93" s="2"/>
      <c r="F93" s="2"/>
      <c r="G93" s="2"/>
      <c r="H93" s="2"/>
      <c r="I93" s="2"/>
      <c r="J93" s="2"/>
      <c r="K93" s="2"/>
      <c r="L93" s="2"/>
      <c r="M93" s="19"/>
      <c r="N93" s="19"/>
      <c r="O93" s="19"/>
    </row>
    <row r="94" spans="1:17" ht="18.5">
      <c r="A94" s="96" t="s">
        <v>222</v>
      </c>
      <c r="B94" s="2"/>
      <c r="C94" s="2"/>
      <c r="D94" s="2"/>
      <c r="E94" s="2"/>
      <c r="F94" s="2"/>
      <c r="G94" s="2"/>
      <c r="H94" s="2"/>
      <c r="I94" s="2"/>
      <c r="J94" s="2"/>
      <c r="K94" s="2"/>
      <c r="L94" s="2"/>
      <c r="M94" s="19"/>
      <c r="N94" s="19"/>
      <c r="O94" s="19"/>
    </row>
    <row r="95" spans="1:17" ht="15" thickBot="1">
      <c r="A95" s="2"/>
      <c r="B95" s="2"/>
      <c r="C95" s="2"/>
      <c r="D95" s="2"/>
      <c r="E95" s="2"/>
      <c r="F95" s="2"/>
      <c r="G95" s="2"/>
      <c r="H95" s="2"/>
      <c r="I95" s="2"/>
      <c r="J95" s="2"/>
      <c r="K95" s="2"/>
      <c r="L95" s="2"/>
      <c r="M95" s="19"/>
      <c r="N95" s="19"/>
      <c r="O95" s="19"/>
    </row>
    <row r="96" spans="1:17" ht="29">
      <c r="A96" s="418"/>
      <c r="B96" s="434" t="s">
        <v>223</v>
      </c>
      <c r="C96" s="435" t="s">
        <v>224</v>
      </c>
      <c r="D96" s="435" t="s">
        <v>225</v>
      </c>
      <c r="E96" s="436" t="s">
        <v>226</v>
      </c>
      <c r="F96" s="437" t="s">
        <v>227</v>
      </c>
      <c r="G96" s="220"/>
      <c r="H96" s="477"/>
      <c r="I96" s="2"/>
      <c r="J96" s="2"/>
      <c r="K96" s="2"/>
      <c r="L96" s="2"/>
      <c r="M96" s="19"/>
      <c r="N96" s="19"/>
      <c r="O96" s="19"/>
    </row>
    <row r="97" spans="1:34" ht="15" thickBot="1">
      <c r="A97" s="438" t="s">
        <v>228</v>
      </c>
      <c r="B97" s="406">
        <v>22</v>
      </c>
      <c r="C97" s="407">
        <v>22</v>
      </c>
      <c r="D97" s="407">
        <v>22</v>
      </c>
      <c r="E97" s="407">
        <v>22</v>
      </c>
      <c r="F97" s="407">
        <v>22</v>
      </c>
      <c r="G97" s="241"/>
      <c r="H97" s="229"/>
      <c r="I97" s="2"/>
      <c r="J97" s="2"/>
      <c r="K97" s="2"/>
      <c r="L97" s="2"/>
      <c r="M97" s="19"/>
      <c r="N97" s="19"/>
      <c r="O97" s="19"/>
    </row>
    <row r="98" spans="1:34" ht="15" thickBot="1">
      <c r="A98" s="439" t="s">
        <v>229</v>
      </c>
      <c r="B98" s="502">
        <v>3</v>
      </c>
      <c r="C98" s="407">
        <v>11</v>
      </c>
      <c r="D98" s="407">
        <v>11</v>
      </c>
      <c r="E98" s="407">
        <v>11</v>
      </c>
      <c r="F98" s="440">
        <v>11</v>
      </c>
      <c r="G98" s="241"/>
      <c r="H98" s="229"/>
      <c r="I98" s="2"/>
      <c r="J98" s="2"/>
      <c r="K98" s="2"/>
      <c r="L98" s="2"/>
      <c r="M98" s="19"/>
      <c r="N98" s="19"/>
      <c r="O98" s="19"/>
    </row>
    <row r="99" spans="1:34">
      <c r="A99" s="2"/>
      <c r="B99" s="2"/>
      <c r="C99" s="2"/>
      <c r="D99" s="2"/>
      <c r="E99" s="2"/>
      <c r="F99" s="2"/>
      <c r="G99" s="2"/>
      <c r="I99" s="2"/>
      <c r="J99" s="2"/>
      <c r="K99" s="2"/>
      <c r="L99" s="2"/>
      <c r="M99" s="19"/>
      <c r="N99" s="19"/>
      <c r="O99" s="19"/>
    </row>
    <row r="100" spans="1:34" ht="18.5">
      <c r="A100" s="96" t="s">
        <v>230</v>
      </c>
      <c r="B100" s="2"/>
      <c r="C100" s="2"/>
      <c r="D100" s="2"/>
      <c r="E100" s="2"/>
      <c r="F100" s="2"/>
      <c r="G100" s="2"/>
      <c r="H100" s="2"/>
      <c r="I100" s="2"/>
      <c r="J100" s="2"/>
      <c r="K100" s="2"/>
      <c r="L100" s="2"/>
      <c r="M100" s="19"/>
      <c r="N100" s="19"/>
      <c r="O100" s="19"/>
    </row>
    <row r="101" spans="1:34" ht="15" thickBot="1">
      <c r="A101" s="2"/>
      <c r="B101" s="2"/>
      <c r="C101" s="2"/>
      <c r="D101" s="2"/>
      <c r="E101" s="2"/>
      <c r="F101" s="2"/>
      <c r="G101" s="2"/>
      <c r="H101" s="2"/>
      <c r="I101" s="2"/>
      <c r="J101" s="2"/>
      <c r="K101" s="2"/>
      <c r="L101" s="2"/>
      <c r="M101" s="19"/>
      <c r="N101" s="19"/>
      <c r="O101" s="19"/>
    </row>
    <row r="102" spans="1:34" ht="27.75" customHeight="1">
      <c r="A102" s="418"/>
      <c r="B102" s="419" t="s">
        <v>231</v>
      </c>
      <c r="C102" s="419" t="s">
        <v>232</v>
      </c>
      <c r="D102" s="420" t="s">
        <v>233</v>
      </c>
      <c r="E102" s="2"/>
      <c r="F102" s="2"/>
      <c r="G102" s="2"/>
      <c r="H102" s="2"/>
      <c r="I102" s="19"/>
      <c r="J102" s="19"/>
      <c r="K102" s="19"/>
      <c r="M102"/>
      <c r="N102" s="19"/>
      <c r="AE102" s="33"/>
      <c r="AH102"/>
    </row>
    <row r="103" spans="1:34" ht="27.75" customHeight="1">
      <c r="A103" s="421" t="s">
        <v>234</v>
      </c>
      <c r="B103" s="212">
        <v>0</v>
      </c>
      <c r="C103" s="214">
        <v>0</v>
      </c>
      <c r="D103" s="422">
        <v>0</v>
      </c>
      <c r="E103" s="2"/>
      <c r="F103" s="2"/>
      <c r="G103" s="2"/>
      <c r="H103" s="2"/>
      <c r="I103" s="19"/>
      <c r="J103" s="19"/>
      <c r="K103" s="19"/>
      <c r="M103"/>
      <c r="N103" s="19"/>
      <c r="AE103" s="33"/>
      <c r="AH103"/>
    </row>
    <row r="104" spans="1:34" ht="27.75" customHeight="1">
      <c r="A104" s="421" t="s">
        <v>235</v>
      </c>
      <c r="B104" s="212">
        <v>28</v>
      </c>
      <c r="C104" s="214">
        <v>28</v>
      </c>
      <c r="D104" s="422">
        <f>B104-C104</f>
        <v>0</v>
      </c>
      <c r="E104" s="2"/>
      <c r="F104" s="2"/>
      <c r="G104" s="2"/>
      <c r="H104" s="2"/>
      <c r="I104" s="19"/>
      <c r="J104" s="19"/>
      <c r="K104" s="19"/>
      <c r="M104"/>
      <c r="N104" s="19"/>
      <c r="AE104" s="33"/>
      <c r="AH104"/>
    </row>
    <row r="105" spans="1:34">
      <c r="A105" s="421" t="s">
        <v>236</v>
      </c>
      <c r="B105" s="212"/>
      <c r="C105" s="214"/>
      <c r="D105" s="422">
        <f t="shared" ref="D105:D106" si="1">B105-C105</f>
        <v>0</v>
      </c>
      <c r="E105" s="2"/>
      <c r="F105" s="2"/>
      <c r="G105" s="2"/>
      <c r="H105" s="2"/>
      <c r="I105" s="19"/>
      <c r="J105" s="19"/>
      <c r="K105" s="19"/>
      <c r="M105"/>
      <c r="N105" s="19"/>
      <c r="AE105" s="33"/>
      <c r="AH105"/>
    </row>
    <row r="106" spans="1:34" ht="15" thickBot="1">
      <c r="A106" s="423" t="s">
        <v>237</v>
      </c>
      <c r="B106" s="424">
        <v>11</v>
      </c>
      <c r="C106" s="425">
        <v>11</v>
      </c>
      <c r="D106" s="426">
        <f t="shared" si="1"/>
        <v>0</v>
      </c>
      <c r="E106" s="2"/>
      <c r="F106" s="2"/>
      <c r="G106" s="2"/>
      <c r="H106" s="2"/>
      <c r="I106" s="19"/>
      <c r="J106" s="19"/>
      <c r="K106" s="19"/>
      <c r="M106"/>
      <c r="N106" s="19"/>
      <c r="AE106" s="33"/>
      <c r="AH106"/>
    </row>
    <row r="107" spans="1:34">
      <c r="A107" s="2"/>
      <c r="B107" s="2"/>
      <c r="C107" s="2"/>
      <c r="D107" s="2"/>
      <c r="E107" s="2"/>
      <c r="F107" s="2"/>
      <c r="G107" s="2"/>
      <c r="H107" s="2"/>
      <c r="I107" s="2"/>
      <c r="J107" s="2"/>
      <c r="K107" s="2"/>
      <c r="L107" s="2"/>
      <c r="M107" s="19"/>
      <c r="N107" s="19"/>
      <c r="O107" s="19"/>
    </row>
    <row r="108" spans="1:34" ht="18.5">
      <c r="A108" s="96" t="s">
        <v>238</v>
      </c>
      <c r="B108" s="2"/>
      <c r="C108" s="2"/>
      <c r="D108" s="2"/>
      <c r="E108" s="2"/>
      <c r="F108" s="2"/>
      <c r="G108" s="2"/>
      <c r="H108" s="2"/>
      <c r="I108" s="2"/>
      <c r="J108" s="2"/>
      <c r="K108" s="2"/>
      <c r="L108" s="2"/>
      <c r="M108" s="19"/>
      <c r="N108" s="19"/>
      <c r="O108" s="19"/>
    </row>
    <row r="109" spans="1:34" ht="15" thickBot="1">
      <c r="A109" s="2"/>
      <c r="B109" s="2"/>
      <c r="C109" s="2"/>
      <c r="D109" s="2"/>
      <c r="E109" s="2"/>
      <c r="F109" s="2"/>
      <c r="G109" s="2"/>
      <c r="H109" s="15"/>
      <c r="I109" s="15"/>
      <c r="J109" s="15"/>
      <c r="K109" s="15"/>
      <c r="L109" s="15"/>
      <c r="M109" s="20"/>
      <c r="N109" s="20"/>
      <c r="O109" s="20"/>
    </row>
    <row r="110" spans="1:34">
      <c r="A110" s="347"/>
      <c r="B110" s="268" t="s">
        <v>150</v>
      </c>
      <c r="C110" s="268" t="s">
        <v>151</v>
      </c>
      <c r="D110" s="268" t="s">
        <v>152</v>
      </c>
      <c r="E110" s="268" t="s">
        <v>153</v>
      </c>
      <c r="F110" s="268" t="s">
        <v>135</v>
      </c>
      <c r="G110" s="268" t="s">
        <v>154</v>
      </c>
      <c r="H110" s="268" t="s">
        <v>155</v>
      </c>
      <c r="I110" s="268" t="s">
        <v>156</v>
      </c>
      <c r="J110" s="268" t="s">
        <v>157</v>
      </c>
      <c r="K110" s="268" t="s">
        <v>158</v>
      </c>
      <c r="L110" s="268" t="s">
        <v>159</v>
      </c>
      <c r="M110" s="427" t="s">
        <v>160</v>
      </c>
      <c r="N110" s="20"/>
      <c r="O110" s="20"/>
    </row>
    <row r="111" spans="1:34" ht="15" customHeight="1">
      <c r="A111" s="348" t="s">
        <v>239</v>
      </c>
      <c r="B111" s="414">
        <v>1337830.7000000002</v>
      </c>
      <c r="C111" s="414">
        <v>2375665.38</v>
      </c>
      <c r="D111" s="414">
        <v>2146116.73</v>
      </c>
      <c r="E111" s="260">
        <v>1269653.6400000001</v>
      </c>
      <c r="F111" s="260">
        <v>5985052.3586094528</v>
      </c>
      <c r="G111" s="260"/>
      <c r="H111" s="260"/>
      <c r="I111" s="260"/>
      <c r="J111" s="260"/>
      <c r="K111" s="260"/>
      <c r="L111" s="260"/>
      <c r="M111" s="428"/>
      <c r="N111" s="20"/>
      <c r="O111" s="20"/>
    </row>
    <row r="112" spans="1:34" ht="15" customHeight="1">
      <c r="A112" s="348" t="s">
        <v>240</v>
      </c>
      <c r="B112" s="414">
        <v>2863012.59</v>
      </c>
      <c r="C112" s="414">
        <v>3484983.39</v>
      </c>
      <c r="D112" s="414">
        <v>3308441.31</v>
      </c>
      <c r="E112" s="260">
        <v>5150153.58</v>
      </c>
      <c r="F112" s="260">
        <v>461308.89</v>
      </c>
      <c r="G112" s="260"/>
      <c r="H112" s="260"/>
      <c r="I112" s="260"/>
      <c r="J112" s="260"/>
      <c r="K112" s="260"/>
      <c r="L112" s="260"/>
      <c r="M112" s="428"/>
      <c r="N112" s="20"/>
      <c r="O112" s="20"/>
    </row>
    <row r="113" spans="1:36" ht="15" customHeight="1">
      <c r="A113" s="348" t="s">
        <v>241</v>
      </c>
      <c r="B113" s="414">
        <v>1337830.7</v>
      </c>
      <c r="C113" s="414">
        <v>2375665.38</v>
      </c>
      <c r="D113" s="414">
        <v>2146116.73</v>
      </c>
      <c r="E113" s="260">
        <v>1267994.71</v>
      </c>
      <c r="F113" s="260">
        <v>5702784.5499999998</v>
      </c>
      <c r="G113" s="260"/>
      <c r="H113" s="260"/>
      <c r="I113" s="260"/>
      <c r="J113" s="260"/>
      <c r="K113" s="260"/>
      <c r="L113" s="260"/>
      <c r="M113" s="428"/>
      <c r="N113" s="20"/>
      <c r="O113" s="20"/>
    </row>
    <row r="114" spans="1:36" ht="15" customHeight="1">
      <c r="A114" s="349" t="s">
        <v>242</v>
      </c>
      <c r="B114" s="415">
        <f>B111</f>
        <v>1337830.7000000002</v>
      </c>
      <c r="C114" s="415">
        <f>B114+C111</f>
        <v>3713496.08</v>
      </c>
      <c r="D114" s="415">
        <f>C114+D111</f>
        <v>5859612.8100000005</v>
      </c>
      <c r="E114" s="415">
        <f>D114+E111</f>
        <v>7129266.4500000011</v>
      </c>
      <c r="F114" s="415">
        <f>E114+F111</f>
        <v>13114318.808609454</v>
      </c>
      <c r="G114" s="261"/>
      <c r="H114" s="261"/>
      <c r="I114" s="261"/>
      <c r="J114" s="261"/>
      <c r="K114" s="261"/>
      <c r="L114" s="261"/>
      <c r="M114" s="429"/>
      <c r="N114" s="20"/>
      <c r="O114" s="20"/>
    </row>
    <row r="115" spans="1:36" ht="15" customHeight="1">
      <c r="A115" s="349" t="s">
        <v>243</v>
      </c>
      <c r="B115" s="415">
        <v>2863012.59</v>
      </c>
      <c r="C115" s="415">
        <f>C112</f>
        <v>3484983.39</v>
      </c>
      <c r="D115" s="415">
        <f>D112</f>
        <v>3308441.31</v>
      </c>
      <c r="E115" s="415">
        <f>E112</f>
        <v>5150153.58</v>
      </c>
      <c r="F115" s="261">
        <f>F112</f>
        <v>461308.89</v>
      </c>
      <c r="G115" s="261"/>
      <c r="H115" s="261"/>
      <c r="I115" s="261"/>
      <c r="J115" s="261"/>
      <c r="K115" s="261"/>
      <c r="L115" s="261"/>
      <c r="M115" s="429"/>
      <c r="N115" s="20"/>
      <c r="O115" s="20"/>
    </row>
    <row r="116" spans="1:36">
      <c r="A116" s="430" t="s">
        <v>244</v>
      </c>
      <c r="B116" s="431">
        <v>1337830.7</v>
      </c>
      <c r="C116" s="431">
        <f>B113+C113</f>
        <v>3713496.08</v>
      </c>
      <c r="D116" s="431">
        <f>C113+D113+B113</f>
        <v>5859612.8099999996</v>
      </c>
      <c r="E116" s="431">
        <f>D113+E113+C113+B113</f>
        <v>7127607.5200000005</v>
      </c>
      <c r="F116" s="261">
        <f>F113+B113+C113+D113+E113</f>
        <v>12830392.07</v>
      </c>
      <c r="G116" s="432"/>
      <c r="H116" s="432"/>
      <c r="I116" s="432"/>
      <c r="J116" s="432"/>
      <c r="K116" s="432"/>
      <c r="L116" s="432"/>
      <c r="M116" s="433"/>
      <c r="N116" s="20"/>
      <c r="O116" s="20"/>
    </row>
    <row r="117" spans="1:36">
      <c r="A117" s="3"/>
      <c r="B117" s="2"/>
      <c r="C117" s="2"/>
      <c r="D117" s="2"/>
      <c r="E117" s="2"/>
      <c r="F117" s="2"/>
      <c r="G117" s="2"/>
      <c r="H117" s="15"/>
      <c r="I117" s="104"/>
      <c r="J117" s="480"/>
      <c r="K117" s="15"/>
      <c r="L117" s="105"/>
      <c r="M117" s="20"/>
      <c r="N117" s="20"/>
      <c r="O117" s="20"/>
    </row>
    <row r="118" spans="1:36">
      <c r="A118" s="2" t="s">
        <v>245</v>
      </c>
      <c r="B118" s="2"/>
      <c r="C118" s="2"/>
      <c r="D118" s="2"/>
      <c r="E118" s="2"/>
      <c r="F118" s="2"/>
      <c r="G118" s="2"/>
      <c r="H118" s="15"/>
      <c r="I118" s="104"/>
      <c r="J118" s="480"/>
      <c r="K118" s="15"/>
      <c r="L118" s="105"/>
      <c r="M118" s="20"/>
      <c r="N118" s="20"/>
      <c r="O118" s="20"/>
    </row>
    <row r="119" spans="1:36">
      <c r="B119" s="2"/>
      <c r="C119" s="2"/>
      <c r="D119" s="2"/>
      <c r="E119" s="2"/>
      <c r="F119" s="2"/>
      <c r="G119" s="2"/>
      <c r="H119" s="15"/>
      <c r="I119" s="104"/>
      <c r="J119" s="105"/>
      <c r="K119" s="15"/>
      <c r="L119" s="105"/>
      <c r="M119" s="20"/>
      <c r="N119" s="20"/>
      <c r="O119" s="20"/>
    </row>
    <row r="120" spans="1:36">
      <c r="A120" s="3"/>
      <c r="B120" s="3"/>
      <c r="C120" s="3"/>
      <c r="D120" s="3"/>
      <c r="E120" s="3"/>
      <c r="F120" s="3"/>
      <c r="G120" s="3"/>
      <c r="H120" s="15"/>
      <c r="I120" s="15"/>
      <c r="J120" s="15"/>
      <c r="K120" s="15"/>
      <c r="L120" s="15"/>
      <c r="M120" s="20"/>
      <c r="N120" s="20"/>
      <c r="O120" s="20"/>
    </row>
    <row r="121" spans="1:36" ht="19" thickBot="1">
      <c r="A121" s="96" t="s">
        <v>246</v>
      </c>
      <c r="B121" s="3"/>
      <c r="C121" s="3"/>
      <c r="D121" s="3"/>
      <c r="E121" s="3"/>
      <c r="F121" s="3"/>
      <c r="G121" s="3"/>
      <c r="H121" s="15"/>
      <c r="I121" s="15"/>
      <c r="J121" s="15"/>
      <c r="K121" s="15"/>
      <c r="L121" s="15"/>
      <c r="M121" s="20"/>
      <c r="N121" s="20"/>
      <c r="O121" s="20"/>
    </row>
    <row r="122" spans="1:36" ht="117.5">
      <c r="A122" s="441" t="s">
        <v>247</v>
      </c>
      <c r="B122" s="442" t="s">
        <v>248</v>
      </c>
      <c r="C122" s="443" t="s">
        <v>249</v>
      </c>
      <c r="D122" s="443" t="s">
        <v>250</v>
      </c>
      <c r="E122" s="444" t="s">
        <v>251</v>
      </c>
      <c r="F122" s="445" t="s">
        <v>252</v>
      </c>
      <c r="G122" s="852" t="s">
        <v>253</v>
      </c>
      <c r="H122" s="853"/>
      <c r="I122" s="443" t="s">
        <v>254</v>
      </c>
      <c r="J122" s="443" t="s">
        <v>255</v>
      </c>
      <c r="K122" s="446" t="s">
        <v>256</v>
      </c>
      <c r="L122" s="2"/>
      <c r="M122" s="20"/>
      <c r="N122" s="20"/>
      <c r="O122" s="20"/>
      <c r="P122" s="19"/>
      <c r="R122" s="20"/>
      <c r="AF122"/>
      <c r="AG122"/>
      <c r="AI122" s="33"/>
      <c r="AJ122" s="33"/>
    </row>
    <row r="123" spans="1:36">
      <c r="A123" s="542"/>
      <c r="B123" s="543"/>
      <c r="C123" s="544"/>
      <c r="D123" s="544"/>
      <c r="E123" s="545"/>
      <c r="F123" s="546"/>
      <c r="G123" s="546" t="s">
        <v>123</v>
      </c>
      <c r="H123" s="547" t="s">
        <v>257</v>
      </c>
      <c r="I123" s="544"/>
      <c r="J123" s="544"/>
      <c r="K123" s="548"/>
      <c r="L123" s="2"/>
      <c r="M123" s="20"/>
      <c r="N123" s="20"/>
      <c r="O123" s="20"/>
      <c r="P123" s="19"/>
      <c r="R123" s="20"/>
      <c r="AF123"/>
      <c r="AG123"/>
      <c r="AI123" s="33"/>
      <c r="AJ123" s="33"/>
    </row>
    <row r="124" spans="1:36">
      <c r="A124" s="854" t="s">
        <v>258</v>
      </c>
      <c r="B124" s="456" t="s">
        <v>259</v>
      </c>
      <c r="C124" s="507">
        <v>2</v>
      </c>
      <c r="D124" s="549">
        <f t="shared" ref="D124:D136" si="2">IF(ISBLANK(C124),"",C124*30)</f>
        <v>60</v>
      </c>
      <c r="E124" s="596">
        <v>15</v>
      </c>
      <c r="F124" s="509">
        <f>E124*D124</f>
        <v>900</v>
      </c>
      <c r="G124" s="509">
        <v>10890</v>
      </c>
      <c r="H124" s="509"/>
      <c r="I124" s="459">
        <f t="shared" ref="I124:I141" si="3">G124/F124</f>
        <v>12.1</v>
      </c>
      <c r="J124" s="460">
        <v>3</v>
      </c>
      <c r="K124" s="461">
        <f t="shared" ref="K124:K138" si="4">IF(AND(I124&gt;0,J124&gt;0),I124-J124,"")</f>
        <v>9.1</v>
      </c>
      <c r="L124" s="2"/>
      <c r="M124" s="20"/>
      <c r="N124" s="20"/>
      <c r="O124" s="20"/>
      <c r="P124" s="19"/>
      <c r="R124" s="20"/>
      <c r="AF124"/>
      <c r="AG124"/>
      <c r="AI124" s="33"/>
      <c r="AJ124" s="33"/>
    </row>
    <row r="125" spans="1:36">
      <c r="A125" s="855"/>
      <c r="B125" s="456" t="s">
        <v>260</v>
      </c>
      <c r="C125" s="507">
        <v>2</v>
      </c>
      <c r="D125" s="549">
        <f t="shared" si="2"/>
        <v>60</v>
      </c>
      <c r="E125" s="596">
        <v>15</v>
      </c>
      <c r="F125" s="509">
        <f t="shared" ref="F125:F135" si="5">E125*D125</f>
        <v>900</v>
      </c>
      <c r="G125" s="509">
        <v>5620</v>
      </c>
      <c r="H125" s="509"/>
      <c r="I125" s="459">
        <f t="shared" si="3"/>
        <v>6.2444444444444445</v>
      </c>
      <c r="J125" s="460">
        <v>3</v>
      </c>
      <c r="K125" s="461">
        <f t="shared" si="4"/>
        <v>3.2444444444444445</v>
      </c>
      <c r="L125" s="2"/>
      <c r="M125" s="20"/>
      <c r="N125" s="20"/>
      <c r="O125" s="20"/>
      <c r="P125" s="19"/>
      <c r="R125" s="20"/>
      <c r="AF125"/>
      <c r="AG125"/>
      <c r="AI125" s="33"/>
      <c r="AJ125" s="33"/>
    </row>
    <row r="126" spans="1:36">
      <c r="A126" s="855"/>
      <c r="B126" s="456" t="s">
        <v>261</v>
      </c>
      <c r="C126" s="457">
        <v>2</v>
      </c>
      <c r="D126" s="549">
        <f t="shared" si="2"/>
        <v>60</v>
      </c>
      <c r="E126" s="508">
        <v>141</v>
      </c>
      <c r="F126" s="509">
        <f t="shared" si="5"/>
        <v>8460</v>
      </c>
      <c r="G126" s="509">
        <v>106194</v>
      </c>
      <c r="H126" s="509"/>
      <c r="I126" s="459">
        <f t="shared" si="3"/>
        <v>12.552482269503546</v>
      </c>
      <c r="J126" s="460">
        <v>3</v>
      </c>
      <c r="K126" s="461">
        <f t="shared" si="4"/>
        <v>9.5524822695035461</v>
      </c>
      <c r="L126" s="2"/>
      <c r="M126" s="20"/>
      <c r="N126" s="20"/>
      <c r="O126" s="20"/>
      <c r="P126" s="19"/>
      <c r="R126" s="20"/>
      <c r="AF126"/>
      <c r="AG126"/>
      <c r="AI126" s="33"/>
      <c r="AJ126" s="33"/>
    </row>
    <row r="127" spans="1:36">
      <c r="A127" s="855"/>
      <c r="B127" s="456" t="s">
        <v>262</v>
      </c>
      <c r="C127" s="457">
        <v>3</v>
      </c>
      <c r="D127" s="549">
        <f t="shared" si="2"/>
        <v>90</v>
      </c>
      <c r="E127" s="508">
        <f>81-35</f>
        <v>46</v>
      </c>
      <c r="F127" s="509">
        <f t="shared" si="5"/>
        <v>4140</v>
      </c>
      <c r="G127" s="509">
        <v>27835</v>
      </c>
      <c r="H127" s="509"/>
      <c r="I127" s="459">
        <f t="shared" si="3"/>
        <v>6.7234299516908216</v>
      </c>
      <c r="J127" s="460">
        <v>3</v>
      </c>
      <c r="K127" s="461">
        <f t="shared" si="4"/>
        <v>3.7234299516908216</v>
      </c>
      <c r="L127" s="2"/>
      <c r="M127" s="20"/>
      <c r="N127" s="20"/>
      <c r="O127" s="20"/>
      <c r="P127" s="19"/>
      <c r="R127" s="20"/>
      <c r="AF127"/>
      <c r="AG127"/>
      <c r="AI127" s="33"/>
      <c r="AJ127" s="33"/>
    </row>
    <row r="128" spans="1:36">
      <c r="A128" s="855"/>
      <c r="B128" s="456" t="s">
        <v>263</v>
      </c>
      <c r="C128" s="457">
        <v>1</v>
      </c>
      <c r="D128" s="549">
        <f t="shared" si="2"/>
        <v>30</v>
      </c>
      <c r="E128" s="508">
        <v>35</v>
      </c>
      <c r="F128" s="509">
        <f t="shared" si="5"/>
        <v>1050</v>
      </c>
      <c r="G128" s="509">
        <v>1901</v>
      </c>
      <c r="H128" s="509"/>
      <c r="I128" s="459">
        <f t="shared" si="3"/>
        <v>1.8104761904761906</v>
      </c>
      <c r="J128" s="460">
        <v>3</v>
      </c>
      <c r="K128" s="461">
        <f t="shared" si="4"/>
        <v>-1.1895238095238094</v>
      </c>
      <c r="L128" s="2"/>
      <c r="M128" s="20"/>
      <c r="N128" s="20"/>
      <c r="O128" s="20"/>
      <c r="P128" s="19"/>
      <c r="R128" s="20"/>
      <c r="AF128"/>
      <c r="AG128"/>
      <c r="AI128" s="33"/>
      <c r="AJ128" s="33"/>
    </row>
    <row r="129" spans="1:36">
      <c r="A129" s="855"/>
      <c r="B129" s="456" t="s">
        <v>264</v>
      </c>
      <c r="C129" s="457">
        <v>4</v>
      </c>
      <c r="D129" s="549">
        <f t="shared" si="2"/>
        <v>120</v>
      </c>
      <c r="E129" s="508">
        <v>20</v>
      </c>
      <c r="F129" s="509">
        <f t="shared" si="5"/>
        <v>2400</v>
      </c>
      <c r="G129" s="509">
        <v>29073</v>
      </c>
      <c r="H129" s="509"/>
      <c r="I129" s="459">
        <f t="shared" si="3"/>
        <v>12.11375</v>
      </c>
      <c r="J129" s="460">
        <v>3</v>
      </c>
      <c r="K129" s="461">
        <f t="shared" si="4"/>
        <v>9.1137499999999996</v>
      </c>
      <c r="L129" s="2"/>
      <c r="M129" s="20"/>
      <c r="N129" s="20"/>
      <c r="O129" s="20"/>
      <c r="P129" s="19"/>
      <c r="R129" s="20"/>
      <c r="AF129"/>
      <c r="AG129"/>
      <c r="AI129" s="33"/>
      <c r="AJ129" s="33"/>
    </row>
    <row r="130" spans="1:36">
      <c r="A130" s="855"/>
      <c r="B130" s="456" t="s">
        <v>265</v>
      </c>
      <c r="C130" s="457">
        <v>2</v>
      </c>
      <c r="D130" s="549">
        <f t="shared" si="2"/>
        <v>60</v>
      </c>
      <c r="E130" s="508">
        <v>42</v>
      </c>
      <c r="F130" s="509">
        <f t="shared" si="5"/>
        <v>2520</v>
      </c>
      <c r="G130" s="509">
        <v>30312</v>
      </c>
      <c r="H130" s="509"/>
      <c r="I130" s="459">
        <f t="shared" si="3"/>
        <v>12.028571428571428</v>
      </c>
      <c r="J130" s="460">
        <v>3</v>
      </c>
      <c r="K130" s="461">
        <f t="shared" si="4"/>
        <v>9.0285714285714285</v>
      </c>
      <c r="L130" s="2"/>
      <c r="M130" s="20"/>
      <c r="N130" s="20"/>
      <c r="O130" s="20"/>
      <c r="P130" s="19"/>
      <c r="R130" s="20"/>
      <c r="AF130"/>
      <c r="AG130"/>
      <c r="AI130" s="33"/>
      <c r="AJ130" s="33"/>
    </row>
    <row r="131" spans="1:36">
      <c r="A131" s="855"/>
      <c r="B131" s="456" t="s">
        <v>266</v>
      </c>
      <c r="C131" s="457">
        <v>1</v>
      </c>
      <c r="D131" s="549">
        <f t="shared" si="2"/>
        <v>30</v>
      </c>
      <c r="E131" s="508">
        <v>0</v>
      </c>
      <c r="F131" s="509">
        <f t="shared" si="5"/>
        <v>0</v>
      </c>
      <c r="G131" s="509">
        <v>0</v>
      </c>
      <c r="H131" s="509"/>
      <c r="I131" s="459">
        <v>0</v>
      </c>
      <c r="J131" s="460">
        <v>3</v>
      </c>
      <c r="K131" s="461" t="str">
        <f t="shared" si="4"/>
        <v/>
      </c>
      <c r="L131" s="2"/>
      <c r="M131" s="20"/>
      <c r="N131" s="20"/>
      <c r="O131" s="20"/>
      <c r="P131" s="19"/>
      <c r="R131" s="20"/>
      <c r="AF131"/>
      <c r="AG131"/>
      <c r="AI131" s="33"/>
      <c r="AJ131" s="33"/>
    </row>
    <row r="132" spans="1:36">
      <c r="A132" s="855"/>
      <c r="B132" s="456" t="s">
        <v>267</v>
      </c>
      <c r="C132" s="507">
        <v>1</v>
      </c>
      <c r="D132" s="549">
        <f t="shared" si="2"/>
        <v>30</v>
      </c>
      <c r="E132" s="508">
        <v>88</v>
      </c>
      <c r="F132" s="593">
        <f t="shared" si="5"/>
        <v>2640</v>
      </c>
      <c r="G132" s="509">
        <f>66245-42000</f>
        <v>24245</v>
      </c>
      <c r="H132" s="509">
        <v>89956</v>
      </c>
      <c r="I132" s="514">
        <f t="shared" si="3"/>
        <v>9.1837121212121211</v>
      </c>
      <c r="J132" s="458">
        <v>3</v>
      </c>
      <c r="K132" s="515">
        <f t="shared" si="4"/>
        <v>6.1837121212121211</v>
      </c>
      <c r="L132" s="2"/>
      <c r="M132" s="20"/>
      <c r="N132" s="20"/>
      <c r="O132" s="20"/>
      <c r="P132" s="19"/>
      <c r="R132" s="20"/>
      <c r="AF132"/>
      <c r="AG132"/>
      <c r="AI132" s="33"/>
      <c r="AJ132" s="33"/>
    </row>
    <row r="133" spans="1:36">
      <c r="A133" s="855"/>
      <c r="B133" s="456" t="s">
        <v>268</v>
      </c>
      <c r="C133" s="507">
        <v>1</v>
      </c>
      <c r="D133" s="549">
        <f t="shared" si="2"/>
        <v>30</v>
      </c>
      <c r="E133" s="508">
        <v>777</v>
      </c>
      <c r="F133" s="593">
        <f t="shared" si="5"/>
        <v>23310</v>
      </c>
      <c r="G133" s="509">
        <v>9131</v>
      </c>
      <c r="H133" s="509">
        <v>143119</v>
      </c>
      <c r="I133" s="459">
        <f>(G133+H133)/F133</f>
        <v>6.5315315315315319</v>
      </c>
      <c r="J133" s="458">
        <v>3</v>
      </c>
      <c r="K133" s="515">
        <f t="shared" si="4"/>
        <v>3.5315315315315319</v>
      </c>
      <c r="L133" s="2"/>
      <c r="M133" s="20"/>
      <c r="N133" s="20"/>
      <c r="O133" s="20"/>
      <c r="P133" s="19"/>
      <c r="R133" s="20"/>
      <c r="AF133"/>
      <c r="AG133"/>
      <c r="AI133" s="33"/>
      <c r="AJ133" s="33"/>
    </row>
    <row r="134" spans="1:36">
      <c r="A134" s="855"/>
      <c r="B134" s="456" t="s">
        <v>269</v>
      </c>
      <c r="C134" s="594">
        <v>1</v>
      </c>
      <c r="D134" s="549">
        <f t="shared" si="2"/>
        <v>30</v>
      </c>
      <c r="E134" s="549">
        <v>77</v>
      </c>
      <c r="F134" s="593">
        <f t="shared" si="5"/>
        <v>2310</v>
      </c>
      <c r="G134" s="509">
        <v>16860</v>
      </c>
      <c r="H134" s="509"/>
      <c r="I134" s="514">
        <f t="shared" si="3"/>
        <v>7.2987012987012987</v>
      </c>
      <c r="J134" s="458">
        <v>3</v>
      </c>
      <c r="K134" s="515">
        <f t="shared" si="4"/>
        <v>4.2987012987012987</v>
      </c>
      <c r="L134" s="2"/>
      <c r="M134" s="20"/>
      <c r="N134" s="20"/>
      <c r="O134" s="20"/>
      <c r="P134" s="19"/>
      <c r="R134" s="20"/>
      <c r="AF134"/>
      <c r="AG134"/>
      <c r="AI134" s="33"/>
      <c r="AJ134" s="33"/>
    </row>
    <row r="135" spans="1:36">
      <c r="A135" s="855"/>
      <c r="B135" s="456" t="s">
        <v>270</v>
      </c>
      <c r="C135" s="594">
        <v>6</v>
      </c>
      <c r="D135" s="549">
        <f>IF(ISBLANK(C135),"",C135*30)</f>
        <v>180</v>
      </c>
      <c r="E135" s="549">
        <v>36</v>
      </c>
      <c r="F135" s="509">
        <f t="shared" si="5"/>
        <v>6480</v>
      </c>
      <c r="G135" s="509">
        <v>61590</v>
      </c>
      <c r="H135" s="509"/>
      <c r="I135" s="459">
        <f t="shared" si="3"/>
        <v>9.5046296296296298</v>
      </c>
      <c r="J135" s="460">
        <v>3</v>
      </c>
      <c r="K135" s="461">
        <f t="shared" si="4"/>
        <v>6.5046296296296298</v>
      </c>
      <c r="L135" s="2"/>
      <c r="M135" s="20"/>
      <c r="N135" s="20"/>
      <c r="O135" s="20"/>
      <c r="P135" s="19"/>
      <c r="R135" s="20"/>
      <c r="AF135"/>
      <c r="AG135"/>
      <c r="AI135" s="33"/>
      <c r="AJ135" s="33"/>
    </row>
    <row r="136" spans="1:36" s="60" customFormat="1">
      <c r="A136" s="855"/>
      <c r="B136" s="456" t="s">
        <v>271</v>
      </c>
      <c r="C136" s="595">
        <v>4</v>
      </c>
      <c r="D136" s="549">
        <f t="shared" si="2"/>
        <v>120</v>
      </c>
      <c r="E136" s="549">
        <f>46-42</f>
        <v>4</v>
      </c>
      <c r="F136" s="509">
        <f>E136*D136</f>
        <v>480</v>
      </c>
      <c r="G136" s="509">
        <v>1085</v>
      </c>
      <c r="H136" s="509"/>
      <c r="I136" s="459">
        <f t="shared" si="3"/>
        <v>2.2604166666666665</v>
      </c>
      <c r="J136" s="460">
        <v>3</v>
      </c>
      <c r="K136" s="461">
        <f t="shared" si="4"/>
        <v>-0.73958333333333348</v>
      </c>
      <c r="L136" s="510"/>
      <c r="M136" s="511"/>
      <c r="N136" s="511"/>
      <c r="O136" s="511"/>
      <c r="P136" s="512"/>
      <c r="R136" s="511"/>
      <c r="AH136" s="513"/>
      <c r="AI136" s="513"/>
      <c r="AJ136" s="513"/>
    </row>
    <row r="137" spans="1:36">
      <c r="A137" s="855"/>
      <c r="B137" s="456" t="s">
        <v>272</v>
      </c>
      <c r="C137" s="595"/>
      <c r="D137" s="549">
        <v>2</v>
      </c>
      <c r="E137" s="549">
        <v>3</v>
      </c>
      <c r="F137" s="509">
        <f>E137*D137</f>
        <v>6</v>
      </c>
      <c r="G137" s="509">
        <v>11</v>
      </c>
      <c r="H137" s="509"/>
      <c r="I137" s="459">
        <f t="shared" si="3"/>
        <v>1.8333333333333333</v>
      </c>
      <c r="J137" s="460">
        <v>3</v>
      </c>
      <c r="K137" s="461">
        <f t="shared" si="4"/>
        <v>-1.1666666666666667</v>
      </c>
      <c r="L137" s="2"/>
      <c r="M137" s="20"/>
      <c r="N137" s="20"/>
      <c r="O137" s="20"/>
      <c r="P137" s="19"/>
      <c r="R137" s="20"/>
      <c r="AF137"/>
      <c r="AG137"/>
      <c r="AI137" s="33"/>
      <c r="AJ137" s="33"/>
    </row>
    <row r="138" spans="1:36">
      <c r="A138" s="855"/>
      <c r="B138" s="456" t="s">
        <v>273</v>
      </c>
      <c r="C138" s="595">
        <v>4</v>
      </c>
      <c r="D138" s="549">
        <f>IF(ISBLANK(C138),"",C138*30)</f>
        <v>120</v>
      </c>
      <c r="E138" s="549">
        <v>8</v>
      </c>
      <c r="F138" s="509">
        <f>E138*D138</f>
        <v>960</v>
      </c>
      <c r="G138" s="509">
        <v>13800</v>
      </c>
      <c r="H138" s="509"/>
      <c r="I138" s="459">
        <f t="shared" si="3"/>
        <v>14.375</v>
      </c>
      <c r="J138" s="460">
        <v>3</v>
      </c>
      <c r="K138" s="461">
        <f t="shared" si="4"/>
        <v>11.375</v>
      </c>
      <c r="L138" s="2"/>
      <c r="M138" s="20"/>
      <c r="N138" s="20"/>
      <c r="O138" s="20"/>
      <c r="P138" s="19"/>
      <c r="R138" s="20"/>
      <c r="AF138"/>
      <c r="AG138"/>
      <c r="AI138" s="33"/>
      <c r="AJ138" s="33"/>
    </row>
    <row r="139" spans="1:36">
      <c r="A139" s="855"/>
      <c r="B139" s="462" t="s">
        <v>274</v>
      </c>
      <c r="C139" s="595">
        <v>6</v>
      </c>
      <c r="D139" s="549">
        <f>IF(ISBLANK(C139),"",C139*30)</f>
        <v>180</v>
      </c>
      <c r="E139" s="549">
        <v>6</v>
      </c>
      <c r="F139" s="509">
        <f>E139*D139</f>
        <v>1080</v>
      </c>
      <c r="G139" s="509">
        <v>17160</v>
      </c>
      <c r="H139" s="509"/>
      <c r="I139" s="459">
        <f t="shared" si="3"/>
        <v>15.888888888888889</v>
      </c>
      <c r="J139" s="460">
        <v>3</v>
      </c>
      <c r="K139" s="461">
        <f>IF(AND(I139&gt;0,J139&gt;0),I139-J139,"")</f>
        <v>12.888888888888889</v>
      </c>
      <c r="L139" s="2"/>
      <c r="M139" s="20"/>
      <c r="N139" s="20"/>
      <c r="O139" s="20"/>
      <c r="P139" s="19"/>
      <c r="R139" s="20"/>
      <c r="AF139"/>
      <c r="AG139"/>
      <c r="AI139" s="33"/>
      <c r="AJ139" s="33"/>
    </row>
    <row r="140" spans="1:36">
      <c r="A140" s="855"/>
      <c r="B140" s="456" t="s">
        <v>275</v>
      </c>
      <c r="C140" s="595">
        <v>1</v>
      </c>
      <c r="D140" s="549">
        <v>30</v>
      </c>
      <c r="E140" s="549">
        <v>186</v>
      </c>
      <c r="F140" s="509">
        <f t="shared" ref="F140:F143" si="6">E140*D140</f>
        <v>5580</v>
      </c>
      <c r="G140" s="509">
        <v>89490</v>
      </c>
      <c r="H140" s="509"/>
      <c r="I140" s="459">
        <f t="shared" si="3"/>
        <v>16.037634408602152</v>
      </c>
      <c r="J140" s="460">
        <v>3</v>
      </c>
      <c r="K140" s="461">
        <f t="shared" ref="K140:K143" si="7">IF(AND(I140&gt;0,J140&gt;0),I140-J140,"")</f>
        <v>13.037634408602152</v>
      </c>
      <c r="L140" s="2"/>
      <c r="M140" s="20"/>
      <c r="N140" s="20"/>
      <c r="O140" s="20"/>
      <c r="P140" s="19"/>
      <c r="R140" s="20"/>
      <c r="AF140"/>
      <c r="AG140"/>
      <c r="AI140" s="33"/>
      <c r="AJ140" s="33"/>
    </row>
    <row r="141" spans="1:36">
      <c r="A141" s="855"/>
      <c r="B141" s="456" t="s">
        <v>276</v>
      </c>
      <c r="C141" s="595">
        <v>2</v>
      </c>
      <c r="D141" s="549">
        <f>IF(ISBLANK(C141),"",C141*30)</f>
        <v>60</v>
      </c>
      <c r="E141" s="549">
        <v>14</v>
      </c>
      <c r="F141" s="509">
        <f t="shared" si="6"/>
        <v>840</v>
      </c>
      <c r="G141" s="509">
        <v>5160</v>
      </c>
      <c r="H141" s="509"/>
      <c r="I141" s="459">
        <f t="shared" si="3"/>
        <v>6.1428571428571432</v>
      </c>
      <c r="J141" s="460">
        <v>3</v>
      </c>
      <c r="K141" s="461">
        <f t="shared" si="7"/>
        <v>3.1428571428571432</v>
      </c>
      <c r="L141" s="2"/>
      <c r="M141" s="20"/>
      <c r="N141" s="20"/>
      <c r="O141" s="20"/>
      <c r="P141" s="19"/>
      <c r="R141" s="20"/>
      <c r="AF141"/>
      <c r="AG141"/>
      <c r="AI141" s="33"/>
      <c r="AJ141" s="33"/>
    </row>
    <row r="142" spans="1:36">
      <c r="A142" s="855"/>
      <c r="B142" s="456" t="s">
        <v>277</v>
      </c>
      <c r="C142" s="595">
        <v>1</v>
      </c>
      <c r="D142" s="549">
        <v>30</v>
      </c>
      <c r="E142" s="549">
        <v>3297</v>
      </c>
      <c r="F142" s="509">
        <f>E142*D142</f>
        <v>98910</v>
      </c>
      <c r="G142" s="509">
        <v>64807</v>
      </c>
      <c r="H142" s="509">
        <v>285148</v>
      </c>
      <c r="I142" s="459">
        <f>(G142+H142)/F142</f>
        <v>3.5381154584976242</v>
      </c>
      <c r="J142" s="460">
        <v>3</v>
      </c>
      <c r="K142" s="461">
        <f t="shared" si="7"/>
        <v>0.53811545849762421</v>
      </c>
      <c r="L142" s="20"/>
      <c r="M142" s="20"/>
      <c r="N142" s="20"/>
      <c r="O142" s="19"/>
      <c r="Q142" s="20"/>
      <c r="AF142"/>
      <c r="AI142" s="33"/>
    </row>
    <row r="143" spans="1:36">
      <c r="A143" s="856"/>
      <c r="B143" s="462" t="s">
        <v>278</v>
      </c>
      <c r="C143" s="595">
        <v>1</v>
      </c>
      <c r="D143" s="549">
        <v>30</v>
      </c>
      <c r="E143" s="549">
        <v>43</v>
      </c>
      <c r="F143" s="509">
        <f t="shared" si="6"/>
        <v>1290</v>
      </c>
      <c r="G143" s="509">
        <v>23642</v>
      </c>
      <c r="H143" s="509"/>
      <c r="I143" s="459">
        <f t="shared" ref="I143:I161" si="8">G143/F143</f>
        <v>18.327131782945738</v>
      </c>
      <c r="J143" s="460">
        <v>3</v>
      </c>
      <c r="K143" s="461">
        <f t="shared" si="7"/>
        <v>15.327131782945738</v>
      </c>
      <c r="L143" s="20"/>
      <c r="M143" s="20"/>
      <c r="N143" s="20"/>
      <c r="O143" s="19"/>
      <c r="Q143" s="20"/>
      <c r="AF143"/>
      <c r="AI143" s="33"/>
    </row>
    <row r="144" spans="1:36">
      <c r="A144" s="857" t="s">
        <v>220</v>
      </c>
      <c r="B144" s="608" t="s">
        <v>279</v>
      </c>
      <c r="C144" s="609">
        <v>1</v>
      </c>
      <c r="D144" s="610">
        <v>26</v>
      </c>
      <c r="E144" s="455">
        <v>83</v>
      </c>
      <c r="F144" s="611">
        <f>C144*D144*E144</f>
        <v>2158</v>
      </c>
      <c r="G144" s="455">
        <v>1732</v>
      </c>
      <c r="I144" s="612">
        <f t="shared" si="8"/>
        <v>0.8025949953660797</v>
      </c>
      <c r="J144" s="613">
        <v>3</v>
      </c>
      <c r="K144" s="614">
        <f>I144-J144</f>
        <v>-2.1974050046339202</v>
      </c>
      <c r="L144" s="20"/>
      <c r="M144" s="20"/>
      <c r="N144" s="20"/>
      <c r="O144" s="19"/>
      <c r="Q144" s="20"/>
      <c r="AF144"/>
      <c r="AI144" s="33"/>
    </row>
    <row r="145" spans="1:35">
      <c r="A145" s="858"/>
      <c r="B145" s="615" t="s">
        <v>280</v>
      </c>
      <c r="C145" s="616">
        <v>1</v>
      </c>
      <c r="D145" s="617">
        <v>26</v>
      </c>
      <c r="E145" s="455">
        <v>46</v>
      </c>
      <c r="F145" s="611">
        <f t="shared" ref="F145:F159" si="9">C145*D145*E145</f>
        <v>1196</v>
      </c>
      <c r="G145" s="455">
        <v>2531</v>
      </c>
      <c r="I145" s="612">
        <f t="shared" si="8"/>
        <v>2.1162207357859533</v>
      </c>
      <c r="J145" s="613">
        <v>3</v>
      </c>
      <c r="K145" s="614">
        <f t="shared" ref="K145:K161" si="10">I145-J145</f>
        <v>-0.88377926421404673</v>
      </c>
      <c r="L145" s="20"/>
      <c r="M145" s="20"/>
      <c r="N145" s="20"/>
      <c r="O145" s="19"/>
      <c r="Q145" s="20"/>
      <c r="AF145"/>
      <c r="AI145" s="33"/>
    </row>
    <row r="146" spans="1:35">
      <c r="A146" s="858"/>
      <c r="B146" s="615" t="s">
        <v>281</v>
      </c>
      <c r="C146" s="618">
        <v>2</v>
      </c>
      <c r="D146" s="619">
        <v>26</v>
      </c>
      <c r="E146" s="620">
        <v>83</v>
      </c>
      <c r="F146" s="621">
        <f t="shared" si="9"/>
        <v>4316</v>
      </c>
      <c r="G146" s="620">
        <v>9486</v>
      </c>
      <c r="I146" s="622">
        <f t="shared" si="8"/>
        <v>2.1978683966635773</v>
      </c>
      <c r="J146" s="623">
        <v>3</v>
      </c>
      <c r="K146" s="624">
        <f t="shared" si="10"/>
        <v>-0.80213160333642275</v>
      </c>
      <c r="L146" s="20"/>
      <c r="M146" s="20"/>
      <c r="N146" s="20"/>
      <c r="O146" s="19"/>
      <c r="Q146" s="20"/>
      <c r="AF146"/>
      <c r="AI146" s="33"/>
    </row>
    <row r="147" spans="1:35">
      <c r="A147" s="858"/>
      <c r="B147" s="615" t="s">
        <v>282</v>
      </c>
      <c r="C147" s="618">
        <v>2</v>
      </c>
      <c r="D147" s="619">
        <v>30</v>
      </c>
      <c r="E147" s="620">
        <v>46</v>
      </c>
      <c r="F147" s="621">
        <f t="shared" si="9"/>
        <v>2760</v>
      </c>
      <c r="G147" s="620">
        <v>27386</v>
      </c>
      <c r="I147" s="622">
        <f t="shared" si="8"/>
        <v>9.9224637681159429</v>
      </c>
      <c r="J147" s="623">
        <v>3</v>
      </c>
      <c r="K147" s="624">
        <f t="shared" si="10"/>
        <v>6.9224637681159429</v>
      </c>
      <c r="L147" s="20"/>
      <c r="M147" s="20"/>
      <c r="N147" s="20"/>
      <c r="O147" s="19"/>
      <c r="Q147" s="20"/>
      <c r="AF147"/>
      <c r="AI147" s="33"/>
    </row>
    <row r="148" spans="1:35">
      <c r="A148" s="858"/>
      <c r="B148" s="615" t="s">
        <v>283</v>
      </c>
      <c r="C148" s="618">
        <v>3</v>
      </c>
      <c r="D148" s="619">
        <v>30</v>
      </c>
      <c r="E148" s="620">
        <v>920</v>
      </c>
      <c r="F148" s="621">
        <f t="shared" si="9"/>
        <v>82800</v>
      </c>
      <c r="G148" s="620">
        <v>2221925</v>
      </c>
      <c r="I148" s="622">
        <f t="shared" si="8"/>
        <v>26.834842995169083</v>
      </c>
      <c r="J148" s="623">
        <v>3</v>
      </c>
      <c r="K148" s="624">
        <f t="shared" si="10"/>
        <v>23.834842995169083</v>
      </c>
      <c r="L148" s="20"/>
      <c r="M148" s="20"/>
      <c r="N148" s="20"/>
      <c r="O148" s="19"/>
      <c r="Q148" s="20"/>
      <c r="AF148"/>
      <c r="AI148" s="33"/>
    </row>
    <row r="149" spans="1:35">
      <c r="A149" s="858"/>
      <c r="B149" s="615" t="s">
        <v>284</v>
      </c>
      <c r="C149" s="618">
        <v>4</v>
      </c>
      <c r="D149" s="619">
        <v>30</v>
      </c>
      <c r="E149" s="620">
        <v>290</v>
      </c>
      <c r="F149" s="621">
        <f t="shared" si="9"/>
        <v>34800</v>
      </c>
      <c r="G149" s="620">
        <v>459095</v>
      </c>
      <c r="I149" s="622">
        <f t="shared" si="8"/>
        <v>13.192385057471265</v>
      </c>
      <c r="J149" s="623">
        <v>3</v>
      </c>
      <c r="K149" s="624">
        <f t="shared" si="10"/>
        <v>10.192385057471265</v>
      </c>
      <c r="L149" s="20"/>
      <c r="M149" s="20"/>
      <c r="N149" s="20"/>
      <c r="O149" s="19"/>
      <c r="Q149" s="20"/>
      <c r="AF149"/>
      <c r="AI149" s="33"/>
    </row>
    <row r="150" spans="1:35">
      <c r="A150" s="858"/>
      <c r="B150" s="615" t="s">
        <v>285</v>
      </c>
      <c r="C150" s="618">
        <v>2</v>
      </c>
      <c r="D150" s="619">
        <v>30</v>
      </c>
      <c r="E150" s="620">
        <v>47</v>
      </c>
      <c r="F150" s="621">
        <f t="shared" si="9"/>
        <v>2820</v>
      </c>
      <c r="G150" s="620">
        <v>69131</v>
      </c>
      <c r="I150" s="622">
        <f t="shared" si="8"/>
        <v>24.5145390070922</v>
      </c>
      <c r="J150" s="623">
        <v>3</v>
      </c>
      <c r="K150" s="624">
        <f t="shared" si="10"/>
        <v>21.5145390070922</v>
      </c>
      <c r="L150" s="20"/>
      <c r="M150" s="20"/>
      <c r="N150" s="20"/>
      <c r="O150" s="19"/>
      <c r="Q150" s="20"/>
      <c r="AF150"/>
      <c r="AI150" s="33"/>
    </row>
    <row r="151" spans="1:35">
      <c r="A151" s="858"/>
      <c r="B151" s="615" t="s">
        <v>286</v>
      </c>
      <c r="C151" s="618">
        <v>4</v>
      </c>
      <c r="D151" s="619">
        <v>30</v>
      </c>
      <c r="E151" s="620">
        <v>923</v>
      </c>
      <c r="F151" s="621">
        <f t="shared" si="9"/>
        <v>110760</v>
      </c>
      <c r="G151" s="620">
        <v>2001211</v>
      </c>
      <c r="I151" s="622">
        <f t="shared" si="8"/>
        <v>18.067993860599493</v>
      </c>
      <c r="J151" s="623">
        <v>3</v>
      </c>
      <c r="K151" s="624">
        <f t="shared" si="10"/>
        <v>15.067993860599493</v>
      </c>
      <c r="L151" s="20"/>
      <c r="M151" s="20"/>
      <c r="N151" s="20"/>
      <c r="O151" s="19"/>
      <c r="Q151" s="20"/>
      <c r="AF151"/>
      <c r="AI151" s="33"/>
    </row>
    <row r="152" spans="1:35">
      <c r="A152" s="858"/>
      <c r="B152" s="615" t="s">
        <v>287</v>
      </c>
      <c r="C152" s="618">
        <v>1</v>
      </c>
      <c r="D152" s="619">
        <v>30</v>
      </c>
      <c r="E152" s="620">
        <v>206</v>
      </c>
      <c r="F152" s="621">
        <f t="shared" si="9"/>
        <v>6180</v>
      </c>
      <c r="G152" s="620">
        <v>299188</v>
      </c>
      <c r="I152" s="622">
        <f t="shared" si="8"/>
        <v>48.412297734627835</v>
      </c>
      <c r="J152" s="623">
        <v>3</v>
      </c>
      <c r="K152" s="624">
        <f t="shared" si="10"/>
        <v>45.412297734627835</v>
      </c>
      <c r="L152" s="20"/>
      <c r="M152" s="20"/>
      <c r="N152" s="20"/>
      <c r="O152" s="19"/>
      <c r="Q152" s="20"/>
      <c r="AF152"/>
      <c r="AI152" s="33"/>
    </row>
    <row r="153" spans="1:35">
      <c r="A153" s="858"/>
      <c r="B153" s="625" t="s">
        <v>288</v>
      </c>
      <c r="C153" s="618">
        <v>2</v>
      </c>
      <c r="D153" s="619">
        <v>30</v>
      </c>
      <c r="E153" s="620">
        <v>164</v>
      </c>
      <c r="F153" s="621">
        <f t="shared" si="9"/>
        <v>9840</v>
      </c>
      <c r="G153" s="620">
        <v>130314</v>
      </c>
      <c r="I153" s="622">
        <f t="shared" si="8"/>
        <v>13.24329268292683</v>
      </c>
      <c r="J153" s="623">
        <v>3</v>
      </c>
      <c r="K153" s="624">
        <f t="shared" si="10"/>
        <v>10.24329268292683</v>
      </c>
      <c r="L153" s="20"/>
      <c r="M153" s="20"/>
      <c r="N153" s="20"/>
      <c r="O153" s="19"/>
      <c r="Q153" s="20"/>
      <c r="AF153"/>
      <c r="AI153" s="33"/>
    </row>
    <row r="154" spans="1:35">
      <c r="A154" s="858"/>
      <c r="B154" s="625" t="s">
        <v>289</v>
      </c>
      <c r="C154" s="618">
        <v>3</v>
      </c>
      <c r="D154" s="619">
        <v>30</v>
      </c>
      <c r="E154" s="620">
        <v>533</v>
      </c>
      <c r="F154" s="621">
        <f t="shared" si="9"/>
        <v>47970</v>
      </c>
      <c r="G154" s="620">
        <v>958702</v>
      </c>
      <c r="I154" s="622">
        <f t="shared" si="8"/>
        <v>19.985449239107776</v>
      </c>
      <c r="J154" s="623">
        <v>3</v>
      </c>
      <c r="K154" s="624">
        <f t="shared" si="10"/>
        <v>16.985449239107776</v>
      </c>
      <c r="L154" s="20"/>
      <c r="M154" s="20"/>
      <c r="N154" s="20"/>
      <c r="O154" s="19"/>
      <c r="Q154" s="20"/>
      <c r="AF154"/>
      <c r="AI154" s="33"/>
    </row>
    <row r="155" spans="1:35">
      <c r="A155" s="858"/>
      <c r="B155" s="626" t="s">
        <v>290</v>
      </c>
      <c r="C155" s="618">
        <v>4</v>
      </c>
      <c r="D155" s="619">
        <v>30</v>
      </c>
      <c r="E155" s="620">
        <v>74</v>
      </c>
      <c r="F155" s="621">
        <f t="shared" si="9"/>
        <v>8880</v>
      </c>
      <c r="G155" s="620">
        <v>15157</v>
      </c>
      <c r="I155" s="622">
        <f t="shared" si="8"/>
        <v>1.7068693693693693</v>
      </c>
      <c r="J155" s="623">
        <v>3</v>
      </c>
      <c r="K155" s="624">
        <f t="shared" si="10"/>
        <v>-1.2931306306306307</v>
      </c>
      <c r="L155" s="20"/>
      <c r="M155" s="20"/>
      <c r="N155" s="20"/>
      <c r="O155" s="19"/>
      <c r="Q155" s="20"/>
      <c r="AF155"/>
      <c r="AI155" s="33"/>
    </row>
    <row r="156" spans="1:35">
      <c r="A156" s="858"/>
      <c r="B156" s="627" t="s">
        <v>291</v>
      </c>
      <c r="C156" s="628">
        <v>5</v>
      </c>
      <c r="D156" s="619">
        <v>30</v>
      </c>
      <c r="E156" s="620">
        <v>366</v>
      </c>
      <c r="F156" s="621">
        <f t="shared" si="9"/>
        <v>54900</v>
      </c>
      <c r="G156" s="620">
        <v>1330886</v>
      </c>
      <c r="I156" s="622">
        <f t="shared" si="8"/>
        <v>24.24200364298725</v>
      </c>
      <c r="J156" s="623">
        <v>3</v>
      </c>
      <c r="K156" s="624">
        <f t="shared" si="10"/>
        <v>21.24200364298725</v>
      </c>
      <c r="L156" s="20"/>
      <c r="M156" s="20"/>
      <c r="N156" s="20"/>
      <c r="O156" s="19"/>
      <c r="Q156" s="20"/>
      <c r="AF156"/>
      <c r="AI156" s="33"/>
    </row>
    <row r="157" spans="1:35">
      <c r="A157" s="858"/>
      <c r="B157" s="627" t="s">
        <v>292</v>
      </c>
      <c r="C157" s="628">
        <v>1</v>
      </c>
      <c r="D157" s="619">
        <v>30</v>
      </c>
      <c r="E157" s="620">
        <v>1218</v>
      </c>
      <c r="F157" s="621">
        <f t="shared" si="9"/>
        <v>36540</v>
      </c>
      <c r="G157" s="620">
        <v>868812</v>
      </c>
      <c r="I157" s="622">
        <f t="shared" si="8"/>
        <v>23.777011494252875</v>
      </c>
      <c r="J157" s="623">
        <v>3</v>
      </c>
      <c r="K157" s="624">
        <f t="shared" si="10"/>
        <v>20.777011494252875</v>
      </c>
      <c r="L157" s="20"/>
      <c r="M157" s="20"/>
      <c r="N157" s="20"/>
      <c r="O157" s="19"/>
      <c r="Q157" s="20"/>
      <c r="AF157"/>
      <c r="AI157" s="33"/>
    </row>
    <row r="158" spans="1:35">
      <c r="A158" s="858"/>
      <c r="B158" s="627" t="s">
        <v>293</v>
      </c>
      <c r="C158" s="628">
        <v>4</v>
      </c>
      <c r="D158" s="619">
        <v>30</v>
      </c>
      <c r="E158" s="629">
        <v>46</v>
      </c>
      <c r="F158" s="621">
        <f t="shared" si="9"/>
        <v>5520</v>
      </c>
      <c r="G158" s="630">
        <v>65619</v>
      </c>
      <c r="I158" s="622">
        <f t="shared" si="8"/>
        <v>11.887499999999999</v>
      </c>
      <c r="J158" s="623">
        <v>3</v>
      </c>
      <c r="K158" s="624">
        <f t="shared" si="10"/>
        <v>8.8874999999999993</v>
      </c>
      <c r="L158" s="20"/>
      <c r="M158" s="20"/>
      <c r="N158" s="20"/>
      <c r="O158" s="19"/>
      <c r="Q158" s="20"/>
      <c r="AF158"/>
      <c r="AI158" s="33"/>
    </row>
    <row r="159" spans="1:35">
      <c r="A159" s="858"/>
      <c r="B159" s="627" t="s">
        <v>294</v>
      </c>
      <c r="C159" s="628">
        <v>1</v>
      </c>
      <c r="D159" s="619">
        <v>30</v>
      </c>
      <c r="E159" s="629">
        <v>865</v>
      </c>
      <c r="F159" s="621">
        <f t="shared" si="9"/>
        <v>25950</v>
      </c>
      <c r="G159" s="630">
        <v>819589</v>
      </c>
      <c r="I159" s="622">
        <f t="shared" si="8"/>
        <v>31.583391136801541</v>
      </c>
      <c r="J159" s="623">
        <v>3</v>
      </c>
      <c r="K159" s="624">
        <f t="shared" si="10"/>
        <v>28.583391136801541</v>
      </c>
      <c r="L159" s="20"/>
      <c r="M159" s="20"/>
      <c r="N159" s="20"/>
      <c r="O159" s="19"/>
      <c r="Q159" s="20"/>
      <c r="AF159"/>
      <c r="AI159" s="33"/>
    </row>
    <row r="160" spans="1:35">
      <c r="A160" s="858"/>
      <c r="B160" s="627" t="s">
        <v>295</v>
      </c>
      <c r="C160" s="628">
        <v>1</v>
      </c>
      <c r="D160" s="631">
        <v>26</v>
      </c>
      <c r="E160" s="632">
        <v>641</v>
      </c>
      <c r="F160" s="633">
        <f>C160*D160*E160</f>
        <v>16666</v>
      </c>
      <c r="G160" s="634">
        <v>449313</v>
      </c>
      <c r="I160" s="635">
        <f t="shared" si="8"/>
        <v>26.959858394335772</v>
      </c>
      <c r="J160" s="636">
        <v>3</v>
      </c>
      <c r="K160" s="637">
        <f t="shared" si="10"/>
        <v>23.959858394335772</v>
      </c>
      <c r="L160" s="20"/>
      <c r="M160" s="20"/>
      <c r="N160" s="20"/>
      <c r="O160" s="19"/>
      <c r="Q160" s="20"/>
      <c r="AF160"/>
      <c r="AI160" s="33"/>
    </row>
    <row r="161" spans="1:35" ht="15" thickBot="1">
      <c r="A161" s="858"/>
      <c r="B161" s="638" t="s">
        <v>296</v>
      </c>
      <c r="C161" s="639">
        <v>4</v>
      </c>
      <c r="D161" s="640">
        <v>26</v>
      </c>
      <c r="E161" s="641">
        <v>87</v>
      </c>
      <c r="F161" s="642">
        <f>C161*D161*E161</f>
        <v>9048</v>
      </c>
      <c r="G161" s="643">
        <v>435335</v>
      </c>
      <c r="I161" s="644">
        <f t="shared" si="8"/>
        <v>48.11394783377542</v>
      </c>
      <c r="J161" s="645">
        <v>3</v>
      </c>
      <c r="K161" s="646">
        <f t="shared" si="10"/>
        <v>45.11394783377542</v>
      </c>
      <c r="L161" s="20"/>
      <c r="M161" s="20"/>
      <c r="N161" s="20"/>
      <c r="O161" s="19"/>
      <c r="AF161"/>
      <c r="AI161" s="33"/>
    </row>
    <row r="162" spans="1:35">
      <c r="K162" s="2"/>
      <c r="L162" s="20"/>
      <c r="M162" s="20"/>
      <c r="N162" s="20"/>
      <c r="O162" s="19"/>
      <c r="Q162" s="20"/>
      <c r="AF162"/>
      <c r="AI162" s="33"/>
    </row>
    <row r="163" spans="1:35">
      <c r="K163" s="2"/>
      <c r="L163" s="20"/>
      <c r="M163" s="20"/>
      <c r="N163" s="20"/>
      <c r="O163" s="19"/>
      <c r="Q163" s="20"/>
      <c r="AF163"/>
      <c r="AI163" s="33"/>
    </row>
    <row r="164" spans="1:35">
      <c r="A164" s="3"/>
      <c r="B164" s="15"/>
      <c r="C164" s="15"/>
      <c r="D164" s="15"/>
      <c r="E164" s="15"/>
      <c r="F164" s="2"/>
      <c r="G164" s="2"/>
      <c r="H164" s="2"/>
      <c r="I164" s="15"/>
      <c r="J164" s="2"/>
      <c r="K164" s="15"/>
      <c r="L164" s="15"/>
      <c r="M164" s="20"/>
      <c r="N164" s="20"/>
      <c r="O164" s="20"/>
      <c r="P164" s="19"/>
    </row>
    <row r="165" spans="1:35" ht="15" thickBot="1">
      <c r="A165" s="3"/>
      <c r="B165" s="3"/>
      <c r="C165" s="3"/>
      <c r="D165" s="3"/>
      <c r="E165" s="3"/>
      <c r="F165" s="2"/>
      <c r="G165" s="2"/>
      <c r="H165" s="2" t="str">
        <f>IF(AND(F165&gt;0,G165&gt;0),G165/F165,"")</f>
        <v/>
      </c>
      <c r="I165" s="3"/>
      <c r="J165" s="3"/>
      <c r="K165" s="2"/>
      <c r="L165" s="2"/>
      <c r="M165" s="20"/>
      <c r="N165" s="20"/>
      <c r="O165" s="20"/>
      <c r="P165" s="19"/>
    </row>
    <row r="166" spans="1:35" ht="19" thickBot="1">
      <c r="A166" s="203" t="s">
        <v>297</v>
      </c>
      <c r="B166" s="106"/>
      <c r="C166" s="106"/>
      <c r="D166" s="107"/>
      <c r="E166" s="107"/>
      <c r="F166" s="107"/>
      <c r="G166" s="208"/>
      <c r="H166" s="204"/>
      <c r="I166" s="252"/>
      <c r="J166" s="374" t="s">
        <v>298</v>
      </c>
      <c r="K166" s="375"/>
      <c r="L166" s="376"/>
      <c r="M166" s="377"/>
      <c r="N166" s="376"/>
      <c r="O166" s="378"/>
      <c r="P166" s="33"/>
    </row>
    <row r="167" spans="1:35" ht="15" thickBot="1">
      <c r="A167" s="3"/>
      <c r="B167" s="3"/>
      <c r="C167" s="3"/>
      <c r="D167" s="3"/>
      <c r="E167" s="3"/>
      <c r="F167" s="3"/>
      <c r="G167" s="3"/>
      <c r="H167" s="3"/>
      <c r="I167" s="3"/>
      <c r="J167" s="3"/>
      <c r="AD167" s="33"/>
      <c r="AE167" s="33"/>
      <c r="AG167"/>
      <c r="AH167"/>
    </row>
    <row r="168" spans="1:35">
      <c r="A168" s="531" t="s">
        <v>38</v>
      </c>
      <c r="B168" s="244" t="s">
        <v>299</v>
      </c>
      <c r="C168" s="303" t="s">
        <v>300</v>
      </c>
      <c r="D168" s="206"/>
      <c r="E168" s="276" t="s">
        <v>150</v>
      </c>
      <c r="F168" s="276" t="s">
        <v>151</v>
      </c>
      <c r="G168" s="276" t="s">
        <v>152</v>
      </c>
      <c r="H168" s="276" t="s">
        <v>153</v>
      </c>
      <c r="I168" s="276" t="s">
        <v>135</v>
      </c>
      <c r="J168" s="276" t="s">
        <v>154</v>
      </c>
      <c r="K168" s="276" t="s">
        <v>155</v>
      </c>
      <c r="L168" s="276" t="s">
        <v>156</v>
      </c>
      <c r="M168" s="276" t="s">
        <v>157</v>
      </c>
      <c r="N168" s="276" t="s">
        <v>158</v>
      </c>
      <c r="O168" s="276" t="s">
        <v>159</v>
      </c>
      <c r="P168" s="60"/>
      <c r="AD168" s="33"/>
      <c r="AE168" s="33"/>
      <c r="AG168"/>
      <c r="AH168"/>
    </row>
    <row r="169" spans="1:35" ht="39.75" customHeight="1">
      <c r="A169" s="532" t="s">
        <v>41</v>
      </c>
      <c r="B169" s="797" t="s">
        <v>301</v>
      </c>
      <c r="C169" s="847" t="s">
        <v>302</v>
      </c>
      <c r="D169" s="379" t="s">
        <v>303</v>
      </c>
      <c r="E169" s="380">
        <v>16250</v>
      </c>
      <c r="F169" s="380">
        <v>16875</v>
      </c>
      <c r="G169" s="383">
        <v>17500</v>
      </c>
      <c r="H169" s="380">
        <v>18125</v>
      </c>
      <c r="I169" s="380">
        <v>18750</v>
      </c>
      <c r="J169" s="380"/>
      <c r="K169" s="380"/>
      <c r="L169" s="381"/>
      <c r="M169" s="382"/>
      <c r="N169" s="382"/>
      <c r="O169" s="383"/>
      <c r="P169" s="60"/>
      <c r="AD169" s="33"/>
      <c r="AE169" s="33"/>
      <c r="AG169"/>
      <c r="AH169"/>
    </row>
    <row r="170" spans="1:35" ht="40.5" customHeight="1">
      <c r="A170" s="533"/>
      <c r="B170" s="797"/>
      <c r="C170" s="847"/>
      <c r="D170" s="379" t="s">
        <v>304</v>
      </c>
      <c r="E170" s="380">
        <v>16530</v>
      </c>
      <c r="F170" s="380">
        <v>15835</v>
      </c>
      <c r="G170" s="383">
        <v>16195</v>
      </c>
      <c r="H170" s="380">
        <v>16328</v>
      </c>
      <c r="I170" s="380">
        <v>16636</v>
      </c>
      <c r="J170" s="380"/>
      <c r="K170" s="380"/>
      <c r="L170" s="381"/>
      <c r="M170" s="382"/>
      <c r="N170" s="382"/>
      <c r="O170" s="383"/>
      <c r="P170" s="60"/>
      <c r="AD170" s="33"/>
      <c r="AE170" s="33"/>
      <c r="AG170"/>
      <c r="AH170"/>
    </row>
    <row r="171" spans="1:35" ht="56.25" customHeight="1">
      <c r="A171" s="525" t="s">
        <v>45</v>
      </c>
      <c r="B171" s="800" t="s">
        <v>301</v>
      </c>
      <c r="C171" s="848" t="s">
        <v>302</v>
      </c>
      <c r="D171" s="384" t="s">
        <v>303</v>
      </c>
      <c r="E171" s="380">
        <v>4373</v>
      </c>
      <c r="F171" s="506">
        <v>5123</v>
      </c>
      <c r="G171" s="389">
        <v>5873</v>
      </c>
      <c r="H171" s="600">
        <v>6730</v>
      </c>
      <c r="I171" s="600">
        <v>7587</v>
      </c>
      <c r="J171" s="386"/>
      <c r="K171" s="386"/>
      <c r="L171" s="387"/>
      <c r="M171" s="388"/>
      <c r="N171" s="388"/>
      <c r="O171" s="389"/>
      <c r="P171" s="60"/>
      <c r="AD171" s="33"/>
      <c r="AE171" s="33"/>
      <c r="AG171"/>
      <c r="AH171"/>
    </row>
    <row r="172" spans="1:35" ht="48" customHeight="1">
      <c r="A172" s="525"/>
      <c r="B172" s="800"/>
      <c r="C172" s="848"/>
      <c r="D172" s="384" t="s">
        <v>304</v>
      </c>
      <c r="E172" s="380">
        <v>3718</v>
      </c>
      <c r="F172" s="380">
        <v>3762</v>
      </c>
      <c r="G172" s="389">
        <v>4058</v>
      </c>
      <c r="H172" s="600">
        <v>4058</v>
      </c>
      <c r="I172" s="600">
        <v>4435</v>
      </c>
      <c r="J172" s="387"/>
      <c r="K172" s="387"/>
      <c r="L172" s="387"/>
      <c r="M172" s="388"/>
      <c r="N172" s="388"/>
      <c r="O172" s="389"/>
      <c r="P172" s="60"/>
      <c r="AD172" s="33"/>
      <c r="AE172" s="33"/>
      <c r="AG172"/>
      <c r="AH172"/>
    </row>
    <row r="173" spans="1:35" ht="42" customHeight="1">
      <c r="A173" s="528" t="s">
        <v>305</v>
      </c>
      <c r="B173" s="797" t="s">
        <v>301</v>
      </c>
      <c r="C173" s="847" t="s">
        <v>302</v>
      </c>
      <c r="D173" s="379" t="s">
        <v>303</v>
      </c>
      <c r="E173" s="500">
        <v>0.54900000000000004</v>
      </c>
      <c r="F173" s="382"/>
      <c r="G173" s="500">
        <v>0.67</v>
      </c>
      <c r="H173" s="381" t="s">
        <v>306</v>
      </c>
      <c r="I173" s="660">
        <v>0.79</v>
      </c>
      <c r="J173" s="380"/>
      <c r="K173" s="380"/>
      <c r="L173" s="381"/>
      <c r="M173" s="382"/>
      <c r="N173" s="382"/>
      <c r="O173" s="383"/>
      <c r="P173" s="60"/>
      <c r="AD173" s="33"/>
      <c r="AE173" s="33"/>
      <c r="AG173"/>
      <c r="AH173"/>
    </row>
    <row r="174" spans="1:35" ht="38.25" customHeight="1">
      <c r="A174" s="528"/>
      <c r="B174" s="797"/>
      <c r="C174" s="847"/>
      <c r="D174" s="379" t="s">
        <v>304</v>
      </c>
      <c r="E174" s="500">
        <v>0.68500000000000005</v>
      </c>
      <c r="F174" s="382"/>
      <c r="G174" s="500">
        <v>0.79700000000000004</v>
      </c>
      <c r="H174" s="381" t="s">
        <v>306</v>
      </c>
      <c r="I174" s="660">
        <v>0.86650000000000005</v>
      </c>
      <c r="J174" s="380"/>
      <c r="K174" s="380"/>
      <c r="L174" s="381"/>
      <c r="M174" s="382"/>
      <c r="N174" s="382"/>
      <c r="O174" s="383"/>
      <c r="P174" s="60"/>
      <c r="AD174" s="33"/>
      <c r="AE174" s="33"/>
      <c r="AG174"/>
      <c r="AH174"/>
    </row>
    <row r="175" spans="1:35" ht="39.75" customHeight="1">
      <c r="A175" s="525" t="s">
        <v>52</v>
      </c>
      <c r="B175" s="800" t="s">
        <v>301</v>
      </c>
      <c r="C175" s="848" t="s">
        <v>302</v>
      </c>
      <c r="D175" s="384" t="s">
        <v>303</v>
      </c>
      <c r="E175" s="392" t="s">
        <v>307</v>
      </c>
      <c r="F175" s="392" t="s">
        <v>308</v>
      </c>
      <c r="G175" s="392" t="s">
        <v>309</v>
      </c>
      <c r="H175" s="392" t="s">
        <v>310</v>
      </c>
      <c r="I175" s="392" t="s">
        <v>680</v>
      </c>
      <c r="J175" s="390"/>
      <c r="K175" s="391"/>
      <c r="L175" s="391"/>
      <c r="M175" s="391"/>
      <c r="N175" s="392"/>
      <c r="O175" s="393"/>
      <c r="P175" s="60"/>
      <c r="AD175" s="33"/>
      <c r="AE175" s="33"/>
      <c r="AG175"/>
      <c r="AH175"/>
    </row>
    <row r="176" spans="1:35" ht="39.75" customHeight="1">
      <c r="A176" s="525"/>
      <c r="B176" s="800"/>
      <c r="C176" s="848"/>
      <c r="D176" s="384" t="s">
        <v>304</v>
      </c>
      <c r="E176" s="392" t="s">
        <v>311</v>
      </c>
      <c r="F176" s="392" t="s">
        <v>312</v>
      </c>
      <c r="G176" s="392" t="s">
        <v>313</v>
      </c>
      <c r="H176" s="392" t="s">
        <v>314</v>
      </c>
      <c r="I176" s="392" t="s">
        <v>681</v>
      </c>
      <c r="J176" s="390"/>
      <c r="K176" s="390"/>
      <c r="L176" s="391"/>
      <c r="M176" s="391"/>
      <c r="N176" s="392"/>
      <c r="O176" s="393"/>
      <c r="P176" s="60"/>
      <c r="AD176" s="33"/>
      <c r="AE176" s="33"/>
      <c r="AG176"/>
      <c r="AH176"/>
    </row>
    <row r="177" spans="1:34" ht="39.75" customHeight="1">
      <c r="A177" s="528" t="s">
        <v>59</v>
      </c>
      <c r="B177" s="797" t="s">
        <v>301</v>
      </c>
      <c r="C177" s="847" t="s">
        <v>302</v>
      </c>
      <c r="D177" s="379" t="s">
        <v>303</v>
      </c>
      <c r="E177" s="396" t="s">
        <v>315</v>
      </c>
      <c r="F177" s="396" t="s">
        <v>316</v>
      </c>
      <c r="G177" s="396" t="s">
        <v>316</v>
      </c>
      <c r="H177" s="396" t="s">
        <v>317</v>
      </c>
      <c r="I177" s="396" t="s">
        <v>317</v>
      </c>
      <c r="J177" s="394"/>
      <c r="K177" s="394"/>
      <c r="L177" s="395"/>
      <c r="M177" s="396"/>
      <c r="N177" s="396"/>
      <c r="O177" s="397"/>
      <c r="P177" s="60"/>
      <c r="AD177" s="33"/>
      <c r="AE177" s="33"/>
      <c r="AG177"/>
      <c r="AH177"/>
    </row>
    <row r="178" spans="1:34" ht="45" customHeight="1">
      <c r="A178" s="528"/>
      <c r="B178" s="797"/>
      <c r="C178" s="847"/>
      <c r="D178" s="379" t="s">
        <v>304</v>
      </c>
      <c r="E178" s="396" t="s">
        <v>318</v>
      </c>
      <c r="F178" s="396" t="s">
        <v>319</v>
      </c>
      <c r="G178" s="396" t="s">
        <v>320</v>
      </c>
      <c r="H178" s="396" t="s">
        <v>321</v>
      </c>
      <c r="I178" s="396" t="s">
        <v>682</v>
      </c>
      <c r="J178" s="394"/>
      <c r="K178" s="394"/>
      <c r="L178" s="395"/>
      <c r="M178" s="396"/>
      <c r="N178" s="396"/>
      <c r="O178" s="397"/>
      <c r="P178" s="60"/>
      <c r="AD178" s="33"/>
      <c r="AE178" s="33"/>
      <c r="AG178"/>
      <c r="AH178"/>
    </row>
    <row r="179" spans="1:34" ht="39" customHeight="1">
      <c r="A179" s="525" t="s">
        <v>63</v>
      </c>
      <c r="B179" s="800" t="s">
        <v>301</v>
      </c>
      <c r="C179" s="848" t="s">
        <v>302</v>
      </c>
      <c r="D179" s="384" t="s">
        <v>303</v>
      </c>
      <c r="E179" s="392" t="s">
        <v>322</v>
      </c>
      <c r="F179" s="392" t="s">
        <v>323</v>
      </c>
      <c r="G179" s="392" t="s">
        <v>324</v>
      </c>
      <c r="H179" s="392" t="s">
        <v>325</v>
      </c>
      <c r="I179" s="392" t="s">
        <v>703</v>
      </c>
      <c r="J179" s="390"/>
      <c r="K179" s="390"/>
      <c r="L179" s="390"/>
      <c r="M179" s="392"/>
      <c r="N179" s="392"/>
      <c r="O179" s="398"/>
      <c r="P179" s="60"/>
      <c r="AD179" s="33"/>
      <c r="AE179" s="33"/>
      <c r="AG179"/>
      <c r="AH179"/>
    </row>
    <row r="180" spans="1:34" ht="43.5" customHeight="1">
      <c r="A180" s="525"/>
      <c r="B180" s="800"/>
      <c r="C180" s="848"/>
      <c r="D180" s="384" t="s">
        <v>304</v>
      </c>
      <c r="E180" s="392" t="s">
        <v>326</v>
      </c>
      <c r="F180" s="392" t="s">
        <v>327</v>
      </c>
      <c r="G180" s="392" t="s">
        <v>328</v>
      </c>
      <c r="H180" s="392" t="s">
        <v>329</v>
      </c>
      <c r="I180" s="392" t="s">
        <v>704</v>
      </c>
      <c r="J180" s="385"/>
      <c r="K180" s="385"/>
      <c r="L180" s="390"/>
      <c r="M180" s="392"/>
      <c r="N180" s="392"/>
      <c r="O180" s="398"/>
      <c r="P180" s="60"/>
      <c r="AD180" s="33"/>
      <c r="AE180" s="33"/>
      <c r="AG180"/>
      <c r="AH180"/>
    </row>
    <row r="181" spans="1:34" ht="40.5" customHeight="1">
      <c r="A181" s="528" t="s">
        <v>70</v>
      </c>
      <c r="B181" s="797" t="s">
        <v>330</v>
      </c>
      <c r="C181" s="847" t="s">
        <v>302</v>
      </c>
      <c r="D181" s="379" t="s">
        <v>303</v>
      </c>
      <c r="E181" s="396" t="s">
        <v>331</v>
      </c>
      <c r="F181" s="396" t="s">
        <v>332</v>
      </c>
      <c r="G181" s="396" t="s">
        <v>333</v>
      </c>
      <c r="H181" s="396" t="s">
        <v>334</v>
      </c>
      <c r="I181" s="396" t="s">
        <v>705</v>
      </c>
      <c r="J181" s="394"/>
      <c r="K181" s="394"/>
      <c r="L181" s="395"/>
      <c r="M181" s="396"/>
      <c r="N181" s="396"/>
      <c r="O181" s="397"/>
      <c r="P181" s="60"/>
      <c r="AD181" s="33"/>
      <c r="AE181" s="33"/>
      <c r="AG181"/>
      <c r="AH181"/>
    </row>
    <row r="182" spans="1:34" ht="51" customHeight="1">
      <c r="A182" s="528"/>
      <c r="B182" s="797"/>
      <c r="C182" s="847"/>
      <c r="D182" s="379" t="s">
        <v>304</v>
      </c>
      <c r="E182" s="396" t="s">
        <v>335</v>
      </c>
      <c r="F182" s="396" t="s">
        <v>336</v>
      </c>
      <c r="G182" s="396" t="s">
        <v>337</v>
      </c>
      <c r="H182" s="396" t="s">
        <v>338</v>
      </c>
      <c r="I182" s="396" t="s">
        <v>706</v>
      </c>
      <c r="J182" s="394"/>
      <c r="K182" s="394"/>
      <c r="L182" s="395"/>
      <c r="M182" s="396"/>
      <c r="N182" s="396"/>
      <c r="O182" s="394"/>
      <c r="P182" s="60"/>
      <c r="AD182" s="33"/>
      <c r="AE182" s="33"/>
      <c r="AG182"/>
      <c r="AH182"/>
    </row>
    <row r="183" spans="1:34" ht="41.25" customHeight="1">
      <c r="A183" s="525" t="s">
        <v>56</v>
      </c>
      <c r="B183" s="800" t="s">
        <v>330</v>
      </c>
      <c r="C183" s="848" t="s">
        <v>302</v>
      </c>
      <c r="D183" s="384" t="s">
        <v>303</v>
      </c>
      <c r="E183" s="392" t="s">
        <v>339</v>
      </c>
      <c r="F183" s="392" t="s">
        <v>340</v>
      </c>
      <c r="G183" s="392" t="s">
        <v>340</v>
      </c>
      <c r="H183" s="392" t="s">
        <v>341</v>
      </c>
      <c r="I183" s="392" t="s">
        <v>683</v>
      </c>
      <c r="J183" s="390"/>
      <c r="K183" s="385"/>
      <c r="L183" s="390"/>
      <c r="M183" s="392"/>
      <c r="N183" s="392"/>
      <c r="O183" s="385"/>
      <c r="P183" s="60"/>
      <c r="AD183" s="33"/>
      <c r="AE183" s="33"/>
      <c r="AG183"/>
      <c r="AH183"/>
    </row>
    <row r="184" spans="1:34" ht="46.5" customHeight="1">
      <c r="A184" s="525"/>
      <c r="B184" s="800"/>
      <c r="C184" s="848"/>
      <c r="D184" s="384" t="s">
        <v>304</v>
      </c>
      <c r="E184" s="392" t="s">
        <v>342</v>
      </c>
      <c r="F184" s="392" t="s">
        <v>343</v>
      </c>
      <c r="G184" s="392" t="s">
        <v>344</v>
      </c>
      <c r="H184" s="392" t="s">
        <v>345</v>
      </c>
      <c r="I184" s="392" t="s">
        <v>684</v>
      </c>
      <c r="J184" s="390"/>
      <c r="K184" s="390"/>
      <c r="L184" s="390"/>
      <c r="M184" s="392"/>
      <c r="N184" s="392"/>
      <c r="O184" s="390"/>
      <c r="P184" s="60"/>
      <c r="AD184" s="33"/>
      <c r="AE184" s="33"/>
      <c r="AG184"/>
      <c r="AH184"/>
    </row>
    <row r="185" spans="1:34" ht="36.75" customHeight="1">
      <c r="A185" s="528" t="s">
        <v>67</v>
      </c>
      <c r="B185" s="797" t="s">
        <v>330</v>
      </c>
      <c r="C185" s="871" t="s">
        <v>302</v>
      </c>
      <c r="D185" s="379" t="s">
        <v>303</v>
      </c>
      <c r="E185" s="396" t="s">
        <v>346</v>
      </c>
      <c r="F185" s="396" t="s">
        <v>347</v>
      </c>
      <c r="G185" s="396" t="s">
        <v>348</v>
      </c>
      <c r="H185" s="396" t="s">
        <v>349</v>
      </c>
      <c r="I185" s="396" t="s">
        <v>349</v>
      </c>
      <c r="J185" s="394"/>
      <c r="K185" s="394"/>
      <c r="L185" s="395"/>
      <c r="M185" s="396"/>
      <c r="N185" s="396"/>
      <c r="O185" s="394"/>
      <c r="P185" s="60"/>
      <c r="AD185" s="33"/>
      <c r="AE185" s="33"/>
      <c r="AG185"/>
      <c r="AH185"/>
    </row>
    <row r="186" spans="1:34" ht="38.25" customHeight="1">
      <c r="A186" s="528"/>
      <c r="B186" s="797"/>
      <c r="C186" s="871"/>
      <c r="D186" s="379" t="s">
        <v>304</v>
      </c>
      <c r="E186" s="396" t="s">
        <v>350</v>
      </c>
      <c r="F186" s="396" t="s">
        <v>351</v>
      </c>
      <c r="G186" s="396" t="s">
        <v>352</v>
      </c>
      <c r="H186" s="396" t="s">
        <v>353</v>
      </c>
      <c r="I186" s="396" t="s">
        <v>707</v>
      </c>
      <c r="J186" s="394"/>
      <c r="K186" s="394"/>
      <c r="L186" s="395"/>
      <c r="M186" s="396"/>
      <c r="N186" s="396"/>
      <c r="O186" s="394"/>
      <c r="P186" s="60"/>
      <c r="AD186" s="33"/>
      <c r="AE186" s="33"/>
      <c r="AG186"/>
      <c r="AH186"/>
    </row>
    <row r="187" spans="1:34" ht="42.75" customHeight="1">
      <c r="A187" s="525" t="s">
        <v>73</v>
      </c>
      <c r="B187" s="800" t="s">
        <v>330</v>
      </c>
      <c r="C187" s="848" t="s">
        <v>302</v>
      </c>
      <c r="D187" s="384" t="s">
        <v>303</v>
      </c>
      <c r="E187" s="392" t="s">
        <v>354</v>
      </c>
      <c r="F187" s="392" t="s">
        <v>355</v>
      </c>
      <c r="G187" s="392" t="s">
        <v>355</v>
      </c>
      <c r="H187" s="392" t="s">
        <v>356</v>
      </c>
      <c r="I187" s="392" t="s">
        <v>356</v>
      </c>
      <c r="J187" s="390"/>
      <c r="K187" s="390"/>
      <c r="L187" s="390"/>
      <c r="M187" s="392"/>
      <c r="N187" s="392"/>
      <c r="O187" s="390"/>
      <c r="P187" s="60"/>
      <c r="AD187" s="33"/>
      <c r="AE187" s="33"/>
      <c r="AG187"/>
      <c r="AH187"/>
    </row>
    <row r="188" spans="1:34" ht="39.75" customHeight="1">
      <c r="A188" s="525"/>
      <c r="B188" s="800"/>
      <c r="C188" s="848"/>
      <c r="D188" s="384" t="s">
        <v>304</v>
      </c>
      <c r="E188" s="392" t="s">
        <v>357</v>
      </c>
      <c r="F188" s="392" t="s">
        <v>358</v>
      </c>
      <c r="G188" s="392" t="s">
        <v>359</v>
      </c>
      <c r="H188" s="392" t="s">
        <v>360</v>
      </c>
      <c r="I188" s="392" t="s">
        <v>708</v>
      </c>
      <c r="J188" s="390"/>
      <c r="K188" s="390"/>
      <c r="L188" s="390"/>
      <c r="M188" s="392"/>
      <c r="N188" s="392"/>
      <c r="O188" s="390"/>
      <c r="P188" s="60"/>
      <c r="AD188" s="33"/>
      <c r="AE188" s="33"/>
      <c r="AG188"/>
      <c r="AH188"/>
    </row>
    <row r="189" spans="1:34" ht="18.75" customHeight="1">
      <c r="A189" s="867" t="s">
        <v>361</v>
      </c>
      <c r="B189" s="797" t="s">
        <v>301</v>
      </c>
      <c r="C189" s="871" t="s">
        <v>362</v>
      </c>
      <c r="D189" s="379" t="s">
        <v>303</v>
      </c>
      <c r="E189" s="399">
        <v>0.95</v>
      </c>
      <c r="F189" s="399">
        <v>0.95</v>
      </c>
      <c r="G189" s="399">
        <v>0.95</v>
      </c>
      <c r="H189" s="399">
        <v>0.95</v>
      </c>
      <c r="I189" s="399">
        <v>0.95</v>
      </c>
      <c r="J189" s="394"/>
      <c r="K189" s="394"/>
      <c r="L189" s="395"/>
      <c r="M189" s="399"/>
      <c r="N189" s="399"/>
      <c r="O189" s="394"/>
      <c r="P189" s="60"/>
      <c r="AD189" s="33"/>
      <c r="AE189" s="33"/>
      <c r="AG189"/>
      <c r="AH189"/>
    </row>
    <row r="190" spans="1:34" ht="21" customHeight="1">
      <c r="A190" s="868"/>
      <c r="B190" s="797"/>
      <c r="C190" s="871"/>
      <c r="D190" s="379" t="s">
        <v>304</v>
      </c>
      <c r="E190" s="399">
        <v>0.96</v>
      </c>
      <c r="F190" s="399">
        <v>0.96</v>
      </c>
      <c r="G190" s="399">
        <v>0.96499999999999997</v>
      </c>
      <c r="H190" s="399">
        <v>0.96499999999999997</v>
      </c>
      <c r="I190" s="602">
        <v>0.97799999999999998</v>
      </c>
      <c r="J190" s="394"/>
      <c r="K190" s="394"/>
      <c r="L190" s="395"/>
      <c r="M190" s="399"/>
      <c r="N190" s="395"/>
      <c r="O190" s="394"/>
      <c r="P190" s="60"/>
      <c r="AD190" s="33"/>
      <c r="AE190" s="33"/>
      <c r="AG190"/>
      <c r="AH190"/>
    </row>
    <row r="191" spans="1:34" ht="19.5" customHeight="1">
      <c r="A191" s="869" t="s">
        <v>79</v>
      </c>
      <c r="B191" s="800" t="s">
        <v>330</v>
      </c>
      <c r="C191" s="848" t="s">
        <v>302</v>
      </c>
      <c r="D191" s="384" t="s">
        <v>303</v>
      </c>
      <c r="E191" s="391">
        <v>0.9</v>
      </c>
      <c r="F191" s="391">
        <v>0.9</v>
      </c>
      <c r="G191" s="391">
        <v>0.9</v>
      </c>
      <c r="H191" s="391">
        <v>0.95</v>
      </c>
      <c r="I191" s="391">
        <v>0.9</v>
      </c>
      <c r="J191" s="390"/>
      <c r="K191" s="390"/>
      <c r="L191" s="390"/>
      <c r="M191" s="391"/>
      <c r="N191" s="391"/>
      <c r="O191" s="390"/>
      <c r="P191" s="60"/>
      <c r="AD191" s="33"/>
      <c r="AE191" s="33"/>
      <c r="AG191"/>
      <c r="AH191"/>
    </row>
    <row r="192" spans="1:34" ht="21" customHeight="1">
      <c r="A192" s="870"/>
      <c r="B192" s="800"/>
      <c r="C192" s="848"/>
      <c r="D192" s="384" t="s">
        <v>304</v>
      </c>
      <c r="E192" s="391">
        <v>0.93</v>
      </c>
      <c r="F192" s="391">
        <v>0.92</v>
      </c>
      <c r="G192" s="391">
        <v>0.95</v>
      </c>
      <c r="H192" s="391">
        <v>0.97</v>
      </c>
      <c r="I192" s="391">
        <v>1</v>
      </c>
      <c r="J192" s="390"/>
      <c r="K192" s="390"/>
      <c r="L192" s="390"/>
      <c r="M192" s="390"/>
      <c r="N192" s="390"/>
      <c r="O192" s="390"/>
      <c r="P192" s="60"/>
      <c r="AD192" s="33"/>
      <c r="AE192" s="33"/>
      <c r="AG192"/>
      <c r="AH192"/>
    </row>
    <row r="193" spans="1:34">
      <c r="A193" s="3"/>
      <c r="B193" s="3"/>
      <c r="C193" s="3"/>
      <c r="D193" s="2"/>
      <c r="E193" s="3"/>
      <c r="F193" s="3"/>
      <c r="G193" s="3"/>
      <c r="H193" s="3"/>
      <c r="I193" s="3"/>
      <c r="J193" s="3"/>
      <c r="K193" s="3"/>
      <c r="M193"/>
      <c r="O193" s="33"/>
      <c r="AD193" s="33"/>
      <c r="AE193" s="33"/>
      <c r="AG193"/>
      <c r="AH193"/>
    </row>
    <row r="194" spans="1:34" ht="16" thickBot="1">
      <c r="A194" s="245"/>
      <c r="B194" s="3"/>
      <c r="C194" s="3"/>
      <c r="D194" s="2"/>
      <c r="E194" s="3"/>
      <c r="F194" s="3"/>
      <c r="G194" s="3"/>
      <c r="H194" s="3"/>
      <c r="I194" s="3"/>
      <c r="J194" s="3"/>
      <c r="K194" s="3"/>
      <c r="M194"/>
      <c r="O194" s="33"/>
      <c r="AD194" s="33"/>
      <c r="AE194" s="33"/>
      <c r="AG194"/>
      <c r="AH194"/>
    </row>
    <row r="195" spans="1:34">
      <c r="A195" s="3" t="s">
        <v>363</v>
      </c>
      <c r="B195" s="244" t="s">
        <v>299</v>
      </c>
      <c r="C195" s="303" t="s">
        <v>300</v>
      </c>
      <c r="D195" s="206"/>
      <c r="E195" s="276" t="s">
        <v>150</v>
      </c>
      <c r="F195" s="276" t="s">
        <v>151</v>
      </c>
      <c r="G195" s="276" t="s">
        <v>152</v>
      </c>
      <c r="H195" s="276" t="s">
        <v>153</v>
      </c>
      <c r="I195" s="276" t="s">
        <v>135</v>
      </c>
      <c r="J195" s="276" t="s">
        <v>154</v>
      </c>
      <c r="K195" s="276" t="s">
        <v>155</v>
      </c>
      <c r="L195" s="276" t="s">
        <v>156</v>
      </c>
      <c r="M195" s="276" t="s">
        <v>157</v>
      </c>
      <c r="N195" s="276" t="s">
        <v>158</v>
      </c>
      <c r="O195" s="276" t="s">
        <v>159</v>
      </c>
      <c r="P195" s="33"/>
      <c r="Q195" s="33"/>
      <c r="AD195" s="33"/>
      <c r="AE195" s="33"/>
      <c r="AG195"/>
      <c r="AH195"/>
    </row>
    <row r="196" spans="1:34">
      <c r="A196" s="529" t="str">
        <f>IF(ISBLANK(A169),"",(A169))</f>
        <v>Процент ЛУИН, охваченных программами по профилактике ВИЧ</v>
      </c>
      <c r="B196" s="861" t="str">
        <f>IF(ISBLANK(B169),"",(B169))</f>
        <v>Топ 10</v>
      </c>
      <c r="C196" s="865" t="str">
        <f>IF(ISBLANK(C169),"",(C169))</f>
        <v>с текущим грантом</v>
      </c>
      <c r="D196" s="379" t="s">
        <v>303</v>
      </c>
      <c r="E196" s="400">
        <f t="shared" ref="E196:F201" si="11">E169</f>
        <v>16250</v>
      </c>
      <c r="F196" s="400">
        <f t="shared" si="11"/>
        <v>16875</v>
      </c>
      <c r="G196" s="400">
        <v>17500</v>
      </c>
      <c r="H196" s="380">
        <v>18125</v>
      </c>
      <c r="I196" s="380">
        <v>18750</v>
      </c>
      <c r="J196" s="400"/>
      <c r="K196" s="400"/>
      <c r="L196" s="401"/>
      <c r="M196" s="401"/>
      <c r="N196" s="401"/>
      <c r="O196" s="401"/>
      <c r="P196" s="33"/>
      <c r="Q196" s="33"/>
      <c r="AD196" s="33"/>
      <c r="AE196" s="33"/>
      <c r="AG196"/>
      <c r="AH196"/>
    </row>
    <row r="197" spans="1:34" ht="15" thickBot="1">
      <c r="A197" s="530"/>
      <c r="B197" s="861"/>
      <c r="C197" s="865"/>
      <c r="D197" s="379" t="s">
        <v>304</v>
      </c>
      <c r="E197" s="400">
        <f t="shared" si="11"/>
        <v>16530</v>
      </c>
      <c r="F197" s="400">
        <f t="shared" si="11"/>
        <v>15835</v>
      </c>
      <c r="G197" s="400">
        <v>16195</v>
      </c>
      <c r="H197" s="380">
        <v>16328</v>
      </c>
      <c r="I197" s="380">
        <v>16636</v>
      </c>
      <c r="J197" s="400"/>
      <c r="K197" s="400"/>
      <c r="L197" s="401"/>
      <c r="M197" s="401"/>
      <c r="N197" s="401"/>
      <c r="O197" s="401"/>
      <c r="P197" s="33"/>
      <c r="Q197" s="33"/>
      <c r="AD197" s="33"/>
      <c r="AE197" s="33"/>
      <c r="AG197"/>
      <c r="AH197"/>
    </row>
    <row r="198" spans="1:34" ht="50">
      <c r="A198" s="526" t="str">
        <f>IF(ISBLANK(A171),"",(A171))</f>
        <v>Процент взрослых и детей, получающих в настоящее время антиретровирусную терапию, от оценочного числа всех взрослых и детей, живущих с ВИЧ</v>
      </c>
      <c r="B198" s="862" t="str">
        <f>IF(ISBLANK(B171),"",(B171))</f>
        <v>Топ 10</v>
      </c>
      <c r="C198" s="863" t="str">
        <f>IF(ISBLANK(C171),"",(C171))</f>
        <v>с текущим грантом</v>
      </c>
      <c r="D198" s="384" t="s">
        <v>303</v>
      </c>
      <c r="E198" s="402">
        <f t="shared" si="11"/>
        <v>4373</v>
      </c>
      <c r="F198" s="402">
        <f t="shared" si="11"/>
        <v>5123</v>
      </c>
      <c r="G198" s="402">
        <v>5873</v>
      </c>
      <c r="H198" s="386">
        <v>6730</v>
      </c>
      <c r="I198" s="600" t="s">
        <v>691</v>
      </c>
      <c r="J198" s="402"/>
      <c r="K198" s="402"/>
      <c r="L198" s="403"/>
      <c r="M198" s="403"/>
      <c r="N198" s="403"/>
      <c r="O198" s="403"/>
      <c r="P198" s="33"/>
      <c r="Q198" s="33"/>
      <c r="AD198" s="33"/>
      <c r="AE198" s="33"/>
      <c r="AG198"/>
      <c r="AH198"/>
    </row>
    <row r="199" spans="1:34" ht="50.5" thickBot="1">
      <c r="A199" s="527"/>
      <c r="B199" s="862"/>
      <c r="C199" s="863"/>
      <c r="D199" s="384" t="s">
        <v>304</v>
      </c>
      <c r="E199" s="402">
        <f t="shared" si="11"/>
        <v>3718</v>
      </c>
      <c r="F199" s="402">
        <f t="shared" si="11"/>
        <v>3762</v>
      </c>
      <c r="G199" s="402">
        <v>4058</v>
      </c>
      <c r="H199" s="387">
        <v>4328</v>
      </c>
      <c r="I199" s="600" t="s">
        <v>692</v>
      </c>
      <c r="J199" s="402"/>
      <c r="K199" s="402"/>
      <c r="L199" s="403"/>
      <c r="M199" s="403"/>
      <c r="N199" s="403"/>
      <c r="O199" s="403"/>
      <c r="P199" s="33"/>
      <c r="Q199" s="33"/>
      <c r="AD199" s="33"/>
      <c r="AE199" s="33"/>
      <c r="AG199"/>
      <c r="AH199"/>
    </row>
    <row r="200" spans="1:34" ht="50">
      <c r="A200" s="529" t="str">
        <f>IF(ISBLANK(A173),"",(A173))</f>
        <v>Процент ЛЖВ, получающих АРТ и достигших неопределяемую вирусную нагрузку (т.е. ≤1000 копий)</v>
      </c>
      <c r="B200" s="861" t="str">
        <f>IF(ISBLANK(B173),"",(B173))</f>
        <v>Топ 10</v>
      </c>
      <c r="C200" s="865" t="str">
        <f>IF(ISBLANK(C173),"",(C173))</f>
        <v>с текущим грантом</v>
      </c>
      <c r="D200" s="404" t="s">
        <v>303</v>
      </c>
      <c r="E200" s="501">
        <f t="shared" si="11"/>
        <v>0.54900000000000004</v>
      </c>
      <c r="F200" s="501">
        <f t="shared" si="11"/>
        <v>0</v>
      </c>
      <c r="G200" s="501">
        <v>0.67</v>
      </c>
      <c r="H200" s="400">
        <v>0</v>
      </c>
      <c r="I200" s="601" t="s">
        <v>693</v>
      </c>
      <c r="J200" s="400"/>
      <c r="K200" s="400"/>
      <c r="L200" s="401"/>
      <c r="M200" s="401"/>
      <c r="N200" s="401"/>
      <c r="O200" s="401"/>
      <c r="P200" s="33"/>
      <c r="Q200" s="33"/>
      <c r="AD200" s="33"/>
      <c r="AE200" s="33"/>
      <c r="AG200"/>
      <c r="AH200"/>
    </row>
    <row r="201" spans="1:34" ht="50.5" thickBot="1">
      <c r="A201" s="530"/>
      <c r="B201" s="864"/>
      <c r="C201" s="866"/>
      <c r="D201" s="379" t="s">
        <v>304</v>
      </c>
      <c r="E201" s="501">
        <f t="shared" si="11"/>
        <v>0.68500000000000005</v>
      </c>
      <c r="F201" s="501">
        <f t="shared" si="11"/>
        <v>0</v>
      </c>
      <c r="G201" s="501">
        <v>0.79700000000000004</v>
      </c>
      <c r="H201" s="400">
        <v>0</v>
      </c>
      <c r="I201" s="601" t="s">
        <v>694</v>
      </c>
      <c r="J201" s="400"/>
      <c r="K201" s="400"/>
      <c r="L201" s="401"/>
      <c r="M201" s="401"/>
      <c r="N201" s="401"/>
      <c r="O201" s="401"/>
      <c r="P201" s="33"/>
      <c r="Q201" s="33"/>
      <c r="AD201" s="33"/>
      <c r="AE201" s="33"/>
      <c r="AG201"/>
      <c r="AH201"/>
    </row>
    <row r="202" spans="1:34" s="19" customFormat="1">
      <c r="A202" s="528" t="s">
        <v>83</v>
      </c>
      <c r="B202" s="797" t="s">
        <v>330</v>
      </c>
      <c r="C202" s="859" t="s">
        <v>302</v>
      </c>
      <c r="D202" s="379" t="s">
        <v>303</v>
      </c>
      <c r="E202" s="399">
        <v>0.95</v>
      </c>
      <c r="F202" s="399"/>
      <c r="G202" s="399">
        <v>0.95</v>
      </c>
      <c r="H202" s="394">
        <v>0</v>
      </c>
      <c r="I202" s="399">
        <v>0.95</v>
      </c>
      <c r="J202" s="394"/>
      <c r="K202" s="395"/>
      <c r="L202" s="399"/>
      <c r="M202" s="399"/>
      <c r="N202" s="399"/>
      <c r="O202" s="399"/>
      <c r="AD202" s="20"/>
      <c r="AE202" s="20"/>
      <c r="AF202" s="20"/>
    </row>
    <row r="203" spans="1:34">
      <c r="A203" s="528"/>
      <c r="B203" s="797"/>
      <c r="C203" s="860"/>
      <c r="D203" s="379" t="s">
        <v>304</v>
      </c>
      <c r="E203" s="399">
        <v>0.98</v>
      </c>
      <c r="F203" s="399"/>
      <c r="G203" s="399">
        <v>0.95</v>
      </c>
      <c r="H203" s="394">
        <v>0</v>
      </c>
      <c r="I203" s="603">
        <v>0.95669999999999999</v>
      </c>
      <c r="J203" s="394"/>
      <c r="K203" s="395"/>
      <c r="L203" s="399"/>
      <c r="M203" s="399"/>
      <c r="N203" s="399"/>
      <c r="O203" s="399"/>
      <c r="AD203" s="33"/>
      <c r="AE203" s="33"/>
      <c r="AG203"/>
      <c r="AH203"/>
    </row>
    <row r="204" spans="1:34" ht="15" thickBot="1">
      <c r="A204" s="3"/>
      <c r="B204" s="3"/>
      <c r="C204" s="3"/>
      <c r="D204" s="3"/>
      <c r="E204" s="3"/>
      <c r="F204" s="2" t="str">
        <f>IF(AND(D204&gt;0,E204&gt;0),E204/D204,"")</f>
        <v/>
      </c>
      <c r="G204" s="95"/>
      <c r="H204" s="95"/>
      <c r="I204" s="3"/>
      <c r="J204" s="3"/>
      <c r="K204" s="33"/>
      <c r="L204" s="33"/>
      <c r="M204"/>
      <c r="N204"/>
      <c r="AD204" s="33"/>
      <c r="AE204" s="33"/>
      <c r="AG204"/>
      <c r="AH204"/>
    </row>
    <row r="205" spans="1:34" ht="19" thickBot="1">
      <c r="A205" s="417" t="s">
        <v>364</v>
      </c>
      <c r="B205" s="107"/>
      <c r="C205" s="107"/>
      <c r="D205" s="107"/>
      <c r="E205" s="208"/>
      <c r="F205" s="204"/>
      <c r="G205" s="252"/>
      <c r="H205" s="481" t="s">
        <v>298</v>
      </c>
      <c r="I205" s="482"/>
      <c r="J205" s="483"/>
      <c r="K205" s="484"/>
      <c r="L205" s="483"/>
      <c r="M205" s="485"/>
      <c r="AD205" s="33"/>
      <c r="AE205" s="33"/>
      <c r="AG205"/>
      <c r="AH205"/>
    </row>
    <row r="206" spans="1:34" ht="15" thickBot="1">
      <c r="A206" s="3"/>
      <c r="B206" s="3"/>
      <c r="C206" s="3"/>
      <c r="D206" s="3"/>
      <c r="E206" s="3"/>
      <c r="F206" s="3"/>
      <c r="G206" s="3"/>
      <c r="H206" s="3"/>
      <c r="I206" s="3"/>
      <c r="J206" s="3"/>
      <c r="AD206" s="33"/>
      <c r="AE206" s="33"/>
      <c r="AG206"/>
      <c r="AH206"/>
    </row>
    <row r="207" spans="1:34" ht="39.75" customHeight="1">
      <c r="A207" s="531" t="s">
        <v>38</v>
      </c>
      <c r="B207" s="244" t="s">
        <v>299</v>
      </c>
      <c r="C207" s="303" t="s">
        <v>300</v>
      </c>
      <c r="D207" s="206"/>
      <c r="E207" s="276" t="s">
        <v>365</v>
      </c>
      <c r="F207" s="276" t="s">
        <v>366</v>
      </c>
      <c r="G207" s="276" t="s">
        <v>152</v>
      </c>
      <c r="H207" s="276" t="s">
        <v>153</v>
      </c>
      <c r="I207" s="276" t="s">
        <v>135</v>
      </c>
      <c r="J207" s="276" t="s">
        <v>154</v>
      </c>
      <c r="K207" s="276" t="s">
        <v>155</v>
      </c>
      <c r="L207" s="276" t="s">
        <v>156</v>
      </c>
      <c r="M207" s="276" t="s">
        <v>157</v>
      </c>
      <c r="N207" s="276" t="s">
        <v>158</v>
      </c>
      <c r="O207" s="276" t="s">
        <v>159</v>
      </c>
      <c r="P207" s="60"/>
      <c r="AD207" s="33"/>
      <c r="AE207" s="33"/>
      <c r="AG207"/>
      <c r="AH207"/>
    </row>
    <row r="208" spans="1:34" ht="40.5" customHeight="1">
      <c r="A208" s="536" t="s">
        <v>88</v>
      </c>
      <c r="B208" s="797" t="s">
        <v>330</v>
      </c>
      <c r="C208" s="798" t="s">
        <v>367</v>
      </c>
      <c r="D208" s="486" t="s">
        <v>303</v>
      </c>
      <c r="E208" s="222">
        <v>3500</v>
      </c>
      <c r="F208" s="222">
        <v>3475</v>
      </c>
      <c r="G208" s="222">
        <v>3450</v>
      </c>
      <c r="H208" s="222">
        <v>3425</v>
      </c>
      <c r="I208" s="222">
        <v>3400</v>
      </c>
      <c r="J208" s="222"/>
      <c r="K208" s="222"/>
      <c r="L208" s="222"/>
      <c r="M208" s="222"/>
      <c r="N208" s="222"/>
      <c r="O208" s="222"/>
      <c r="P208" s="60"/>
      <c r="AD208" s="33"/>
      <c r="AE208" s="33"/>
      <c r="AG208"/>
      <c r="AH208"/>
    </row>
    <row r="209" spans="1:34" ht="23.25" customHeight="1">
      <c r="A209" s="537"/>
      <c r="B209" s="797"/>
      <c r="C209" s="799"/>
      <c r="D209" s="486" t="s">
        <v>368</v>
      </c>
      <c r="E209" s="222">
        <v>3191</v>
      </c>
      <c r="F209" s="222">
        <v>3023</v>
      </c>
      <c r="G209" s="222">
        <v>3241</v>
      </c>
      <c r="H209" s="222">
        <v>2965</v>
      </c>
      <c r="I209" s="222">
        <v>1743</v>
      </c>
      <c r="J209" s="222"/>
      <c r="K209" s="222"/>
      <c r="L209" s="222"/>
      <c r="M209" s="222"/>
      <c r="N209" s="222"/>
      <c r="O209" s="222"/>
      <c r="P209" s="60"/>
      <c r="AD209" s="33"/>
      <c r="AE209" s="33"/>
      <c r="AG209"/>
      <c r="AH209"/>
    </row>
    <row r="210" spans="1:34" ht="48" customHeight="1">
      <c r="A210" s="535" t="s">
        <v>369</v>
      </c>
      <c r="B210" s="800" t="s">
        <v>301</v>
      </c>
      <c r="C210" s="813" t="s">
        <v>367</v>
      </c>
      <c r="D210" s="486" t="s">
        <v>303</v>
      </c>
      <c r="E210" s="326">
        <v>700</v>
      </c>
      <c r="F210" s="326">
        <v>720</v>
      </c>
      <c r="G210" s="223">
        <v>720</v>
      </c>
      <c r="H210" s="223">
        <v>740</v>
      </c>
      <c r="I210" s="350">
        <v>740</v>
      </c>
      <c r="J210" s="223"/>
      <c r="K210" s="223"/>
      <c r="L210" s="223"/>
      <c r="M210" s="223"/>
      <c r="N210" s="223"/>
      <c r="O210" s="223"/>
      <c r="P210" s="60"/>
      <c r="AD210" s="33"/>
      <c r="AE210" s="33"/>
      <c r="AG210"/>
      <c r="AH210"/>
    </row>
    <row r="211" spans="1:34" ht="15.75" customHeight="1">
      <c r="A211" s="535"/>
      <c r="B211" s="800"/>
      <c r="C211" s="814"/>
      <c r="D211" s="487" t="s">
        <v>368</v>
      </c>
      <c r="E211" s="326">
        <v>847</v>
      </c>
      <c r="F211" s="326">
        <v>709</v>
      </c>
      <c r="G211" s="243">
        <v>731</v>
      </c>
      <c r="H211" s="243">
        <v>733</v>
      </c>
      <c r="I211" s="243">
        <v>369</v>
      </c>
      <c r="J211" s="243"/>
      <c r="K211" s="243"/>
      <c r="L211" s="243"/>
      <c r="M211" s="223"/>
      <c r="N211" s="223"/>
      <c r="O211" s="223"/>
      <c r="P211" s="60"/>
      <c r="AD211" s="33"/>
      <c r="AE211" s="33"/>
      <c r="AG211"/>
      <c r="AH211"/>
    </row>
    <row r="212" spans="1:34" ht="38.25" customHeight="1">
      <c r="A212" s="536" t="s">
        <v>370</v>
      </c>
      <c r="B212" s="797" t="s">
        <v>330</v>
      </c>
      <c r="C212" s="798" t="s">
        <v>367</v>
      </c>
      <c r="D212" s="486" t="s">
        <v>303</v>
      </c>
      <c r="E212" s="326">
        <v>700</v>
      </c>
      <c r="F212" s="326">
        <v>720</v>
      </c>
      <c r="G212" s="223">
        <v>720</v>
      </c>
      <c r="H212" s="223">
        <v>740</v>
      </c>
      <c r="I212" s="350">
        <v>740</v>
      </c>
      <c r="J212" s="222"/>
      <c r="K212" s="222"/>
      <c r="L212" s="222"/>
      <c r="M212" s="222"/>
      <c r="N212" s="222"/>
      <c r="O212" s="222"/>
      <c r="P212" s="60"/>
      <c r="AD212" s="33"/>
      <c r="AE212" s="33"/>
      <c r="AG212"/>
      <c r="AH212"/>
    </row>
    <row r="213" spans="1:34" ht="39.75" customHeight="1">
      <c r="A213" s="535"/>
      <c r="B213" s="797"/>
      <c r="C213" s="799"/>
      <c r="D213" s="486" t="s">
        <v>368</v>
      </c>
      <c r="E213" s="326">
        <v>671</v>
      </c>
      <c r="F213" s="326">
        <v>674</v>
      </c>
      <c r="G213" s="326">
        <v>665</v>
      </c>
      <c r="H213" s="326">
        <v>606</v>
      </c>
      <c r="I213" s="326">
        <v>327</v>
      </c>
      <c r="J213" s="222"/>
      <c r="K213" s="222"/>
      <c r="L213" s="222"/>
      <c r="M213" s="222"/>
      <c r="N213" s="222"/>
      <c r="O213" s="222"/>
      <c r="P213" s="60"/>
      <c r="AD213" s="33"/>
      <c r="AE213" s="33"/>
      <c r="AG213"/>
      <c r="AH213"/>
    </row>
    <row r="214" spans="1:34" ht="39.75" customHeight="1">
      <c r="A214" s="535" t="s">
        <v>98</v>
      </c>
      <c r="B214" s="800" t="s">
        <v>301</v>
      </c>
      <c r="C214" s="813" t="s">
        <v>367</v>
      </c>
      <c r="D214" s="486" t="s">
        <v>303</v>
      </c>
      <c r="E214" s="416">
        <v>0.55000000000000004</v>
      </c>
      <c r="F214" s="416">
        <v>0.6</v>
      </c>
      <c r="G214" s="416">
        <v>0.65</v>
      </c>
      <c r="H214" s="416">
        <v>0.7</v>
      </c>
      <c r="I214" s="416">
        <v>0.75</v>
      </c>
      <c r="J214" s="326"/>
      <c r="K214" s="326"/>
      <c r="L214" s="326"/>
      <c r="M214" s="326"/>
      <c r="N214" s="326"/>
      <c r="O214" s="326"/>
      <c r="P214" s="60"/>
      <c r="AD214" s="33"/>
      <c r="AE214" s="33"/>
      <c r="AG214"/>
      <c r="AH214"/>
    </row>
    <row r="215" spans="1:34" ht="39.75" customHeight="1">
      <c r="A215" s="535"/>
      <c r="B215" s="800"/>
      <c r="C215" s="814"/>
      <c r="D215" s="486" t="s">
        <v>368</v>
      </c>
      <c r="E215" s="416">
        <v>0.51900000000000002</v>
      </c>
      <c r="F215" s="416">
        <v>0.65</v>
      </c>
      <c r="G215" s="416">
        <v>0.66</v>
      </c>
      <c r="H215" s="416">
        <v>0.69</v>
      </c>
      <c r="I215" s="416">
        <v>0.77</v>
      </c>
      <c r="J215" s="326"/>
      <c r="K215" s="326"/>
      <c r="L215" s="326"/>
      <c r="M215" s="326"/>
      <c r="N215" s="326"/>
      <c r="O215" s="326"/>
      <c r="P215" s="60"/>
      <c r="AD215" s="33"/>
      <c r="AE215" s="33"/>
      <c r="AG215"/>
      <c r="AH215"/>
    </row>
    <row r="216" spans="1:34" ht="35.25" customHeight="1">
      <c r="A216" s="534" t="s">
        <v>371</v>
      </c>
      <c r="B216" s="797" t="s">
        <v>330</v>
      </c>
      <c r="C216" s="798" t="s">
        <v>367</v>
      </c>
      <c r="D216" s="486" t="s">
        <v>303</v>
      </c>
      <c r="E216" s="327">
        <v>42</v>
      </c>
      <c r="F216" s="327">
        <v>53</v>
      </c>
      <c r="G216" s="327">
        <v>53</v>
      </c>
      <c r="H216" s="327">
        <v>66</v>
      </c>
      <c r="I216" s="327">
        <v>66</v>
      </c>
      <c r="J216" s="327"/>
      <c r="K216" s="327"/>
      <c r="L216" s="327"/>
      <c r="M216" s="327"/>
      <c r="N216" s="327"/>
      <c r="O216" s="327"/>
      <c r="P216" s="60"/>
      <c r="AD216" s="33"/>
      <c r="AE216" s="33"/>
      <c r="AG216"/>
      <c r="AH216"/>
    </row>
    <row r="217" spans="1:34" ht="39" customHeight="1">
      <c r="A217" s="535"/>
      <c r="B217" s="797"/>
      <c r="C217" s="799"/>
      <c r="D217" s="487" t="s">
        <v>368</v>
      </c>
      <c r="E217" s="327">
        <v>45</v>
      </c>
      <c r="F217" s="327">
        <v>54</v>
      </c>
      <c r="G217" s="327">
        <v>48</v>
      </c>
      <c r="H217" s="327">
        <v>42</v>
      </c>
      <c r="I217" s="327">
        <v>21</v>
      </c>
      <c r="J217" s="327"/>
      <c r="K217" s="327"/>
      <c r="L217" s="327"/>
      <c r="M217" s="327"/>
      <c r="N217" s="327"/>
      <c r="O217" s="327"/>
      <c r="P217" s="60"/>
      <c r="AD217" s="33"/>
      <c r="AE217" s="33"/>
      <c r="AG217"/>
      <c r="AH217"/>
    </row>
    <row r="218" spans="1:34" ht="43.5" customHeight="1">
      <c r="A218" s="534" t="s">
        <v>105</v>
      </c>
      <c r="B218" s="840" t="s">
        <v>301</v>
      </c>
      <c r="C218" s="813" t="s">
        <v>367</v>
      </c>
      <c r="D218" s="486" t="s">
        <v>303</v>
      </c>
      <c r="E218" s="416">
        <v>0.9</v>
      </c>
      <c r="F218" s="416">
        <v>0.91</v>
      </c>
      <c r="G218" s="416">
        <v>0.92</v>
      </c>
      <c r="H218" s="416">
        <v>0.93</v>
      </c>
      <c r="I218" s="416">
        <v>0.95</v>
      </c>
      <c r="J218" s="328"/>
      <c r="K218" s="328"/>
      <c r="L218" s="328"/>
      <c r="M218" s="328"/>
      <c r="N218" s="328"/>
      <c r="O218" s="361"/>
      <c r="P218" s="60"/>
      <c r="AD218" s="33"/>
      <c r="AE218" s="33"/>
      <c r="AG218"/>
      <c r="AH218"/>
    </row>
    <row r="219" spans="1:34" ht="40.5" customHeight="1">
      <c r="A219" s="535"/>
      <c r="B219" s="841"/>
      <c r="C219" s="814"/>
      <c r="D219" s="486" t="s">
        <v>368</v>
      </c>
      <c r="E219" s="416">
        <v>0.93</v>
      </c>
      <c r="F219" s="416">
        <v>0.92</v>
      </c>
      <c r="G219" s="416">
        <v>0.95</v>
      </c>
      <c r="H219" s="416">
        <v>0.94</v>
      </c>
      <c r="I219" s="416">
        <v>0.94</v>
      </c>
      <c r="J219" s="326"/>
      <c r="K219" s="326"/>
      <c r="L219" s="326"/>
      <c r="M219" s="328"/>
      <c r="N219" s="328"/>
      <c r="O219" s="328"/>
      <c r="P219" s="60"/>
      <c r="AD219" s="33"/>
      <c r="AE219" s="33"/>
      <c r="AG219"/>
      <c r="AH219"/>
    </row>
    <row r="220" spans="1:34" ht="20.25" customHeight="1">
      <c r="A220" s="3"/>
      <c r="B220" s="3"/>
      <c r="C220" s="3"/>
      <c r="D220" s="2"/>
      <c r="E220" s="3"/>
      <c r="F220" s="3"/>
      <c r="G220" s="3"/>
      <c r="H220" s="3"/>
      <c r="I220" s="3"/>
      <c r="J220" s="3"/>
      <c r="K220" s="3"/>
      <c r="L220" s="3"/>
      <c r="M220"/>
      <c r="N220"/>
      <c r="O220" s="33"/>
      <c r="AD220" s="33"/>
      <c r="AE220" s="33"/>
      <c r="AG220"/>
      <c r="AH220"/>
    </row>
    <row r="221" spans="1:34">
      <c r="A221" s="3" t="s">
        <v>363</v>
      </c>
      <c r="B221" s="3"/>
      <c r="C221" s="3"/>
      <c r="D221" s="2"/>
      <c r="E221" s="3"/>
      <c r="F221" s="3"/>
      <c r="G221" s="3"/>
      <c r="H221" s="3"/>
      <c r="I221" s="3"/>
      <c r="J221" s="3"/>
      <c r="K221" s="3"/>
      <c r="L221" s="3"/>
      <c r="M221"/>
      <c r="N221"/>
      <c r="O221" s="33"/>
      <c r="AD221" s="33"/>
      <c r="AE221" s="33"/>
      <c r="AG221"/>
      <c r="AH221"/>
    </row>
    <row r="222" spans="1:34" ht="4.5" customHeight="1" thickBot="1">
      <c r="A222" s="3"/>
      <c r="B222" s="3"/>
      <c r="C222" s="3"/>
      <c r="D222" s="2"/>
      <c r="E222" s="3"/>
      <c r="F222" s="3"/>
      <c r="G222" s="3"/>
      <c r="H222" s="3"/>
      <c r="I222" s="3"/>
      <c r="J222" s="3"/>
      <c r="K222" s="3"/>
      <c r="L222" s="3"/>
      <c r="M222"/>
      <c r="N222"/>
      <c r="O222" s="33"/>
      <c r="AD222" s="33"/>
      <c r="AE222" s="33"/>
      <c r="AG222"/>
      <c r="AH222"/>
    </row>
    <row r="223" spans="1:34" ht="16" hidden="1" thickBot="1">
      <c r="A223" s="245"/>
      <c r="B223" s="3"/>
      <c r="C223" s="3"/>
      <c r="D223" s="2"/>
      <c r="E223" s="3"/>
      <c r="F223" s="3"/>
      <c r="G223" s="3"/>
      <c r="H223" s="3"/>
      <c r="I223" s="3"/>
      <c r="J223" s="3"/>
      <c r="K223" s="3"/>
      <c r="L223" s="3"/>
      <c r="M223"/>
      <c r="N223"/>
      <c r="O223" s="33"/>
      <c r="AD223" s="33"/>
      <c r="AE223" s="33"/>
      <c r="AG223"/>
      <c r="AH223"/>
    </row>
    <row r="224" spans="1:34" ht="72" customHeight="1">
      <c r="A224" s="42"/>
      <c r="B224" s="655" t="s">
        <v>299</v>
      </c>
      <c r="C224" s="303" t="s">
        <v>300</v>
      </c>
      <c r="D224" s="206"/>
      <c r="E224" s="276" t="str">
        <f t="shared" ref="E224:O224" si="12">B30</f>
        <v>P1</v>
      </c>
      <c r="F224" s="276" t="str">
        <f t="shared" si="12"/>
        <v>P2</v>
      </c>
      <c r="G224" s="276" t="str">
        <f t="shared" si="12"/>
        <v>P3</v>
      </c>
      <c r="H224" s="276" t="str">
        <f t="shared" si="12"/>
        <v>P4</v>
      </c>
      <c r="I224" s="276" t="str">
        <f t="shared" si="12"/>
        <v>P5</v>
      </c>
      <c r="J224" s="276" t="str">
        <f t="shared" si="12"/>
        <v>P6</v>
      </c>
      <c r="K224" s="276" t="str">
        <f t="shared" si="12"/>
        <v>P7</v>
      </c>
      <c r="L224" s="276" t="str">
        <f t="shared" si="12"/>
        <v>P8</v>
      </c>
      <c r="M224" s="276" t="str">
        <f t="shared" si="12"/>
        <v>P9</v>
      </c>
      <c r="N224" s="276" t="str">
        <f t="shared" si="12"/>
        <v>P10</v>
      </c>
      <c r="O224" s="276" t="str">
        <f t="shared" si="12"/>
        <v>P11</v>
      </c>
      <c r="P224" s="33"/>
      <c r="Q224" s="33"/>
      <c r="AD224" s="33"/>
      <c r="AE224" s="33"/>
      <c r="AG224"/>
      <c r="AH224"/>
    </row>
    <row r="225" spans="1:34" ht="25">
      <c r="A225" s="656" t="str">
        <f>A208</f>
        <v>TCP-1: Количество зарегистрированных случаев всех форм ТБ (в т.ч. бактериологически подтвержденных и клинически диагностированных), включая новые случаи и рецидивы</v>
      </c>
      <c r="B225" s="832" t="str">
        <f>IF(ISBLANK(B208),"",(B208))</f>
        <v xml:space="preserve"> Топ 10</v>
      </c>
      <c r="C225" s="834" t="str">
        <f>IF(ISBLANK(C208),"",(C208))</f>
        <v>да</v>
      </c>
      <c r="D225" s="486" t="s">
        <v>303</v>
      </c>
      <c r="E225" s="488">
        <f t="shared" ref="E225:O225" si="13">E208</f>
        <v>3500</v>
      </c>
      <c r="F225" s="488">
        <f t="shared" si="13"/>
        <v>3475</v>
      </c>
      <c r="G225" s="488">
        <f t="shared" si="13"/>
        <v>3450</v>
      </c>
      <c r="H225" s="488">
        <f t="shared" si="13"/>
        <v>3425</v>
      </c>
      <c r="I225" s="488">
        <f t="shared" si="13"/>
        <v>3400</v>
      </c>
      <c r="J225" s="488">
        <f t="shared" si="13"/>
        <v>0</v>
      </c>
      <c r="K225" s="488">
        <f t="shared" si="13"/>
        <v>0</v>
      </c>
      <c r="L225" s="488">
        <f t="shared" si="13"/>
        <v>0</v>
      </c>
      <c r="M225" s="488">
        <f t="shared" si="13"/>
        <v>0</v>
      </c>
      <c r="N225" s="488">
        <f t="shared" si="13"/>
        <v>0</v>
      </c>
      <c r="O225" s="488">
        <f t="shared" si="13"/>
        <v>0</v>
      </c>
      <c r="P225" s="33"/>
      <c r="Q225" s="33"/>
      <c r="AD225" s="33"/>
      <c r="AE225" s="33"/>
      <c r="AG225"/>
      <c r="AH225"/>
    </row>
    <row r="226" spans="1:34">
      <c r="A226" s="657"/>
      <c r="B226" s="838"/>
      <c r="C226" s="839"/>
      <c r="D226" s="489" t="s">
        <v>368</v>
      </c>
      <c r="E226" s="488">
        <f t="shared" ref="E226:H230" si="14">E209</f>
        <v>3191</v>
      </c>
      <c r="F226" s="488">
        <f t="shared" si="14"/>
        <v>3023</v>
      </c>
      <c r="G226" s="488">
        <f t="shared" si="14"/>
        <v>3241</v>
      </c>
      <c r="H226" s="488">
        <f t="shared" si="14"/>
        <v>2965</v>
      </c>
      <c r="I226" s="488">
        <f t="shared" ref="I226:O230" si="15">I209</f>
        <v>1743</v>
      </c>
      <c r="J226" s="488">
        <f t="shared" si="15"/>
        <v>0</v>
      </c>
      <c r="K226" s="488">
        <f t="shared" si="15"/>
        <v>0</v>
      </c>
      <c r="L226" s="488">
        <f t="shared" si="15"/>
        <v>0</v>
      </c>
      <c r="M226" s="488">
        <f t="shared" si="15"/>
        <v>0</v>
      </c>
      <c r="N226" s="488">
        <f t="shared" si="15"/>
        <v>0</v>
      </c>
      <c r="O226" s="488">
        <f t="shared" si="15"/>
        <v>0</v>
      </c>
      <c r="P226" s="33"/>
      <c r="Q226" s="33"/>
      <c r="AD226" s="33"/>
      <c r="AE226" s="33"/>
      <c r="AG226"/>
      <c r="AH226"/>
    </row>
    <row r="227" spans="1:34" ht="25">
      <c r="A227" s="658" t="str">
        <f>A210</f>
        <v xml:space="preserve">MDR TB-2: Количество бактериологически подтвержденных зарегистрированных ЛУ-ТБ случаев (РУ-ТБ и/или МЛУ-ТБ)		</v>
      </c>
      <c r="B227" s="842" t="str">
        <f>IF(ISBLANK(B210),"",(B210))</f>
        <v>Топ 10</v>
      </c>
      <c r="C227" s="836" t="str">
        <f>IF(ISBLANK(C210),"",(C210))</f>
        <v>да</v>
      </c>
      <c r="D227" s="487" t="s">
        <v>303</v>
      </c>
      <c r="E227" s="490">
        <f t="shared" si="14"/>
        <v>700</v>
      </c>
      <c r="F227" s="490">
        <f>F210</f>
        <v>720</v>
      </c>
      <c r="G227" s="490">
        <f t="shared" si="14"/>
        <v>720</v>
      </c>
      <c r="H227" s="490">
        <f>H210</f>
        <v>740</v>
      </c>
      <c r="I227" s="490">
        <f t="shared" si="15"/>
        <v>740</v>
      </c>
      <c r="J227" s="490">
        <f t="shared" si="15"/>
        <v>0</v>
      </c>
      <c r="K227" s="490">
        <f t="shared" si="15"/>
        <v>0</v>
      </c>
      <c r="L227" s="490">
        <f t="shared" si="15"/>
        <v>0</v>
      </c>
      <c r="M227" s="490">
        <f t="shared" si="15"/>
        <v>0</v>
      </c>
      <c r="N227" s="490">
        <f t="shared" si="15"/>
        <v>0</v>
      </c>
      <c r="O227" s="490">
        <f t="shared" si="15"/>
        <v>0</v>
      </c>
      <c r="P227" s="33"/>
      <c r="Q227" s="33"/>
      <c r="AD227" s="33"/>
      <c r="AE227" s="33"/>
      <c r="AG227"/>
      <c r="AH227"/>
    </row>
    <row r="228" spans="1:34">
      <c r="A228" s="659"/>
      <c r="B228" s="843"/>
      <c r="C228" s="837"/>
      <c r="D228" s="487" t="s">
        <v>368</v>
      </c>
      <c r="E228" s="490">
        <f t="shared" si="14"/>
        <v>847</v>
      </c>
      <c r="F228" s="490">
        <f t="shared" si="14"/>
        <v>709</v>
      </c>
      <c r="G228" s="490">
        <f t="shared" si="14"/>
        <v>731</v>
      </c>
      <c r="H228" s="490">
        <f t="shared" si="14"/>
        <v>733</v>
      </c>
      <c r="I228" s="490">
        <f t="shared" si="15"/>
        <v>369</v>
      </c>
      <c r="J228" s="490">
        <f t="shared" si="15"/>
        <v>0</v>
      </c>
      <c r="K228" s="490">
        <f t="shared" si="15"/>
        <v>0</v>
      </c>
      <c r="L228" s="490">
        <f t="shared" si="15"/>
        <v>0</v>
      </c>
      <c r="M228" s="490">
        <f t="shared" si="15"/>
        <v>0</v>
      </c>
      <c r="N228" s="490">
        <f t="shared" si="15"/>
        <v>0</v>
      </c>
      <c r="O228" s="490">
        <f t="shared" si="15"/>
        <v>0</v>
      </c>
      <c r="P228" s="33"/>
      <c r="Q228" s="33"/>
      <c r="AD228" s="33"/>
      <c r="AE228" s="33"/>
      <c r="AG228"/>
      <c r="AH228"/>
    </row>
    <row r="229" spans="1:34" ht="58.5" customHeight="1">
      <c r="A229" s="656" t="str">
        <f>A212</f>
        <v xml:space="preserve">MDR TB-3: Количество случаев с РУ/МЛУ ТБ, начавших лечение препаратами второго ряда		</v>
      </c>
      <c r="B229" s="832" t="str">
        <f>IF(ISBLANK(B212),"",(B212))</f>
        <v xml:space="preserve"> Топ 10</v>
      </c>
      <c r="C229" s="834" t="str">
        <f>IF(ISBLANK(C212),"",(C212))</f>
        <v>да</v>
      </c>
      <c r="D229" s="491" t="s">
        <v>303</v>
      </c>
      <c r="E229" s="488">
        <f t="shared" si="14"/>
        <v>700</v>
      </c>
      <c r="F229" s="488">
        <f t="shared" si="14"/>
        <v>720</v>
      </c>
      <c r="G229" s="488">
        <f t="shared" si="14"/>
        <v>720</v>
      </c>
      <c r="H229" s="492">
        <f t="shared" si="14"/>
        <v>740</v>
      </c>
      <c r="I229" s="488">
        <f t="shared" si="15"/>
        <v>740</v>
      </c>
      <c r="J229" s="488">
        <f t="shared" si="15"/>
        <v>0</v>
      </c>
      <c r="K229" s="488">
        <f t="shared" si="15"/>
        <v>0</v>
      </c>
      <c r="L229" s="488">
        <f t="shared" si="15"/>
        <v>0</v>
      </c>
      <c r="M229" s="488">
        <f t="shared" si="15"/>
        <v>0</v>
      </c>
      <c r="N229" s="488">
        <f t="shared" si="15"/>
        <v>0</v>
      </c>
      <c r="O229" s="488">
        <f t="shared" si="15"/>
        <v>0</v>
      </c>
      <c r="P229" s="33"/>
      <c r="Q229" s="33"/>
      <c r="AD229" s="33"/>
      <c r="AE229" s="33"/>
      <c r="AG229"/>
      <c r="AH229"/>
    </row>
    <row r="230" spans="1:34" ht="15" thickBot="1">
      <c r="A230" s="657"/>
      <c r="B230" s="833"/>
      <c r="C230" s="835"/>
      <c r="D230" s="493" t="s">
        <v>368</v>
      </c>
      <c r="E230" s="494">
        <f t="shared" si="14"/>
        <v>671</v>
      </c>
      <c r="F230" s="494">
        <f t="shared" si="14"/>
        <v>674</v>
      </c>
      <c r="G230" s="494">
        <f t="shared" si="14"/>
        <v>665</v>
      </c>
      <c r="H230" s="495">
        <f t="shared" si="14"/>
        <v>606</v>
      </c>
      <c r="I230" s="488">
        <f t="shared" si="15"/>
        <v>327</v>
      </c>
      <c r="J230" s="488">
        <f t="shared" si="15"/>
        <v>0</v>
      </c>
      <c r="K230" s="488">
        <f t="shared" si="15"/>
        <v>0</v>
      </c>
      <c r="L230" s="488">
        <f t="shared" si="15"/>
        <v>0</v>
      </c>
      <c r="M230" s="488">
        <f t="shared" si="15"/>
        <v>0</v>
      </c>
      <c r="N230" s="488">
        <f t="shared" si="15"/>
        <v>0</v>
      </c>
      <c r="O230" s="488">
        <f t="shared" si="15"/>
        <v>0</v>
      </c>
      <c r="P230" s="33"/>
      <c r="Q230" s="33"/>
      <c r="AD230" s="33"/>
      <c r="AE230" s="33"/>
      <c r="AG230"/>
      <c r="AH230"/>
    </row>
    <row r="231" spans="1:34">
      <c r="A231" s="3"/>
      <c r="B231" s="3"/>
      <c r="C231" s="3"/>
      <c r="D231" s="3"/>
      <c r="E231" s="3"/>
      <c r="F231" s="3"/>
      <c r="G231" s="3"/>
      <c r="H231" s="3"/>
      <c r="I231" s="3"/>
      <c r="J231" s="3"/>
      <c r="AD231" s="33"/>
      <c r="AE231" s="33"/>
      <c r="AG231"/>
      <c r="AH231"/>
    </row>
    <row r="232" spans="1:34">
      <c r="AD232" s="33"/>
      <c r="AE232" s="33"/>
      <c r="AG232"/>
      <c r="AH232"/>
    </row>
    <row r="233" spans="1:34" ht="14.25" customHeight="1">
      <c r="AD233" s="33"/>
      <c r="AE233" s="33"/>
      <c r="AG233"/>
      <c r="AH233"/>
    </row>
    <row r="234" spans="1:34">
      <c r="AD234" s="33"/>
      <c r="AE234" s="33"/>
      <c r="AG234"/>
      <c r="AH234"/>
    </row>
    <row r="235" spans="1:34">
      <c r="K235" s="33"/>
      <c r="L235" s="33"/>
      <c r="M235"/>
      <c r="N235"/>
      <c r="AD235" s="33"/>
      <c r="AE235" s="33"/>
      <c r="AG235"/>
      <c r="AH235"/>
    </row>
    <row r="236" spans="1:34">
      <c r="K236" s="33"/>
      <c r="L236" s="33"/>
      <c r="M236"/>
      <c r="N236"/>
      <c r="AD236" s="33"/>
      <c r="AE236" s="33"/>
      <c r="AG236"/>
      <c r="AH236"/>
    </row>
    <row r="237" spans="1:34">
      <c r="K237" s="33"/>
      <c r="L237" s="33"/>
      <c r="M237"/>
      <c r="N237"/>
      <c r="AD237" s="33"/>
      <c r="AE237" s="33"/>
      <c r="AG237"/>
      <c r="AH237"/>
    </row>
    <row r="238" spans="1:34">
      <c r="K238" s="33"/>
      <c r="L238" s="33"/>
      <c r="M238"/>
      <c r="N238"/>
      <c r="AD238" s="33"/>
      <c r="AE238" s="33"/>
      <c r="AG238"/>
      <c r="AH238"/>
    </row>
  </sheetData>
  <mergeCells count="88">
    <mergeCell ref="A189:A190"/>
    <mergeCell ref="A191:A192"/>
    <mergeCell ref="B189:B190"/>
    <mergeCell ref="C189:C190"/>
    <mergeCell ref="B183:B184"/>
    <mergeCell ref="C183:C184"/>
    <mergeCell ref="B185:B186"/>
    <mergeCell ref="C185:C186"/>
    <mergeCell ref="B187:B188"/>
    <mergeCell ref="C187:C188"/>
    <mergeCell ref="B208:B209"/>
    <mergeCell ref="C208:C209"/>
    <mergeCell ref="B202:B203"/>
    <mergeCell ref="C202:C203"/>
    <mergeCell ref="C191:C192"/>
    <mergeCell ref="B196:B197"/>
    <mergeCell ref="B198:B199"/>
    <mergeCell ref="C198:C199"/>
    <mergeCell ref="B200:B201"/>
    <mergeCell ref="C200:C201"/>
    <mergeCell ref="C196:C197"/>
    <mergeCell ref="B191:B192"/>
    <mergeCell ref="A81:B81"/>
    <mergeCell ref="A82:B82"/>
    <mergeCell ref="N31:N34"/>
    <mergeCell ref="B171:B172"/>
    <mergeCell ref="C171:C172"/>
    <mergeCell ref="G122:H122"/>
    <mergeCell ref="B169:B170"/>
    <mergeCell ref="C169:C170"/>
    <mergeCell ref="A124:A143"/>
    <mergeCell ref="A144:A161"/>
    <mergeCell ref="C173:C174"/>
    <mergeCell ref="B175:B176"/>
    <mergeCell ref="C175:C176"/>
    <mergeCell ref="C179:C180"/>
    <mergeCell ref="B181:B182"/>
    <mergeCell ref="C181:C182"/>
    <mergeCell ref="B173:B174"/>
    <mergeCell ref="B177:B178"/>
    <mergeCell ref="A21:I21"/>
    <mergeCell ref="B229:B230"/>
    <mergeCell ref="C229:C230"/>
    <mergeCell ref="C227:C228"/>
    <mergeCell ref="B225:B226"/>
    <mergeCell ref="C225:C226"/>
    <mergeCell ref="C216:C217"/>
    <mergeCell ref="C218:C219"/>
    <mergeCell ref="B218:B219"/>
    <mergeCell ref="B216:B217"/>
    <mergeCell ref="B227:B228"/>
    <mergeCell ref="C210:C211"/>
    <mergeCell ref="B210:B211"/>
    <mergeCell ref="E56:H56"/>
    <mergeCell ref="C177:C178"/>
    <mergeCell ref="B179:B180"/>
    <mergeCell ref="D4:E4"/>
    <mergeCell ref="A18:B18"/>
    <mergeCell ref="D10:E10"/>
    <mergeCell ref="B12:C12"/>
    <mergeCell ref="C214:C215"/>
    <mergeCell ref="A26:B26"/>
    <mergeCell ref="A80:B80"/>
    <mergeCell ref="A69:C69"/>
    <mergeCell ref="A83:B83"/>
    <mergeCell ref="A29:M29"/>
    <mergeCell ref="A84:B84"/>
    <mergeCell ref="G16:H16"/>
    <mergeCell ref="C24:D24"/>
    <mergeCell ref="F24:G24"/>
    <mergeCell ref="H24:I24"/>
    <mergeCell ref="C18:E18"/>
    <mergeCell ref="F10:I10"/>
    <mergeCell ref="B212:B213"/>
    <mergeCell ref="C212:C213"/>
    <mergeCell ref="B214:B215"/>
    <mergeCell ref="B1:C1"/>
    <mergeCell ref="B8:C8"/>
    <mergeCell ref="A14:I14"/>
    <mergeCell ref="B6:C6"/>
    <mergeCell ref="D6:E6"/>
    <mergeCell ref="H6:I6"/>
    <mergeCell ref="H8:I8"/>
    <mergeCell ref="B10:C10"/>
    <mergeCell ref="D12:E12"/>
    <mergeCell ref="F12:I12"/>
    <mergeCell ref="A2:I2"/>
    <mergeCell ref="B4:C4"/>
  </mergeCells>
  <phoneticPr fontId="30" type="noConversion"/>
  <conditionalFormatting sqref="A34 E32:G32 A32 L33:M33">
    <cfRule type="expression" dxfId="79" priority="28" stopIfTrue="1">
      <formula>+AND(A31&gt;=#REF!,A31&lt;=#REF!)</formula>
    </cfRule>
  </conditionalFormatting>
  <conditionalFormatting sqref="L34:M34">
    <cfRule type="expression" dxfId="78" priority="29" stopIfTrue="1">
      <formula>+AND(L32&gt;=#REF!,L32&lt;=#REF!)</formula>
    </cfRule>
  </conditionalFormatting>
  <conditionalFormatting sqref="B110:M110 B30:M30">
    <cfRule type="cellIs" dxfId="77" priority="32" stopIfTrue="1" operator="equal">
      <formula>$B$16</formula>
    </cfRule>
  </conditionalFormatting>
  <conditionalFormatting sqref="B12:C12">
    <cfRule type="cellIs" dxfId="76" priority="34" stopIfTrue="1" operator="equal">
      <formula>"C"</formula>
    </cfRule>
    <cfRule type="cellIs" dxfId="75" priority="35" stopIfTrue="1" operator="equal">
      <formula>"B2"</formula>
    </cfRule>
    <cfRule type="cellIs" dxfId="74" priority="36" stopIfTrue="1" operator="equal">
      <formula>"B1"</formula>
    </cfRule>
  </conditionalFormatting>
  <conditionalFormatting sqref="E224:O224 E168:O168 G195:O195 E207:O207">
    <cfRule type="cellIs" dxfId="73" priority="43" stopIfTrue="1" operator="equal">
      <formula>$B$16</formula>
    </cfRule>
  </conditionalFormatting>
  <conditionalFormatting sqref="G33:K33">
    <cfRule type="expression" dxfId="72" priority="21" stopIfTrue="1">
      <formula>+AND(G32&gt;=#REF!,G32&lt;=#REF!)</formula>
    </cfRule>
  </conditionalFormatting>
  <conditionalFormatting sqref="G34:K34">
    <cfRule type="expression" dxfId="71" priority="20" stopIfTrue="1">
      <formula>+AND(G32&gt;=#REF!,G32&lt;=#REF!)</formula>
    </cfRule>
  </conditionalFormatting>
  <conditionalFormatting sqref="E56:H56">
    <cfRule type="expression" dxfId="70" priority="17" stopIfTrue="1">
      <formula>LEFT($E$56,3)="Все"</formula>
    </cfRule>
  </conditionalFormatting>
  <conditionalFormatting sqref="B33:C33 B31:B32">
    <cfRule type="expression" dxfId="69" priority="12" stopIfTrue="1">
      <formula>+AND(B30&gt;=#REF!,B30&lt;=#REF!)</formula>
    </cfRule>
  </conditionalFormatting>
  <conditionalFormatting sqref="B34:F34">
    <cfRule type="expression" dxfId="68" priority="13" stopIfTrue="1">
      <formula>+AND(B32&gt;=#REF!,B32&lt;=#REF!)</formula>
    </cfRule>
  </conditionalFormatting>
  <conditionalFormatting sqref="F195">
    <cfRule type="cellIs" dxfId="67" priority="6" stopIfTrue="1" operator="equal">
      <formula>$B$16</formula>
    </cfRule>
  </conditionalFormatting>
  <conditionalFormatting sqref="E195">
    <cfRule type="cellIs" dxfId="66" priority="9" stopIfTrue="1" operator="equal">
      <formula>$B$16</formula>
    </cfRule>
  </conditionalFormatting>
  <conditionalFormatting sqref="D32:D33 E33:F33">
    <cfRule type="expression" dxfId="65" priority="3" stopIfTrue="1">
      <formula>+AND(D31&gt;=#REF!,D31&lt;=#REF!)</formula>
    </cfRule>
  </conditionalFormatting>
  <dataValidations disablePrompts="1" count="9">
    <dataValidation type="list" allowBlank="1" showInputMessage="1" showErrorMessage="1" sqref="F6 IW160 SS160 ACO160 AMK160 AWG160 BGC160 BPY160 BZU160 CJQ160 CTM160 DDI160 DNE160 DXA160 EGW160 EQS160 FAO160 FKK160 FUG160 GEC160 GNY160 GXU160 HHQ160 HRM160 IBI160 ILE160 IVA160 JEW160 JOS160 JYO160 KIK160 KSG160 LCC160 LLY160 LVU160 MFQ160 MPM160 MZI160 NJE160 NTA160 OCW160 OMS160 OWO160 PGK160 PQG160 QAC160 QJY160 QTU160 RDQ160 RNM160 RXI160 SHE160 SRA160 TAW160 TKS160 TUO160 UEK160 UOG160 UYC160 VHY160 VRU160 WBQ160 WLM160 WVI160 A124" xr:uid="{00000000-0002-0000-0200-000000000000}">
      <formula1>Component</formula1>
    </dataValidation>
    <dataValidation type="list" allowBlank="1" showInputMessage="1" showErrorMessage="1" sqref="B16" xr:uid="{00000000-0002-0000-0200-000001000000}">
      <formula1>PERIOD</formula1>
    </dataValidation>
    <dataValidation type="list" allowBlank="1" showInputMessage="1" showErrorMessage="1" sqref="F10:I10" xr:uid="{00000000-0002-0000-0200-000002000000}">
      <formula1>LFA</formula1>
    </dataValidation>
    <dataValidation type="list" allowBlank="1" showInputMessage="1" showErrorMessage="1" sqref="B12:C12" xr:uid="{00000000-0002-0000-0200-000003000000}">
      <formula1>Rating</formula1>
    </dataValidation>
    <dataValidation type="list" allowBlank="1" showInputMessage="1" showErrorMessage="1" sqref="H8:I8" xr:uid="{00000000-0002-0000-0200-000004000000}">
      <formula1>Phase</formula1>
    </dataValidation>
    <dataValidation type="list" allowBlank="1" showInputMessage="1" showErrorMessage="1" sqref="F8" xr:uid="{00000000-0002-0000-0200-000005000000}">
      <formula1>Round</formula1>
    </dataValidation>
    <dataValidation type="list" allowBlank="1" showInputMessage="1" showErrorMessage="1" sqref="C26" xr:uid="{00000000-0002-0000-0200-000006000000}">
      <formula1>Currency</formula1>
    </dataValidation>
    <dataValidation type="list" allowBlank="1" showInputMessage="1" showErrorMessage="1" sqref="IX142:IX159 WVK135:WVK141 WVJ142:WVJ159 WLO135:WLO141 WLN142:WLN159 WBS135:WBS141 WBR142:WBR159 VRW135:VRW141 VRV142:VRV159 VIA135:VIA141 VHZ142:VHZ159 UYE135:UYE141 UYD142:UYD159 UOI135:UOI141 UOH142:UOH159 UEM135:UEM141 UEL142:UEL159 TUQ135:TUQ141 TUP142:TUP159 TKU135:TKU141 TKT142:TKT159 TAY135:TAY141 TAX142:TAX159 SRC135:SRC141 SRB142:SRB159 SHG135:SHG141 SHF142:SHF159 RXK135:RXK141 RXJ142:RXJ159 RNO135:RNO141 RNN142:RNN159 RDS135:RDS141 RDR142:RDR159 QTW135:QTW141 QTV142:QTV159 QKA135:QKA141 QJZ142:QJZ159 QAE135:QAE141 QAD142:QAD159 PQI135:PQI141 PQH142:PQH159 PGM135:PGM141 PGL142:PGL159 OWQ135:OWQ141 OWP142:OWP159 OMU135:OMU141 OMT142:OMT159 OCY135:OCY141 OCX142:OCX159 NTC135:NTC141 NTB142:NTB159 NJG135:NJG141 NJF142:NJF159 MZK135:MZK141 MZJ142:MZJ159 MPO135:MPO141 MPN142:MPN159 MFS135:MFS141 MFR142:MFR159 LVW135:LVW141 LVV142:LVV159 LMA135:LMA141 LLZ142:LLZ159 LCE135:LCE141 LCD142:LCD159 KSI135:KSI141 KSH142:KSH159 KIM135:KIM141 KIL142:KIL159 JYQ135:JYQ141 JYP142:JYP159 JOU135:JOU141 JOT142:JOT159 JEY135:JEY141 JEX142:JEX159 IVC135:IVC141 IVB142:IVB159 ILG135:ILG141 ILF142:ILF159 IBK135:IBK141 IBJ142:IBJ159 HRO135:HRO141 HRN142:HRN159 HHS135:HHS141 HHR142:HHR159 GXW135:GXW141 GXV142:GXV159 GOA135:GOA141 GNZ142:GNZ159 GEE135:GEE141 GED142:GED159 FUI135:FUI141 FUH142:FUH159 FKM135:FKM141 FKL142:FKL159 FAQ135:FAQ141 FAP142:FAP159 EQU135:EQU141 EQT142:EQT159 EGY135:EGY141 EGX142:EGX159 DXC135:DXC141 DXB142:DXB159 DNG135:DNG141 DNF142:DNF159 DDK135:DDK141 DDJ142:DDJ159 CTO135:CTO141 CTN142:CTN159 CJS135:CJS141 CJR142:CJR159 BZW135:BZW141 BZV142:BZV159 BQA135:BQA141 BPZ142:BPZ159 BGE135:BGE141 BGD142:BGD159 AWI135:AWI141 AWH142:AWH159 AMM135:AMM141 AML142:AML159 ACQ135:ACQ141 ACP142:ACP159 SU135:SU141 ST142:ST159 IY135:IY141 B144:B161" xr:uid="{00000000-0002-0000-0200-000007000000}">
      <formula1>мва</formula1>
    </dataValidation>
    <dataValidation type="list" allowBlank="1" showInputMessage="1" showErrorMessage="1" sqref="WVJ160:WVJ163 IX160:IX163 ST160:ST163 ACP160:ACP163 AML160:AML163 AWH160:AWH163 BGD160:BGD163 BPZ160:BPZ163 BZV160:BZV163 CJR160:CJR163 CTN160:CTN163 DDJ160:DDJ163 DNF160:DNF163 DXB160:DXB163 EGX160:EGX163 EQT160:EQT163 FAP160:FAP163 FKL160:FKL163 FUH160:FUH163 GED160:GED163 GNZ160:GNZ163 GXV160:GXV163 HHR160:HHR163 HRN160:HRN163 IBJ160:IBJ163 ILF160:ILF163 IVB160:IVB163 JEX160:JEX163 JOT160:JOT163 JYP160:JYP163 KIL160:KIL163 KSH160:KSH163 LCD160:LCD163 LLZ160:LLZ163 LVV160:LVV163 MFR160:MFR163 MPN160:MPN163 MZJ160:MZJ163 NJF160:NJF163 NTB160:NTB163 OCX160:OCX163 OMT160:OMT163 OWP160:OWP163 PGL160:PGL163 PQH160:PQH163 QAD160:QAD163 QJZ160:QJZ163 QTV160:QTV163 RDR160:RDR163 RNN160:RNN163 RXJ160:RXJ163 SHF160:SHF163 SRB160:SRB163 TAX160:TAX163 TKT160:TKT163 TUP160:TUP163 UEL160:UEL163 UOH160:UOH163 UYD160:UYD163 VHZ160:VHZ163 VRV160:VRV163 WBR160:WBR163 WLN160:WLN163 B134:B143" xr:uid="{00000000-0002-0000-0200-000008000000}">
      <formula1>Medicaments</formula1>
    </dataValidation>
  </dataValidations>
  <printOptions horizontalCentered="1"/>
  <pageMargins left="0.45866141700000002" right="0.45866141700000002" top="0.74803149606299202" bottom="0.74803149606299202" header="0.31496062992126" footer="0.31496062992126"/>
  <pageSetup paperSize="8" scale="70" orientation="landscape" r:id="rId1"/>
  <headerFooter>
    <oddFooter>&amp;L&amp;F&amp;C&amp;A&amp;RV1.0          &amp;D</oddFooter>
  </headerFooter>
  <rowBreaks count="1" manualBreakCount="1">
    <brk id="57" max="16383" man="1"/>
  </rowBreaks>
  <ignoredErrors>
    <ignoredError sqref="B225 E224:I224 J224:O224"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1"/>
  </sheetPr>
  <dimension ref="A1:X18"/>
  <sheetViews>
    <sheetView showGridLines="0" zoomScale="90" zoomScaleNormal="110" zoomScaleSheetLayoutView="100" workbookViewId="0">
      <selection activeCell="G11" sqref="G11"/>
    </sheetView>
  </sheetViews>
  <sheetFormatPr defaultColWidth="11.453125" defaultRowHeight="14.5"/>
  <cols>
    <col min="1" max="1" width="21.1796875" style="3" customWidth="1"/>
    <col min="2" max="2" width="19.54296875" style="3" customWidth="1"/>
    <col min="3" max="3" width="20.54296875" style="3" customWidth="1"/>
    <col min="4" max="4" width="20.453125" style="3" customWidth="1"/>
    <col min="5" max="5" width="10.81640625" style="3" customWidth="1"/>
    <col min="6" max="6" width="17.453125" style="3" customWidth="1"/>
    <col min="7" max="7" width="15.54296875" style="3" customWidth="1"/>
    <col min="8" max="8" width="20.1796875" style="3" bestFit="1" customWidth="1"/>
    <col min="9" max="9" width="9.453125" style="3" customWidth="1"/>
    <col min="10" max="10" width="10.26953125" style="3" customWidth="1"/>
    <col min="11" max="11" width="11.453125" style="3" customWidth="1"/>
    <col min="12" max="12" width="8.1796875" style="3" customWidth="1"/>
    <col min="13" max="13" width="9.7265625" style="3" customWidth="1"/>
    <col min="14" max="14" width="8.54296875" style="3" customWidth="1"/>
    <col min="15" max="15" width="7.1796875" style="3" customWidth="1"/>
    <col min="16" max="16384" width="11.453125" style="3"/>
  </cols>
  <sheetData>
    <row r="1" spans="1:24" ht="21" customHeight="1">
      <c r="A1" s="2"/>
      <c r="B1" s="2"/>
      <c r="C1" s="2"/>
      <c r="D1" s="2"/>
      <c r="E1" s="2"/>
      <c r="F1" s="2"/>
      <c r="G1" s="218"/>
      <c r="H1" s="2"/>
      <c r="I1" s="2"/>
      <c r="J1" s="2"/>
    </row>
    <row r="2" spans="1:24" ht="25.5" customHeight="1"/>
    <row r="3" spans="1:24" ht="36">
      <c r="B3" s="872" t="str">
        <f>+"Панель показателей: "&amp;" "&amp;+IF('Ввод данных'!B4="Выберите","",'Ввод данных'!B4&amp;" - ")&amp;+IF('Ввод данных'!F6="Выберите","",'Ввод данных'!F6)</f>
        <v>Панель показателей:  Кыргызстан - ВИЧ/СПИД/ТБ</v>
      </c>
      <c r="C3" s="872"/>
      <c r="D3" s="872"/>
      <c r="E3" s="872"/>
      <c r="F3" s="872"/>
      <c r="G3" s="872"/>
      <c r="H3" s="872"/>
      <c r="I3" s="872"/>
      <c r="J3" s="872"/>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578" t="s">
        <v>113</v>
      </c>
      <c r="B6" s="874" t="str">
        <f>+IF('Ввод данных'!B4="Выберите","",'Ввод данных'!B4)</f>
        <v>Кыргызстан</v>
      </c>
      <c r="C6" s="874"/>
      <c r="D6" s="878" t="s">
        <v>115</v>
      </c>
      <c r="E6" s="878"/>
      <c r="F6" s="879" t="str">
        <f>+'Ввод данных'!F4</f>
        <v>«Эффективный контроль за ВИЧ-инфекцией и туберкулезом в Кыргызской Республике»</v>
      </c>
      <c r="G6" s="879"/>
      <c r="H6" s="879"/>
      <c r="I6" s="879"/>
      <c r="J6" s="879"/>
      <c r="K6" s="47"/>
      <c r="L6" s="75"/>
      <c r="M6" s="47"/>
      <c r="N6" s="47"/>
      <c r="O6" s="47"/>
      <c r="P6" s="48"/>
      <c r="Q6" s="17"/>
      <c r="R6" s="17"/>
      <c r="S6" s="17"/>
      <c r="T6" s="17"/>
      <c r="U6" s="17"/>
    </row>
    <row r="7" spans="1:24" ht="8.25" customHeight="1">
      <c r="B7" s="6"/>
      <c r="C7" s="7"/>
      <c r="D7" s="7"/>
      <c r="E7" s="8"/>
      <c r="F7" s="8"/>
      <c r="G7" s="9"/>
      <c r="H7" s="9"/>
      <c r="K7" s="47"/>
      <c r="L7" s="47"/>
      <c r="M7" s="47"/>
      <c r="N7" s="47"/>
      <c r="O7" s="47"/>
      <c r="P7" s="48"/>
      <c r="Q7" s="17"/>
      <c r="R7" s="17"/>
      <c r="S7" s="17"/>
      <c r="T7" s="17"/>
      <c r="U7" s="17"/>
    </row>
    <row r="8" spans="1:24" ht="3.75" customHeight="1">
      <c r="C8" s="10"/>
      <c r="D8" s="10"/>
      <c r="E8" s="10"/>
      <c r="F8" s="10"/>
      <c r="G8" s="10"/>
      <c r="H8" s="10"/>
      <c r="I8" s="10"/>
      <c r="J8" s="10"/>
      <c r="K8" s="47"/>
      <c r="L8" s="47"/>
      <c r="M8" s="47"/>
      <c r="N8" s="47"/>
      <c r="O8" s="49"/>
      <c r="P8" s="48"/>
      <c r="Q8" s="49"/>
      <c r="R8" s="50"/>
      <c r="S8" s="17"/>
      <c r="T8" s="17"/>
      <c r="U8" s="17"/>
    </row>
    <row r="9" spans="1:24" ht="15.5">
      <c r="A9" s="577" t="s">
        <v>119</v>
      </c>
      <c r="B9" s="305" t="str">
        <f>+IF('Ввод данных'!F6="Please Select","",'Ввод данных'!F6)</f>
        <v>ВИЧ/СПИД/ТБ</v>
      </c>
      <c r="C9" s="188" t="s">
        <v>372</v>
      </c>
      <c r="D9" s="254" t="str">
        <f>+'Ввод данных'!B6</f>
        <v>KGZ-C-UNDP</v>
      </c>
      <c r="E9" s="876" t="s">
        <v>373</v>
      </c>
      <c r="F9" s="876"/>
      <c r="G9" s="255">
        <f>+IF(ISBLANK('Ввод данных'!B10),"",'Ввод данных'!B10)</f>
        <v>43282</v>
      </c>
      <c r="H9" s="316" t="s">
        <v>374</v>
      </c>
      <c r="I9" s="875">
        <f>+IF(ISBLANK('Ввод данных'!H6),"",'Ввод данных'!H6)</f>
        <v>26019855.499224864</v>
      </c>
      <c r="J9" s="875"/>
      <c r="K9" s="47"/>
      <c r="L9" s="47"/>
      <c r="M9" s="47"/>
      <c r="N9" s="47"/>
      <c r="O9" s="49"/>
      <c r="P9" s="48"/>
      <c r="Q9" s="49"/>
      <c r="R9" s="50"/>
      <c r="S9" s="17"/>
      <c r="T9" s="11"/>
      <c r="U9" s="11"/>
      <c r="V9" s="10"/>
      <c r="W9" s="10"/>
      <c r="X9" s="10"/>
    </row>
    <row r="10" spans="1:24" ht="15.75" customHeight="1">
      <c r="A10" s="577" t="s">
        <v>124</v>
      </c>
      <c r="B10" s="306">
        <f>+IF('Ввод данных'!F8="Please Select","",'Ввод данных'!F8)</f>
        <v>0</v>
      </c>
      <c r="C10" s="188" t="s">
        <v>125</v>
      </c>
      <c r="D10" s="304">
        <f>+IF('Ввод данных'!H8="Please Select","",'Ввод данных'!H8)</f>
        <v>0</v>
      </c>
      <c r="E10" s="880" t="s">
        <v>122</v>
      </c>
      <c r="F10" s="881"/>
      <c r="G10" s="873" t="str">
        <f>+'Ввод данных'!B8</f>
        <v>ПРООН</v>
      </c>
      <c r="H10" s="873"/>
      <c r="I10" s="873"/>
      <c r="J10" s="873"/>
      <c r="K10" s="51"/>
      <c r="L10" s="51"/>
      <c r="M10" s="47"/>
      <c r="N10" s="51"/>
      <c r="O10" s="49"/>
      <c r="P10" s="48"/>
      <c r="Q10" s="11"/>
      <c r="R10" s="50"/>
      <c r="S10" s="17"/>
      <c r="T10" s="11"/>
      <c r="U10" s="11"/>
    </row>
    <row r="11" spans="1:24" ht="31.5" customHeight="1">
      <c r="A11" s="577" t="s">
        <v>375</v>
      </c>
      <c r="B11" s="576" t="str">
        <f>+'Ввод данных'!B16</f>
        <v>P5</v>
      </c>
      <c r="C11" s="248" t="s">
        <v>136</v>
      </c>
      <c r="D11" s="579">
        <f>+IF(ISBLANK('Ввод данных'!D16),"",'Ввод данных'!D16)</f>
        <v>44013</v>
      </c>
      <c r="E11" s="876" t="s">
        <v>376</v>
      </c>
      <c r="F11" s="876"/>
      <c r="G11" s="579">
        <f>+IF(ISBLANK('Ввод данных'!F16),"",'Ввод данных'!F16)</f>
        <v>44196</v>
      </c>
      <c r="H11" s="315" t="s">
        <v>377</v>
      </c>
      <c r="I11" s="882" t="str">
        <f>+IF('Ввод данных'!B12="Пожалуйста Выберите","",'Ввод данных'!B12)</f>
        <v>A2</v>
      </c>
      <c r="J11" s="882"/>
      <c r="K11" s="496"/>
      <c r="L11" s="51"/>
      <c r="M11" s="47"/>
      <c r="N11" s="51"/>
      <c r="O11" s="51"/>
      <c r="P11" s="48"/>
      <c r="Q11" s="11"/>
      <c r="R11" s="50"/>
      <c r="S11" s="17"/>
      <c r="T11" s="12"/>
      <c r="U11" s="11"/>
    </row>
    <row r="12" spans="1:24" ht="31.5" customHeight="1">
      <c r="A12" s="308" t="s">
        <v>127</v>
      </c>
      <c r="B12" s="873" t="str">
        <f>+IF('Ввод данных'!F10="Пожалуйста Выберите","",'Ввод данных'!F10)</f>
        <v>UNOPS</v>
      </c>
      <c r="C12" s="873"/>
      <c r="D12" s="873"/>
      <c r="E12" s="877" t="s">
        <v>378</v>
      </c>
      <c r="F12" s="877"/>
      <c r="G12" s="873" t="str">
        <f>+'Ввод данных'!F12</f>
        <v>Алексей Бобрик</v>
      </c>
      <c r="H12" s="873"/>
      <c r="I12" s="873"/>
      <c r="J12" s="873"/>
      <c r="K12" s="51"/>
      <c r="L12" s="51"/>
      <c r="M12" s="47"/>
      <c r="N12" s="51"/>
      <c r="O12" s="17"/>
      <c r="P12" s="48"/>
      <c r="Q12" s="11"/>
      <c r="R12" s="50"/>
      <c r="S12" s="17"/>
      <c r="T12" s="11"/>
      <c r="U12" s="52"/>
      <c r="V12" s="11"/>
      <c r="W12" s="12"/>
      <c r="X12" s="11"/>
    </row>
    <row r="13" spans="1:24" ht="27.75" customHeight="1">
      <c r="A13" s="307" t="s">
        <v>379</v>
      </c>
      <c r="B13" s="873" t="str">
        <f>+'Ввод данных'!C18</f>
        <v>ПРООН</v>
      </c>
      <c r="C13" s="873"/>
      <c r="D13" s="873"/>
      <c r="E13" s="877" t="s">
        <v>380</v>
      </c>
      <c r="F13" s="877"/>
      <c r="G13" s="883">
        <f>+IF(ISBLANK('Ввод данных'!I16),"",'Ввод данных'!I16)</f>
        <v>44281</v>
      </c>
      <c r="H13" s="881"/>
      <c r="I13" s="881"/>
      <c r="J13" s="881"/>
      <c r="K13" s="17"/>
      <c r="L13" s="18"/>
      <c r="M13" s="18"/>
      <c r="N13" s="18"/>
      <c r="O13" s="17"/>
      <c r="P13" s="18"/>
      <c r="Q13" s="18"/>
      <c r="R13" s="50"/>
      <c r="S13" s="17"/>
      <c r="T13" s="18"/>
      <c r="U13" s="53"/>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197"/>
      <c r="D16" s="16"/>
      <c r="E16" s="497"/>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64" priority="1" stopIfTrue="1" operator="equal">
      <formula>"C"</formula>
    </cfRule>
    <cfRule type="cellIs" dxfId="63" priority="2" stopIfTrue="1" operator="equal">
      <formula>"B2"</formula>
    </cfRule>
    <cfRule type="cellIs" dxfId="62" priority="3" stopIfTrue="1" operator="equal">
      <formula>"B1"</formula>
    </cfRule>
  </conditionalFormatting>
  <dataValidations count="1">
    <dataValidation type="list" allowBlank="1" showInputMessage="1" showErrorMessage="1" sqref="G7" xr:uid="{00000000-0002-0000-0300-000000000000}">
      <formula1>$K$8:$K$9</formula1>
    </dataValidation>
  </dataValidations>
  <pageMargins left="0.70866141732283472" right="0.70866141732283472" top="0.74803149606299213" bottom="0.74803149606299213" header="0.31496062992125984" footer="0.31496062992125984"/>
  <pageSetup paperSize="8" scale="92"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1"/>
  </sheetPr>
  <dimension ref="A1:Q36"/>
  <sheetViews>
    <sheetView showGridLines="0" topLeftCell="A29" zoomScale="110" zoomScaleNormal="110" workbookViewId="0">
      <selection activeCell="K23" sqref="K23:M23"/>
    </sheetView>
  </sheetViews>
  <sheetFormatPr defaultColWidth="11" defaultRowHeight="14.5"/>
  <cols>
    <col min="1" max="1" width="3.81640625" customWidth="1"/>
    <col min="2" max="2" width="11.7265625" customWidth="1"/>
    <col min="3" max="3" width="5.1796875" customWidth="1"/>
    <col min="4" max="4" width="12.453125" customWidth="1"/>
    <col min="5" max="5" width="11.453125" customWidth="1"/>
    <col min="6" max="6" width="14.26953125" customWidth="1"/>
    <col min="7" max="9" width="3.81640625" customWidth="1"/>
    <col min="10" max="10" width="10.26953125" customWidth="1"/>
    <col min="11" max="11" width="14.7265625" customWidth="1"/>
    <col min="12" max="12" width="12" customWidth="1"/>
    <col min="13" max="13" width="11.7265625" customWidth="1"/>
  </cols>
  <sheetData>
    <row r="1" spans="2:17" ht="30.75" customHeight="1">
      <c r="B1" s="3"/>
      <c r="C1" s="3"/>
      <c r="D1" s="3"/>
      <c r="E1" s="3"/>
      <c r="F1" s="3"/>
      <c r="G1" s="3"/>
      <c r="H1" s="3"/>
      <c r="I1" s="3"/>
      <c r="J1" s="3"/>
      <c r="K1" s="3"/>
      <c r="L1" s="3"/>
      <c r="M1" s="3"/>
    </row>
    <row r="2" spans="2:17" ht="27.75" customHeight="1">
      <c r="B2" s="895" t="str">
        <f>+"Панель показателей:  "&amp;"  "&amp;IF(+'Ввод данных'!B4="Выберите","",'Ввод данных'!B4&amp;" - ")&amp;IF('Ввод данных'!F6="Выберите","",'Ввод данных'!F6)</f>
        <v>Панель показателей:    Кыргызстан - ВИЧ/СПИД/ТБ</v>
      </c>
      <c r="C2" s="895"/>
      <c r="D2" s="895"/>
      <c r="E2" s="895"/>
      <c r="F2" s="895"/>
      <c r="G2" s="895"/>
      <c r="H2" s="895"/>
      <c r="I2" s="895"/>
      <c r="J2" s="895"/>
      <c r="K2" s="895"/>
      <c r="L2" s="895"/>
      <c r="M2" s="895"/>
      <c r="N2" s="1"/>
      <c r="O2" s="1"/>
      <c r="P2" s="1"/>
      <c r="Q2" s="1"/>
    </row>
    <row r="3" spans="2:17">
      <c r="B3" s="309">
        <f>+IF('Ввод данных'!F8="Выберите","",'Ввод данных'!F8)</f>
        <v>0</v>
      </c>
      <c r="C3" s="900"/>
      <c r="D3" s="900"/>
      <c r="E3" s="899"/>
      <c r="F3" s="899"/>
      <c r="G3" s="899"/>
      <c r="H3" s="899"/>
      <c r="I3" s="899"/>
      <c r="J3" s="899"/>
      <c r="K3" s="897" t="str">
        <f>+'Ввод данных'!A16</f>
        <v>Отчетный период</v>
      </c>
      <c r="L3" s="897"/>
      <c r="M3" s="169" t="str">
        <f>+'Ввод данных'!B16</f>
        <v>P5</v>
      </c>
      <c r="N3" s="76"/>
    </row>
    <row r="4" spans="2:17" ht="22">
      <c r="B4" s="317" t="str">
        <f>+'Ввод данных'!A12</f>
        <v>Последняя оценка:</v>
      </c>
      <c r="C4" s="901" t="str">
        <f>+IF('Ввод данных'!B12="Выберите","",'Ввод данных'!B12)</f>
        <v>A2</v>
      </c>
      <c r="D4" s="901"/>
      <c r="E4" s="899" t="str">
        <f>+'Ввод данных'!B8</f>
        <v>ПРООН</v>
      </c>
      <c r="F4" s="899"/>
      <c r="G4" s="899"/>
      <c r="H4" s="899"/>
      <c r="I4" s="899"/>
      <c r="J4" s="899"/>
      <c r="K4" s="897" t="str">
        <f>+'Ввод данных'!C16</f>
        <v>с:</v>
      </c>
      <c r="L4" s="898"/>
      <c r="M4" s="171">
        <f>+IF(ISBLANK('Ввод данных'!D16),"",'Ввод данных'!D16)</f>
        <v>44013</v>
      </c>
    </row>
    <row r="5" spans="2:17" ht="18.75" customHeight="1">
      <c r="B5" s="580"/>
      <c r="C5" s="580"/>
      <c r="D5" s="896" t="str">
        <f>+'Ввод данных'!F4</f>
        <v>«Эффективный контроль за ВИЧ-инфекцией и туберкулезом в Кыргызской Республике»</v>
      </c>
      <c r="E5" s="896"/>
      <c r="F5" s="896"/>
      <c r="G5" s="896"/>
      <c r="H5" s="896"/>
      <c r="I5" s="896"/>
      <c r="J5" s="896"/>
      <c r="K5" s="896"/>
      <c r="L5" s="580" t="str">
        <f>+'Ввод данных'!E16</f>
        <v>до:</v>
      </c>
      <c r="M5" s="171">
        <f>+IF(ISBLANK('Ввод данных'!F16),"",'Ввод данных'!F16)</f>
        <v>44196</v>
      </c>
    </row>
    <row r="6" spans="2:17" ht="18.5">
      <c r="B6" s="110"/>
      <c r="C6" s="580"/>
      <c r="D6" s="108"/>
      <c r="E6" s="884" t="s">
        <v>381</v>
      </c>
      <c r="F6" s="884"/>
      <c r="G6" s="884"/>
      <c r="H6" s="884"/>
      <c r="I6" s="884"/>
      <c r="J6" s="884"/>
      <c r="K6" s="3"/>
      <c r="L6" s="3"/>
      <c r="M6" s="3"/>
    </row>
    <row r="7" spans="2:17" ht="10.5" customHeight="1">
      <c r="B7" s="111"/>
      <c r="C7" s="112"/>
      <c r="D7" s="113"/>
      <c r="E7" s="114"/>
      <c r="F7" s="114"/>
      <c r="G7" s="115"/>
      <c r="H7" s="115"/>
      <c r="I7" s="115"/>
      <c r="J7" s="115"/>
      <c r="K7" s="581"/>
      <c r="L7" s="581"/>
      <c r="M7" s="109"/>
    </row>
    <row r="8" spans="2:17">
      <c r="B8" s="174" t="str">
        <f>+'Ввод данных'!A27&amp; " - в ("&amp;'Ввод данных'!C26&amp;")  "&amp;+K3&amp;" "&amp;+M3</f>
        <v>F1: Бюджет и выплаты Глобальным фондом - в ($)  Отчетный период P5</v>
      </c>
      <c r="C8" s="116"/>
      <c r="D8" s="2"/>
      <c r="E8" s="2"/>
      <c r="F8" s="2"/>
      <c r="J8" s="174" t="str">
        <f>+'Ввод данных'!A58&amp; " - в ("&amp;'Ввод данных'!C26&amp;")         "&amp;+K3&amp;" "&amp;+M3</f>
        <v>F3: Выплаты и расходы - в ($)         Отчетный период P5</v>
      </c>
      <c r="K8" s="3"/>
      <c r="L8" s="3"/>
      <c r="M8" s="3"/>
    </row>
    <row r="9" spans="2:17" ht="21.75" customHeight="1">
      <c r="B9" s="257" t="s">
        <v>382</v>
      </c>
      <c r="C9" s="892" t="s">
        <v>383</v>
      </c>
      <c r="D9" s="893"/>
      <c r="E9" s="893"/>
      <c r="F9" s="894"/>
      <c r="J9" s="258" t="s">
        <v>382</v>
      </c>
      <c r="K9" s="902" t="s">
        <v>384</v>
      </c>
      <c r="L9" s="893"/>
      <c r="M9" s="894"/>
    </row>
    <row r="10" spans="2:17">
      <c r="B10" s="2"/>
      <c r="C10" s="2"/>
      <c r="D10" s="2"/>
      <c r="E10" s="2"/>
      <c r="F10" s="2"/>
      <c r="G10" s="3"/>
      <c r="H10" s="3"/>
      <c r="I10" s="3"/>
      <c r="J10" s="3"/>
      <c r="K10" s="3"/>
      <c r="L10" s="3"/>
      <c r="M10" s="3"/>
    </row>
    <row r="11" spans="2:17">
      <c r="B11" s="2"/>
      <c r="C11" s="2"/>
      <c r="D11" s="2"/>
      <c r="E11" s="2"/>
      <c r="F11" s="2"/>
      <c r="G11" s="3"/>
      <c r="H11" s="3"/>
      <c r="I11" s="3"/>
      <c r="J11" s="3"/>
      <c r="K11" s="3"/>
      <c r="L11" s="3"/>
      <c r="M11" s="3"/>
    </row>
    <row r="12" spans="2:17">
      <c r="B12" s="2"/>
      <c r="C12" s="2"/>
      <c r="D12" s="2"/>
      <c r="E12" s="2"/>
      <c r="F12" s="2"/>
      <c r="G12" s="3"/>
      <c r="H12" s="3"/>
      <c r="I12" s="3"/>
      <c r="J12" s="3"/>
      <c r="K12" s="3"/>
      <c r="L12" s="3"/>
      <c r="M12" s="3"/>
    </row>
    <row r="13" spans="2:17">
      <c r="B13" s="2"/>
      <c r="C13" s="2"/>
      <c r="D13" s="2"/>
      <c r="E13" s="2"/>
      <c r="F13" s="2"/>
      <c r="G13" s="3"/>
      <c r="H13" s="3"/>
      <c r="I13" s="3"/>
      <c r="J13" s="3"/>
      <c r="K13" s="3"/>
      <c r="L13" s="3"/>
      <c r="M13" s="3"/>
    </row>
    <row r="14" spans="2:17">
      <c r="B14" s="2"/>
      <c r="C14" s="2"/>
      <c r="D14" s="2"/>
      <c r="E14" s="2"/>
      <c r="F14" s="2"/>
      <c r="G14" s="3"/>
      <c r="H14" s="3"/>
      <c r="I14" s="3"/>
      <c r="J14" s="3"/>
      <c r="K14" s="3"/>
      <c r="L14" s="3"/>
      <c r="M14" s="3"/>
    </row>
    <row r="15" spans="2:17">
      <c r="B15" s="2"/>
      <c r="C15" s="2"/>
      <c r="D15" s="2"/>
      <c r="E15" s="2"/>
      <c r="F15" s="2"/>
      <c r="G15" s="3"/>
      <c r="H15" s="3"/>
      <c r="I15" s="3"/>
      <c r="J15" s="3"/>
      <c r="K15" s="3"/>
      <c r="L15" s="3"/>
      <c r="M15" s="3"/>
    </row>
    <row r="16" spans="2:17">
      <c r="B16" s="2"/>
      <c r="C16" s="2"/>
      <c r="D16" s="2"/>
      <c r="E16" s="2"/>
      <c r="F16" s="2"/>
      <c r="G16" s="3"/>
      <c r="H16" s="3"/>
      <c r="I16" s="3"/>
      <c r="J16" s="3"/>
      <c r="K16" s="3"/>
      <c r="L16" s="3"/>
      <c r="M16" s="3"/>
    </row>
    <row r="17" spans="1:13">
      <c r="B17" s="2"/>
      <c r="C17" s="2"/>
      <c r="D17" s="2"/>
      <c r="E17" s="2"/>
      <c r="F17" s="2"/>
      <c r="G17" s="3"/>
      <c r="H17" s="3"/>
      <c r="I17" s="3"/>
      <c r="J17" s="3"/>
      <c r="K17" s="3"/>
      <c r="L17" s="3"/>
      <c r="M17" s="3"/>
    </row>
    <row r="18" spans="1:13">
      <c r="B18" s="2"/>
      <c r="C18" s="2"/>
      <c r="D18" s="2"/>
      <c r="E18" s="2"/>
      <c r="F18" s="2"/>
      <c r="G18" s="3"/>
      <c r="H18" s="3"/>
      <c r="I18" s="3"/>
      <c r="J18" s="3"/>
      <c r="K18" s="3"/>
      <c r="L18" s="3"/>
      <c r="M18" s="3"/>
    </row>
    <row r="19" spans="1:13">
      <c r="B19" s="2"/>
      <c r="C19" s="2"/>
      <c r="D19" s="2"/>
      <c r="E19" s="2"/>
      <c r="F19" s="2"/>
      <c r="G19" s="3"/>
      <c r="H19" s="3"/>
      <c r="I19" s="3"/>
      <c r="J19" s="3"/>
      <c r="K19" s="3"/>
      <c r="L19" s="3"/>
      <c r="M19" s="3"/>
    </row>
    <row r="20" spans="1:13">
      <c r="B20" s="2"/>
      <c r="C20" s="2"/>
      <c r="D20" s="2"/>
      <c r="E20" s="2"/>
      <c r="F20" s="2"/>
      <c r="G20" s="3"/>
      <c r="H20" s="3"/>
      <c r="I20" s="3"/>
      <c r="J20" s="3"/>
      <c r="K20" s="3"/>
      <c r="L20" s="3"/>
      <c r="M20" s="3"/>
    </row>
    <row r="21" spans="1:13">
      <c r="A21" s="19"/>
      <c r="B21" s="19"/>
      <c r="C21" s="19"/>
      <c r="D21" s="19"/>
      <c r="E21" s="19"/>
      <c r="F21" s="19"/>
      <c r="G21" s="19"/>
      <c r="H21" s="19"/>
      <c r="I21" s="19"/>
      <c r="J21" s="19"/>
      <c r="K21" s="19"/>
      <c r="L21" s="19"/>
      <c r="M21" s="19"/>
    </row>
    <row r="22" spans="1:13" ht="17.25" customHeight="1">
      <c r="B22" s="175" t="str">
        <f>+'Ввод данных'!A36&amp; " - в ("&amp;'Ввод данных'!C26&amp;")  "&amp;+K3&amp;" "&amp;+M3</f>
        <v>F2: Бюджет и фактические расходы согласно задачам гранта - в ($)  Отчетный период P5</v>
      </c>
      <c r="C22" s="2"/>
      <c r="D22" s="2"/>
      <c r="E22" s="2"/>
      <c r="F22" s="2"/>
      <c r="J22" s="175" t="str">
        <f>+'Ввод данных'!A67&amp;"      "&amp;+K3&amp;" "&amp;+M3</f>
        <v>F4: Последний отчетный и платежный цикл ОР      Отчетный период P5</v>
      </c>
      <c r="L22" s="3"/>
      <c r="M22" s="3"/>
    </row>
    <row r="23" spans="1:13" ht="25.5" customHeight="1">
      <c r="B23" s="257" t="s">
        <v>382</v>
      </c>
      <c r="C23" s="902" t="s">
        <v>385</v>
      </c>
      <c r="D23" s="893"/>
      <c r="E23" s="893"/>
      <c r="F23" s="894"/>
      <c r="G23" s="269"/>
      <c r="H23" s="269"/>
      <c r="I23" s="269"/>
      <c r="J23" s="257" t="s">
        <v>382</v>
      </c>
      <c r="K23" s="902" t="s">
        <v>386</v>
      </c>
      <c r="L23" s="903"/>
      <c r="M23" s="904"/>
    </row>
    <row r="24" spans="1:13" ht="15" thickBot="1">
      <c r="B24" s="183"/>
      <c r="C24" s="183"/>
      <c r="D24" s="183"/>
      <c r="E24" s="183"/>
      <c r="F24" s="183"/>
      <c r="G24" s="183"/>
      <c r="H24" s="183"/>
      <c r="I24" s="183"/>
      <c r="J24" s="184"/>
      <c r="K24" s="184"/>
      <c r="L24" s="183"/>
      <c r="M24" s="183"/>
    </row>
    <row r="25" spans="1:13" ht="29.25" customHeight="1" thickBot="1">
      <c r="B25" s="3"/>
      <c r="C25" s="3"/>
      <c r="D25" s="3"/>
      <c r="E25" s="3"/>
      <c r="F25" s="3"/>
      <c r="G25" s="246"/>
      <c r="H25" s="246"/>
      <c r="I25" s="246"/>
      <c r="J25" s="885" t="s">
        <v>196</v>
      </c>
      <c r="K25" s="886"/>
      <c r="L25" s="886"/>
      <c r="M25" s="887"/>
    </row>
    <row r="26" spans="1:13" ht="24.5">
      <c r="B26" s="3"/>
      <c r="C26" s="3"/>
      <c r="D26" s="3"/>
      <c r="E26" s="3"/>
      <c r="F26" s="3"/>
      <c r="G26" s="227"/>
      <c r="H26" s="227"/>
      <c r="I26" s="227"/>
      <c r="J26" s="888"/>
      <c r="K26" s="889"/>
      <c r="L26" s="235" t="s">
        <v>197</v>
      </c>
      <c r="M26" s="236" t="s">
        <v>198</v>
      </c>
    </row>
    <row r="27" spans="1:13" ht="23.25" customHeight="1">
      <c r="B27" s="3"/>
      <c r="C27" s="3"/>
      <c r="D27" s="3"/>
      <c r="E27" s="3"/>
      <c r="F27" s="3"/>
      <c r="G27" s="247"/>
      <c r="H27" s="247"/>
      <c r="I27" s="247"/>
      <c r="J27" s="890" t="str">
        <f>'Ввод данных'!A71</f>
        <v xml:space="preserve">Сколько дней понадобилось для подачи ИОР/ЗПС в офис МАФ </v>
      </c>
      <c r="K27" s="891"/>
      <c r="L27" s="237">
        <f>+'Ввод данных'!C71</f>
        <v>45</v>
      </c>
      <c r="M27" s="234">
        <f>+'Ввод данных'!D71</f>
        <v>59</v>
      </c>
    </row>
    <row r="28" spans="1:13" ht="21" customHeight="1">
      <c r="B28" s="3"/>
      <c r="C28" s="3"/>
      <c r="D28" s="3"/>
      <c r="E28" s="3"/>
      <c r="F28" s="3"/>
      <c r="G28" s="247"/>
      <c r="H28" s="247"/>
      <c r="I28" s="247"/>
      <c r="J28" s="890" t="str">
        <f>'Ввод данных'!A72</f>
        <v xml:space="preserve">Спустя сколько дней ОР получил платеж </v>
      </c>
      <c r="K28" s="891"/>
      <c r="L28" s="237" t="str">
        <f>+'Ввод данных'!C72</f>
        <v>н/п</v>
      </c>
      <c r="M28" s="234" t="str">
        <f>+'Ввод данных'!D72</f>
        <v>н/п</v>
      </c>
    </row>
    <row r="29" spans="1:13" ht="21" customHeight="1" thickBot="1">
      <c r="B29" s="3"/>
      <c r="C29" s="3"/>
      <c r="D29" s="3"/>
      <c r="E29" s="3"/>
      <c r="F29" s="3"/>
      <c r="G29" s="247"/>
      <c r="H29" s="247"/>
      <c r="I29" s="247"/>
      <c r="J29" s="905" t="str">
        <f>'Ввод данных'!A73</f>
        <v>Спустя сколько дней суб-реципиенты получили платежи</v>
      </c>
      <c r="K29" s="906"/>
      <c r="L29" s="238" t="str">
        <f>+'Ввод данных'!C73</f>
        <v>н/п</v>
      </c>
      <c r="M29" s="239" t="str">
        <f>+'Ввод данных'!D73</f>
        <v>н/п</v>
      </c>
    </row>
    <row r="30" spans="1:13">
      <c r="B30" s="3"/>
      <c r="C30" s="3"/>
      <c r="D30" s="3"/>
      <c r="E30" s="3"/>
      <c r="F30" s="3"/>
      <c r="G30" s="3"/>
      <c r="H30" s="3"/>
      <c r="I30" s="3"/>
      <c r="J30" s="3"/>
      <c r="K30" s="3"/>
      <c r="L30" s="3"/>
      <c r="M30" s="3"/>
    </row>
    <row r="31" spans="1:13">
      <c r="B31" s="3"/>
      <c r="C31" s="15"/>
      <c r="D31" s="198"/>
      <c r="E31" s="3"/>
      <c r="F31" s="3"/>
      <c r="G31" s="3"/>
      <c r="H31" s="3"/>
      <c r="I31" s="3"/>
      <c r="J31" s="3"/>
      <c r="K31" s="3"/>
      <c r="L31" s="3"/>
      <c r="M31" s="3"/>
    </row>
    <row r="32" spans="1:13">
      <c r="B32" s="3"/>
      <c r="C32" s="15"/>
      <c r="D32" s="198"/>
      <c r="E32" s="3"/>
      <c r="F32" s="3"/>
      <c r="G32" s="3"/>
      <c r="H32" s="3"/>
      <c r="I32" s="3"/>
      <c r="J32" s="3"/>
      <c r="K32" s="3"/>
      <c r="L32" s="3"/>
      <c r="M32" s="3"/>
    </row>
    <row r="34" spans="2:5">
      <c r="B34" s="178" t="s">
        <v>387</v>
      </c>
      <c r="E34" s="19"/>
    </row>
    <row r="35" spans="2:5">
      <c r="B35" s="325"/>
    </row>
    <row r="36" spans="2:5">
      <c r="B36" s="178" t="s">
        <v>388</v>
      </c>
    </row>
  </sheetData>
  <sheetProtection password="CFC9" sheet="1"/>
  <mergeCells count="18">
    <mergeCell ref="J28:K28"/>
    <mergeCell ref="J29:K29"/>
    <mergeCell ref="B2:M2"/>
    <mergeCell ref="D5:K5"/>
    <mergeCell ref="K4:L4"/>
    <mergeCell ref="K3:L3"/>
    <mergeCell ref="E3:J3"/>
    <mergeCell ref="C3:D3"/>
    <mergeCell ref="C4:D4"/>
    <mergeCell ref="E4:J4"/>
    <mergeCell ref="E6:J6"/>
    <mergeCell ref="J25:M25"/>
    <mergeCell ref="J26:K26"/>
    <mergeCell ref="J27:K27"/>
    <mergeCell ref="C9:F9"/>
    <mergeCell ref="K23:M23"/>
    <mergeCell ref="C23:F23"/>
    <mergeCell ref="K9:M9"/>
  </mergeCells>
  <phoneticPr fontId="30" type="noConversion"/>
  <conditionalFormatting sqref="C4:D4">
    <cfRule type="cellIs" dxfId="61" priority="3" stopIfTrue="1" operator="equal">
      <formula>"C"</formula>
    </cfRule>
    <cfRule type="cellIs" dxfId="60" priority="4" stopIfTrue="1" operator="equal">
      <formula>"B2"</formula>
    </cfRule>
    <cfRule type="cellIs" dxfId="59" priority="5" stopIfTrue="1" operator="equal">
      <formula>"B1"</formula>
    </cfRule>
  </conditionalFormatting>
  <conditionalFormatting sqref="M27:M29">
    <cfRule type="expression" dxfId="58" priority="1" stopIfTrue="1">
      <formula>$M27&gt;$L27</formula>
    </cfRule>
    <cfRule type="expression" dxfId="57" priority="2" stopIfTrue="1">
      <formula>$M27&lt;=$L27</formula>
    </cfRule>
  </conditionalFormatting>
  <pageMargins left="0.70866141732283472" right="0.70866141732283472" top="0.74803149606299213" bottom="0.74803149606299213" header="0.31496062992125984" footer="0.31496062992125984"/>
  <pageSetup paperSize="8" scale="97" orientation="landscape"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1"/>
  </sheetPr>
  <dimension ref="A1:Q74"/>
  <sheetViews>
    <sheetView showGridLines="0" topLeftCell="G65" zoomScaleNormal="100" workbookViewId="0">
      <selection activeCell="O31" sqref="O31"/>
    </sheetView>
  </sheetViews>
  <sheetFormatPr defaultColWidth="11" defaultRowHeight="14.5"/>
  <cols>
    <col min="1" max="1" width="3.26953125" customWidth="1"/>
    <col min="2" max="2" width="12.1796875" customWidth="1"/>
    <col min="3" max="3" width="13.1796875" customWidth="1"/>
    <col min="4" max="4" width="14.26953125" customWidth="1"/>
    <col min="5" max="5" width="12.81640625" customWidth="1"/>
    <col min="6" max="7" width="17" customWidth="1"/>
    <col min="8" max="8" width="3.81640625" customWidth="1"/>
    <col min="9" max="9" width="17.81640625" customWidth="1"/>
    <col min="10" max="10" width="28.453125" customWidth="1"/>
    <col min="11" max="11" width="13.7265625" customWidth="1"/>
    <col min="12" max="12" width="13.54296875" customWidth="1"/>
    <col min="13" max="13" width="14.1796875" customWidth="1"/>
  </cols>
  <sheetData>
    <row r="1" spans="1:17" ht="28.5" customHeight="1">
      <c r="C1" s="194"/>
      <c r="E1" s="195"/>
    </row>
    <row r="2" spans="1:17" ht="27.75" customHeight="1">
      <c r="B2" s="895" t="str">
        <f>+"Панель показателей:  "&amp;"  "&amp;IF(+'Ввод данных'!B4="Выберите","",'Ввод данных'!B4&amp;" - ")&amp;IF('Ввод данных'!F6="Выберите","",'Ввод данных'!F6)</f>
        <v>Панель показателей:    Кыргызстан - ВИЧ/СПИД/ТБ</v>
      </c>
      <c r="C2" s="895"/>
      <c r="D2" s="895"/>
      <c r="E2" s="895"/>
      <c r="F2" s="895"/>
      <c r="G2" s="895"/>
      <c r="H2" s="895"/>
      <c r="I2" s="895"/>
      <c r="J2" s="895"/>
      <c r="K2" s="895"/>
      <c r="L2" s="895"/>
      <c r="M2" s="895"/>
      <c r="N2" s="24"/>
      <c r="O2" s="24"/>
      <c r="P2" s="24"/>
      <c r="Q2" s="24"/>
    </row>
    <row r="3" spans="1:17" ht="22.5" customHeight="1">
      <c r="A3" s="311"/>
      <c r="B3" s="312">
        <f>+IF('Ввод данных'!F8="Пожалуйста выберите","",'Ввод данных'!F8)</f>
        <v>0</v>
      </c>
      <c r="C3" s="914">
        <f>+IF('Ввод данных'!H8="Пожалуйста выберите","",'Ввод данных'!H8)</f>
        <v>0</v>
      </c>
      <c r="D3" s="914"/>
      <c r="E3" s="908"/>
      <c r="F3" s="908"/>
      <c r="G3" s="908"/>
      <c r="H3" s="908"/>
      <c r="I3" s="908"/>
      <c r="J3" s="908"/>
      <c r="K3" s="909" t="str">
        <f>+'Ввод данных'!A16</f>
        <v>Отчетный период</v>
      </c>
      <c r="L3" s="909"/>
      <c r="M3" s="169" t="str">
        <f>+'Ввод данных'!B16</f>
        <v>P5</v>
      </c>
    </row>
    <row r="4" spans="1:17" ht="25.5" customHeight="1">
      <c r="A4" s="311"/>
      <c r="B4" s="320" t="str">
        <f>+'Ввод данных'!A12</f>
        <v>Последняя оценка:</v>
      </c>
      <c r="C4" s="907" t="str">
        <f>+IF('Ввод данных'!B12="Выберите","",'Ввод данных'!B12)</f>
        <v>A2</v>
      </c>
      <c r="D4" s="907"/>
      <c r="E4" s="908" t="str">
        <f>+'Ввод данных'!B8</f>
        <v>ПРООН</v>
      </c>
      <c r="F4" s="908"/>
      <c r="G4" s="908"/>
      <c r="H4" s="908"/>
      <c r="I4" s="908"/>
      <c r="J4" s="908"/>
      <c r="K4" s="909" t="str">
        <f>+'Ввод данных'!C16</f>
        <v>с:</v>
      </c>
      <c r="L4" s="909"/>
      <c r="M4" s="171">
        <f>+IF(ISBLANK('Ввод данных'!D16),"",'Ввод данных'!D16)</f>
        <v>44013</v>
      </c>
    </row>
    <row r="5" spans="1:17" ht="18.75" customHeight="1">
      <c r="B5" s="583"/>
      <c r="C5" s="583"/>
      <c r="D5" s="908" t="str">
        <f>+'Ввод данных'!F4</f>
        <v>«Эффективный контроль за ВИЧ-инфекцией и туберкулезом в Кыргызской Республике»</v>
      </c>
      <c r="E5" s="908"/>
      <c r="F5" s="908"/>
      <c r="G5" s="908"/>
      <c r="H5" s="908"/>
      <c r="I5" s="908"/>
      <c r="J5" s="908"/>
      <c r="K5" s="908"/>
      <c r="L5" s="583" t="str">
        <f>+'Ввод данных'!E16</f>
        <v>до:</v>
      </c>
      <c r="M5" s="171">
        <f>+IF(ISBLANK('Ввод данных'!F16),"",'Ввод данных'!F16)</f>
        <v>44196</v>
      </c>
    </row>
    <row r="6" spans="1:17" ht="18.5">
      <c r="B6" s="22"/>
      <c r="C6" s="583"/>
      <c r="D6" s="23"/>
      <c r="E6" s="498" t="s">
        <v>389</v>
      </c>
      <c r="F6" s="498"/>
      <c r="G6" s="498"/>
      <c r="H6" s="498"/>
      <c r="I6" s="498"/>
      <c r="J6" s="498"/>
    </row>
    <row r="7" spans="1:17" ht="22.5" customHeight="1" thickBot="1">
      <c r="B7" s="912" t="str">
        <f>+'Ввод данных'!A78&amp;" "&amp;+K3&amp;"   "&amp;+M3</f>
        <v>M1: Статус Предварительных условий (ПУ) и Действий с установленным сроком исполнения (ДУС) Отчетный период   P5</v>
      </c>
      <c r="C7" s="912"/>
      <c r="D7" s="912"/>
      <c r="E7" s="912"/>
      <c r="F7" s="912"/>
      <c r="G7" s="584"/>
      <c r="I7" s="270" t="str">
        <f>+'Ввод данных'!A87&amp;"                                       "&amp;+K3&amp;"  "&amp;+M3</f>
        <v>M2: Статус ключевых руководящих должностей в структуре ОР                                       Отчетный период  P5</v>
      </c>
    </row>
    <row r="8" spans="1:17" ht="25.5" customHeight="1" thickBot="1">
      <c r="B8" s="448" t="s">
        <v>382</v>
      </c>
      <c r="C8" s="910" t="s">
        <v>390</v>
      </c>
      <c r="D8" s="910"/>
      <c r="E8" s="910"/>
      <c r="F8" s="911"/>
      <c r="G8" s="449"/>
      <c r="H8" s="450"/>
      <c r="I8" s="448" t="s">
        <v>382</v>
      </c>
      <c r="J8" s="915" t="s">
        <v>391</v>
      </c>
      <c r="K8" s="916"/>
      <c r="L8" s="916"/>
      <c r="M8" s="917"/>
    </row>
    <row r="9" spans="1:17">
      <c r="B9" s="19"/>
      <c r="C9" s="19"/>
      <c r="D9" s="19"/>
      <c r="E9" s="19"/>
      <c r="F9" s="19"/>
      <c r="G9" s="19"/>
      <c r="H9" s="19"/>
      <c r="I9" s="19"/>
    </row>
    <row r="10" spans="1:17">
      <c r="A10" s="44"/>
      <c r="B10" s="19"/>
      <c r="C10" s="19"/>
      <c r="D10" s="913"/>
      <c r="E10" s="771"/>
      <c r="F10" s="771"/>
      <c r="G10" s="566"/>
      <c r="H10" s="566"/>
      <c r="I10" s="19"/>
      <c r="O10" s="46"/>
      <c r="P10" s="46"/>
      <c r="Q10" s="45"/>
    </row>
    <row r="11" spans="1:17">
      <c r="B11" s="19"/>
      <c r="C11" s="585"/>
      <c r="D11" s="913"/>
      <c r="E11" s="585"/>
      <c r="F11" s="585"/>
      <c r="G11" s="585"/>
      <c r="H11" s="585"/>
      <c r="I11" s="585"/>
      <c r="O11" s="19"/>
      <c r="P11" s="19"/>
    </row>
    <row r="12" spans="1:17">
      <c r="B12" s="19"/>
      <c r="C12" s="585"/>
      <c r="D12" s="585"/>
      <c r="E12" s="585"/>
      <c r="F12" s="585"/>
      <c r="G12" s="585"/>
      <c r="H12" s="585"/>
      <c r="I12" s="585"/>
      <c r="O12" s="19"/>
      <c r="P12" s="19"/>
    </row>
    <row r="13" spans="1:17">
      <c r="B13" s="19"/>
      <c r="C13" s="585"/>
      <c r="D13" s="585"/>
      <c r="E13" s="585"/>
      <c r="F13" s="585"/>
      <c r="G13" s="585"/>
      <c r="H13" s="585"/>
      <c r="I13" s="585"/>
      <c r="O13" s="19"/>
      <c r="P13" s="19"/>
    </row>
    <row r="14" spans="1:17">
      <c r="B14" s="19"/>
      <c r="C14" s="585"/>
      <c r="D14" s="585"/>
      <c r="E14" s="585"/>
      <c r="F14" s="585"/>
      <c r="G14" s="585"/>
      <c r="H14" s="585"/>
      <c r="I14" s="585"/>
      <c r="O14" s="19"/>
      <c r="P14" s="19"/>
    </row>
    <row r="15" spans="1:17">
      <c r="B15" s="585"/>
      <c r="C15" s="72"/>
      <c r="D15" s="73"/>
      <c r="E15" s="73"/>
      <c r="F15" s="73"/>
      <c r="G15" s="73"/>
      <c r="H15" s="73"/>
      <c r="I15" s="74"/>
    </row>
    <row r="16" spans="1:17">
      <c r="B16" s="585"/>
      <c r="C16" s="72"/>
      <c r="D16" s="73"/>
      <c r="E16" s="73"/>
      <c r="F16" s="73"/>
      <c r="G16" s="73"/>
      <c r="H16" s="73"/>
      <c r="I16" s="74"/>
    </row>
    <row r="17" spans="2:14" ht="40.5" customHeight="1"/>
    <row r="18" spans="2:14" ht="27.75" customHeight="1" thickBot="1">
      <c r="B18" s="270" t="str">
        <f>+'Ввод данных'!A94&amp;"                                                                                                  "&amp;+K3&amp;" "&amp;+M3</f>
        <v>M3: Контрактные соглашения (СР)                                                                                                   Отчетный период P5</v>
      </c>
      <c r="I18" s="270" t="str">
        <f>+'Ввод данных'!A100&amp;"                                       "&amp;+K3&amp;" "&amp;+M3</f>
        <v>M4: Количество полных отчетов, полученных к установленному сроку                                       Отчетный период P5</v>
      </c>
    </row>
    <row r="19" spans="2:14" ht="49" customHeight="1" thickBot="1">
      <c r="B19" s="447" t="s">
        <v>382</v>
      </c>
      <c r="C19" s="925" t="s">
        <v>392</v>
      </c>
      <c r="D19" s="925"/>
      <c r="E19" s="925"/>
      <c r="F19" s="926"/>
      <c r="I19" s="447" t="s">
        <v>393</v>
      </c>
      <c r="J19" s="925" t="s">
        <v>394</v>
      </c>
      <c r="K19" s="925"/>
      <c r="L19" s="925"/>
      <c r="M19" s="926"/>
    </row>
    <row r="20" spans="2:14" ht="27.75" customHeight="1">
      <c r="B20" s="270"/>
    </row>
    <row r="21" spans="2:14" ht="27.75" customHeight="1">
      <c r="B21" s="270"/>
      <c r="I21" s="270"/>
    </row>
    <row r="22" spans="2:14" ht="27.75" customHeight="1">
      <c r="B22" s="270"/>
      <c r="I22" s="270"/>
    </row>
    <row r="23" spans="2:14" ht="27.75" customHeight="1">
      <c r="B23" s="270"/>
    </row>
    <row r="24" spans="2:14">
      <c r="B24" s="26"/>
      <c r="I24" s="27"/>
    </row>
    <row r="25" spans="2:14">
      <c r="N25" s="76"/>
    </row>
    <row r="28" spans="2:14" ht="24.75" customHeight="1">
      <c r="B28" s="927" t="str">
        <f>+'Ввод данных'!A108</f>
        <v>M5: Бюджет и закупки товаров медицинского назначения, медицинского оборудования,  лекарственных средств и фармацевтических препаратов</v>
      </c>
      <c r="C28" s="927"/>
      <c r="D28" s="927"/>
      <c r="E28" s="927"/>
      <c r="F28" s="927"/>
      <c r="I28" s="928" t="str">
        <f>+'Ввод данных'!A121&amp;"                    "&amp;+K3&amp;"  "&amp;+M3</f>
        <v>M6: Разница между текущим и резервным запасами                    Отчетный период  P5</v>
      </c>
      <c r="J28" s="928"/>
      <c r="K28" s="928"/>
      <c r="L28" s="928"/>
      <c r="M28" s="928"/>
    </row>
    <row r="29" spans="2:14" ht="196.5" customHeight="1">
      <c r="B29" s="924" t="s">
        <v>382</v>
      </c>
      <c r="C29" s="923" t="s">
        <v>395</v>
      </c>
      <c r="D29" s="923"/>
      <c r="E29" s="923"/>
      <c r="F29" s="923"/>
      <c r="G29" s="314"/>
      <c r="H29" s="271"/>
      <c r="I29" s="586" t="s">
        <v>396</v>
      </c>
      <c r="J29" s="930" t="s">
        <v>725</v>
      </c>
      <c r="K29" s="931"/>
      <c r="L29" s="931"/>
      <c r="M29" s="931"/>
    </row>
    <row r="30" spans="2:14" ht="117.75" customHeight="1" thickBot="1">
      <c r="B30" s="924"/>
      <c r="C30" s="923"/>
      <c r="D30" s="923"/>
      <c r="E30" s="923"/>
      <c r="F30" s="923"/>
      <c r="I30" s="586" t="s">
        <v>393</v>
      </c>
      <c r="J30" s="932" t="s">
        <v>702</v>
      </c>
      <c r="K30" s="932"/>
      <c r="L30" s="932"/>
      <c r="M30" s="932"/>
    </row>
    <row r="31" spans="2:14" ht="104">
      <c r="F31" s="249"/>
      <c r="G31" s="249"/>
      <c r="H31" s="249"/>
      <c r="I31" s="520" t="s">
        <v>247</v>
      </c>
      <c r="J31" s="521" t="s">
        <v>397</v>
      </c>
      <c r="K31" s="522" t="s">
        <v>398</v>
      </c>
      <c r="L31" s="522" t="s">
        <v>399</v>
      </c>
      <c r="M31" s="523" t="s">
        <v>400</v>
      </c>
    </row>
    <row r="32" spans="2:14">
      <c r="F32" s="249"/>
      <c r="G32" s="249"/>
      <c r="H32" s="249"/>
      <c r="I32" s="921" t="str">
        <f>+'Ввод данных'!A124</f>
        <v>ВИЧ / СПИД</v>
      </c>
      <c r="J32" s="503" t="s">
        <v>259</v>
      </c>
      <c r="K32" s="503">
        <v>12.1</v>
      </c>
      <c r="L32" s="503">
        <v>3</v>
      </c>
      <c r="M32" s="551">
        <f>K32-L32</f>
        <v>9.1</v>
      </c>
    </row>
    <row r="33" spans="2:13">
      <c r="F33" s="249"/>
      <c r="G33" s="249"/>
      <c r="H33" s="249"/>
      <c r="I33" s="922"/>
      <c r="J33" s="503" t="s">
        <v>260</v>
      </c>
      <c r="K33" s="503">
        <v>6.2444444444444445</v>
      </c>
      <c r="L33" s="503">
        <v>3</v>
      </c>
      <c r="M33" s="551">
        <f t="shared" ref="M33:M51" si="0">K33-L33</f>
        <v>3.2444444444444445</v>
      </c>
    </row>
    <row r="34" spans="2:13">
      <c r="F34" s="249"/>
      <c r="G34" s="249"/>
      <c r="H34" s="249"/>
      <c r="I34" s="922"/>
      <c r="J34" s="503" t="s">
        <v>261</v>
      </c>
      <c r="K34" s="503">
        <v>12.552482269503546</v>
      </c>
      <c r="L34" s="503">
        <v>3</v>
      </c>
      <c r="M34" s="551">
        <f t="shared" si="0"/>
        <v>9.5524822695035461</v>
      </c>
    </row>
    <row r="35" spans="2:13">
      <c r="F35" s="249"/>
      <c r="G35" s="249"/>
      <c r="H35" s="249"/>
      <c r="I35" s="922"/>
      <c r="J35" s="503" t="s">
        <v>262</v>
      </c>
      <c r="K35" s="503">
        <v>6.7234299516908216</v>
      </c>
      <c r="L35" s="503">
        <v>3</v>
      </c>
      <c r="M35" s="551">
        <f t="shared" si="0"/>
        <v>3.7234299516908216</v>
      </c>
    </row>
    <row r="36" spans="2:13">
      <c r="F36" s="249"/>
      <c r="G36" s="249"/>
      <c r="H36" s="249"/>
      <c r="I36" s="922"/>
      <c r="J36" s="503" t="s">
        <v>263</v>
      </c>
      <c r="K36" s="503">
        <v>1.8104761904761906</v>
      </c>
      <c r="L36" s="503">
        <v>3</v>
      </c>
      <c r="M36" s="551">
        <f t="shared" si="0"/>
        <v>-1.1895238095238094</v>
      </c>
    </row>
    <row r="37" spans="2:13">
      <c r="F37" s="249"/>
      <c r="G37" s="249"/>
      <c r="H37" s="249"/>
      <c r="I37" s="922"/>
      <c r="J37" s="503" t="s">
        <v>264</v>
      </c>
      <c r="K37" s="503">
        <v>12.11375</v>
      </c>
      <c r="L37" s="503">
        <v>3</v>
      </c>
      <c r="M37" s="551">
        <f t="shared" si="0"/>
        <v>9.1137499999999996</v>
      </c>
    </row>
    <row r="38" spans="2:13">
      <c r="F38" s="249"/>
      <c r="G38" s="249"/>
      <c r="H38" s="249"/>
      <c r="I38" s="922"/>
      <c r="J38" s="503" t="s">
        <v>265</v>
      </c>
      <c r="K38" s="503">
        <v>12.028571428571428</v>
      </c>
      <c r="L38" s="503">
        <v>3</v>
      </c>
      <c r="M38" s="551">
        <f t="shared" si="0"/>
        <v>9.0285714285714285</v>
      </c>
    </row>
    <row r="39" spans="2:13">
      <c r="B39" s="929" t="str">
        <f>+'Ввод данных'!A118</f>
        <v>* Включает только категории 4 и 5 ПФО (товары медицинского назначения и медицинское оборудование, лекарственные средства и фармацевтические препараты)</v>
      </c>
      <c r="C39" s="929"/>
      <c r="D39" s="929"/>
      <c r="E39" s="929"/>
      <c r="F39" s="249"/>
      <c r="G39" s="249"/>
      <c r="H39" s="249"/>
      <c r="I39" s="922"/>
      <c r="J39" s="503" t="s">
        <v>266</v>
      </c>
      <c r="K39" s="503">
        <v>0</v>
      </c>
      <c r="L39" s="503">
        <v>3</v>
      </c>
      <c r="M39" s="551">
        <f t="shared" si="0"/>
        <v>-3</v>
      </c>
    </row>
    <row r="40" spans="2:13">
      <c r="F40" s="249"/>
      <c r="G40" s="249"/>
      <c r="H40" s="249"/>
      <c r="I40" s="922"/>
      <c r="J40" s="503" t="s">
        <v>267</v>
      </c>
      <c r="K40" s="503">
        <v>9.1837121212121211</v>
      </c>
      <c r="L40" s="503">
        <v>3</v>
      </c>
      <c r="M40" s="551">
        <f t="shared" si="0"/>
        <v>6.1837121212121211</v>
      </c>
    </row>
    <row r="41" spans="2:13">
      <c r="F41" s="249"/>
      <c r="G41" s="249"/>
      <c r="H41" s="249"/>
      <c r="I41" s="922"/>
      <c r="J41" s="503" t="s">
        <v>268</v>
      </c>
      <c r="K41" s="503">
        <v>6.5315315315315319</v>
      </c>
      <c r="L41" s="503">
        <v>3</v>
      </c>
      <c r="M41" s="551">
        <f t="shared" si="0"/>
        <v>3.5315315315315319</v>
      </c>
    </row>
    <row r="42" spans="2:13">
      <c r="F42" s="249"/>
      <c r="G42" s="249"/>
      <c r="H42" s="249"/>
      <c r="I42" s="922"/>
      <c r="J42" s="503" t="s">
        <v>269</v>
      </c>
      <c r="K42" s="503">
        <v>7.2987012987012987</v>
      </c>
      <c r="L42" s="503">
        <v>3</v>
      </c>
      <c r="M42" s="551">
        <f t="shared" si="0"/>
        <v>4.2987012987012987</v>
      </c>
    </row>
    <row r="43" spans="2:13" ht="15" customHeight="1">
      <c r="F43" s="249"/>
      <c r="G43" s="249"/>
      <c r="H43" s="249"/>
      <c r="I43" s="922"/>
      <c r="J43" s="503" t="s">
        <v>270</v>
      </c>
      <c r="K43" s="503">
        <v>9.5046296296296298</v>
      </c>
      <c r="L43" s="503">
        <v>3</v>
      </c>
      <c r="M43" s="551">
        <f t="shared" si="0"/>
        <v>6.5046296296296298</v>
      </c>
    </row>
    <row r="44" spans="2:13">
      <c r="F44" s="249"/>
      <c r="G44" s="249"/>
      <c r="H44" s="249"/>
      <c r="I44" s="922"/>
      <c r="J44" s="503" t="s">
        <v>271</v>
      </c>
      <c r="K44" s="503">
        <v>2.2604166666666665</v>
      </c>
      <c r="L44" s="503">
        <v>3</v>
      </c>
      <c r="M44" s="551">
        <f t="shared" si="0"/>
        <v>-0.73958333333333348</v>
      </c>
    </row>
    <row r="45" spans="2:13">
      <c r="F45" s="249"/>
      <c r="G45" s="249"/>
      <c r="H45" s="249"/>
      <c r="I45" s="922"/>
      <c r="J45" s="503" t="s">
        <v>272</v>
      </c>
      <c r="K45" s="503">
        <v>1.8333333333333333</v>
      </c>
      <c r="L45" s="503">
        <v>3</v>
      </c>
      <c r="M45" s="551">
        <f t="shared" si="0"/>
        <v>-1.1666666666666667</v>
      </c>
    </row>
    <row r="46" spans="2:13">
      <c r="F46" s="249"/>
      <c r="G46" s="249"/>
      <c r="H46" s="249"/>
      <c r="I46" s="922"/>
      <c r="J46" s="503" t="s">
        <v>273</v>
      </c>
      <c r="K46" s="503">
        <v>14.375</v>
      </c>
      <c r="L46" s="503">
        <v>3</v>
      </c>
      <c r="M46" s="551">
        <f t="shared" si="0"/>
        <v>11.375</v>
      </c>
    </row>
    <row r="47" spans="2:13">
      <c r="F47" s="249"/>
      <c r="G47" s="249"/>
      <c r="H47" s="249"/>
      <c r="I47" s="922"/>
      <c r="J47" s="503" t="s">
        <v>274</v>
      </c>
      <c r="K47" s="503">
        <v>15.888888888888889</v>
      </c>
      <c r="L47" s="503">
        <v>3</v>
      </c>
      <c r="M47" s="551">
        <f t="shared" si="0"/>
        <v>12.888888888888889</v>
      </c>
    </row>
    <row r="48" spans="2:13">
      <c r="F48" s="249"/>
      <c r="G48" s="249"/>
      <c r="H48" s="249"/>
      <c r="I48" s="922"/>
      <c r="J48" s="503" t="s">
        <v>275</v>
      </c>
      <c r="K48" s="503">
        <v>16.037634408602152</v>
      </c>
      <c r="L48" s="503">
        <v>3</v>
      </c>
      <c r="M48" s="551">
        <f t="shared" si="0"/>
        <v>13.037634408602152</v>
      </c>
    </row>
    <row r="49" spans="2:13">
      <c r="F49" s="249"/>
      <c r="G49" s="249"/>
      <c r="H49" s="249"/>
      <c r="I49" s="922"/>
      <c r="J49" s="503" t="s">
        <v>276</v>
      </c>
      <c r="K49" s="503">
        <v>6.1428571428571432</v>
      </c>
      <c r="L49" s="503">
        <v>3</v>
      </c>
      <c r="M49" s="551">
        <f t="shared" si="0"/>
        <v>3.1428571428571432</v>
      </c>
    </row>
    <row r="50" spans="2:13">
      <c r="F50" s="249"/>
      <c r="G50" s="249"/>
      <c r="H50" s="249"/>
      <c r="I50" s="922"/>
      <c r="J50" s="503" t="s">
        <v>277</v>
      </c>
      <c r="K50" s="503">
        <v>3.5381154584976242</v>
      </c>
      <c r="L50" s="503">
        <v>3</v>
      </c>
      <c r="M50" s="551">
        <f>K50-L50</f>
        <v>0.53811545849762421</v>
      </c>
    </row>
    <row r="51" spans="2:13">
      <c r="F51" s="249"/>
      <c r="G51" s="249"/>
      <c r="H51" s="249"/>
      <c r="I51" s="922"/>
      <c r="J51" s="503" t="s">
        <v>401</v>
      </c>
      <c r="K51" s="503">
        <v>18.327131782945738</v>
      </c>
      <c r="L51" s="503">
        <v>3</v>
      </c>
      <c r="M51" s="551">
        <f t="shared" si="0"/>
        <v>15.327131782945738</v>
      </c>
    </row>
    <row r="52" spans="2:13">
      <c r="F52" s="249"/>
      <c r="G52" s="249"/>
      <c r="H52" s="249"/>
      <c r="I52" s="922"/>
      <c r="J52" s="503" t="s">
        <v>402</v>
      </c>
      <c r="K52" s="503">
        <f>40/3.5</f>
        <v>11.428571428571429</v>
      </c>
      <c r="L52" s="503">
        <v>3</v>
      </c>
      <c r="M52" s="504">
        <f t="shared" ref="M52" si="1">K52-L52</f>
        <v>8.4285714285714288</v>
      </c>
    </row>
    <row r="53" spans="2:13">
      <c r="F53" s="249"/>
      <c r="G53" s="249"/>
      <c r="H53" s="249"/>
      <c r="I53" s="922"/>
      <c r="J53" s="505" t="s">
        <v>403</v>
      </c>
      <c r="K53" s="518">
        <f>15*100/388</f>
        <v>3.865979381443299</v>
      </c>
      <c r="L53" s="550">
        <v>3</v>
      </c>
      <c r="M53" s="551">
        <f>K53-L53</f>
        <v>0.865979381443299</v>
      </c>
    </row>
    <row r="54" spans="2:13">
      <c r="F54" s="249"/>
      <c r="G54" s="249"/>
      <c r="H54" s="249"/>
      <c r="I54" s="922"/>
      <c r="J54" s="505" t="s">
        <v>404</v>
      </c>
      <c r="K54" s="518">
        <f>(2670+72)/551</f>
        <v>4.976406533575318</v>
      </c>
      <c r="L54" s="550">
        <v>3</v>
      </c>
      <c r="M54" s="551">
        <f>K54-L54</f>
        <v>1.976406533575318</v>
      </c>
    </row>
    <row r="55" spans="2:13" ht="26.5">
      <c r="F55" s="249"/>
      <c r="G55" s="249"/>
      <c r="H55" s="249"/>
      <c r="I55" s="922"/>
      <c r="J55" s="519" t="s">
        <v>405</v>
      </c>
      <c r="K55" s="516">
        <f>52300/2617</f>
        <v>19.984715322888803</v>
      </c>
      <c r="L55" s="516">
        <v>3</v>
      </c>
      <c r="M55" s="517">
        <f>K55-L55</f>
        <v>16.984715322888803</v>
      </c>
    </row>
    <row r="56" spans="2:13">
      <c r="F56" s="19"/>
      <c r="G56" s="19"/>
      <c r="H56" s="19"/>
      <c r="I56" s="918">
        <f>+'Ввод данных'!A142</f>
        <v>0</v>
      </c>
      <c r="J56" s="538" t="s">
        <v>279</v>
      </c>
      <c r="K56" s="647">
        <v>1</v>
      </c>
      <c r="L56" s="648">
        <v>3</v>
      </c>
      <c r="M56" s="649">
        <f>K56-L56</f>
        <v>-2</v>
      </c>
    </row>
    <row r="57" spans="2:13">
      <c r="F57" s="19"/>
      <c r="G57" s="19"/>
      <c r="H57" s="19"/>
      <c r="I57" s="919"/>
      <c r="J57" s="539" t="s">
        <v>280</v>
      </c>
      <c r="K57" s="647">
        <v>2</v>
      </c>
      <c r="L57" s="648">
        <v>3</v>
      </c>
      <c r="M57" s="649">
        <f t="shared" ref="M57:M73" si="2">K57-L57</f>
        <v>-1</v>
      </c>
    </row>
    <row r="58" spans="2:13">
      <c r="F58" s="19"/>
      <c r="G58" s="19"/>
      <c r="H58" s="19"/>
      <c r="I58" s="919"/>
      <c r="J58" s="539" t="s">
        <v>281</v>
      </c>
      <c r="K58" s="647">
        <v>2</v>
      </c>
      <c r="L58" s="648">
        <v>3</v>
      </c>
      <c r="M58" s="649">
        <f t="shared" si="2"/>
        <v>-1</v>
      </c>
    </row>
    <row r="59" spans="2:13">
      <c r="B59" s="587"/>
      <c r="C59" s="587"/>
      <c r="D59" s="587"/>
      <c r="E59" s="587"/>
      <c r="F59" s="19"/>
      <c r="G59" s="19"/>
      <c r="H59" s="19"/>
      <c r="I59" s="919"/>
      <c r="J59" s="539" t="s">
        <v>282</v>
      </c>
      <c r="K59" s="647">
        <v>10</v>
      </c>
      <c r="L59" s="648">
        <v>3</v>
      </c>
      <c r="M59" s="649">
        <f t="shared" si="2"/>
        <v>7</v>
      </c>
    </row>
    <row r="60" spans="2:13">
      <c r="F60" s="19"/>
      <c r="G60" s="19"/>
      <c r="H60" s="19"/>
      <c r="I60" s="919"/>
      <c r="J60" s="539" t="s">
        <v>283</v>
      </c>
      <c r="K60" s="647">
        <v>27</v>
      </c>
      <c r="L60" s="648">
        <v>3</v>
      </c>
      <c r="M60" s="649">
        <f t="shared" si="2"/>
        <v>24</v>
      </c>
    </row>
    <row r="61" spans="2:13">
      <c r="F61" s="19"/>
      <c r="G61" s="19"/>
      <c r="H61" s="19"/>
      <c r="I61" s="919"/>
      <c r="J61" s="539" t="s">
        <v>284</v>
      </c>
      <c r="K61" s="647">
        <v>13</v>
      </c>
      <c r="L61" s="648">
        <v>3</v>
      </c>
      <c r="M61" s="649">
        <f t="shared" si="2"/>
        <v>10</v>
      </c>
    </row>
    <row r="62" spans="2:13">
      <c r="F62" s="19"/>
      <c r="G62" s="19"/>
      <c r="H62" s="19"/>
      <c r="I62" s="919"/>
      <c r="J62" s="539" t="s">
        <v>285</v>
      </c>
      <c r="K62" s="647">
        <v>25</v>
      </c>
      <c r="L62" s="648">
        <v>3</v>
      </c>
      <c r="M62" s="649">
        <f t="shared" si="2"/>
        <v>22</v>
      </c>
    </row>
    <row r="63" spans="2:13">
      <c r="F63" s="19"/>
      <c r="G63" s="19"/>
      <c r="H63" s="19"/>
      <c r="I63" s="919"/>
      <c r="J63" s="539" t="s">
        <v>286</v>
      </c>
      <c r="K63" s="647">
        <v>18</v>
      </c>
      <c r="L63" s="648">
        <v>3</v>
      </c>
      <c r="M63" s="649">
        <f t="shared" si="2"/>
        <v>15</v>
      </c>
    </row>
    <row r="64" spans="2:13">
      <c r="F64" s="19"/>
      <c r="G64" s="19"/>
      <c r="H64" s="19"/>
      <c r="I64" s="919"/>
      <c r="J64" s="539" t="s">
        <v>287</v>
      </c>
      <c r="K64" s="647">
        <v>48</v>
      </c>
      <c r="L64" s="648">
        <v>3</v>
      </c>
      <c r="M64" s="649">
        <f t="shared" si="2"/>
        <v>45</v>
      </c>
    </row>
    <row r="65" spans="6:13">
      <c r="F65" s="19"/>
      <c r="G65" s="19"/>
      <c r="H65" s="19"/>
      <c r="I65" s="919"/>
      <c r="J65" s="539" t="s">
        <v>288</v>
      </c>
      <c r="K65" s="647">
        <v>13</v>
      </c>
      <c r="L65" s="648">
        <v>3</v>
      </c>
      <c r="M65" s="649">
        <f t="shared" si="2"/>
        <v>10</v>
      </c>
    </row>
    <row r="66" spans="6:13">
      <c r="F66" s="19"/>
      <c r="G66" s="19"/>
      <c r="H66" s="19"/>
      <c r="I66" s="919"/>
      <c r="J66" s="539" t="s">
        <v>289</v>
      </c>
      <c r="K66" s="647">
        <v>20</v>
      </c>
      <c r="L66" s="648">
        <v>3</v>
      </c>
      <c r="M66" s="649">
        <f t="shared" si="2"/>
        <v>17</v>
      </c>
    </row>
    <row r="67" spans="6:13">
      <c r="F67" s="19"/>
      <c r="G67" s="19"/>
      <c r="H67" s="19"/>
      <c r="I67" s="919"/>
      <c r="J67" s="539" t="s">
        <v>290</v>
      </c>
      <c r="K67" s="647">
        <v>2</v>
      </c>
      <c r="L67" s="648">
        <v>3</v>
      </c>
      <c r="M67" s="649">
        <f t="shared" si="2"/>
        <v>-1</v>
      </c>
    </row>
    <row r="68" spans="6:13">
      <c r="F68" s="19"/>
      <c r="G68" s="19"/>
      <c r="H68" s="19"/>
      <c r="I68" s="919"/>
      <c r="J68" s="539" t="s">
        <v>291</v>
      </c>
      <c r="K68" s="647">
        <v>24</v>
      </c>
      <c r="L68" s="648">
        <v>3</v>
      </c>
      <c r="M68" s="649">
        <f t="shared" si="2"/>
        <v>21</v>
      </c>
    </row>
    <row r="69" spans="6:13">
      <c r="F69" s="19"/>
      <c r="G69" s="19"/>
      <c r="H69" s="19"/>
      <c r="I69" s="919"/>
      <c r="J69" s="539" t="s">
        <v>292</v>
      </c>
      <c r="K69" s="647">
        <v>24</v>
      </c>
      <c r="L69" s="648">
        <v>3</v>
      </c>
      <c r="M69" s="649">
        <f t="shared" si="2"/>
        <v>21</v>
      </c>
    </row>
    <row r="70" spans="6:13">
      <c r="I70" s="919"/>
      <c r="J70" s="539" t="s">
        <v>293</v>
      </c>
      <c r="K70" s="647">
        <v>12</v>
      </c>
      <c r="L70" s="648">
        <v>3</v>
      </c>
      <c r="M70" s="649">
        <f t="shared" si="2"/>
        <v>9</v>
      </c>
    </row>
    <row r="71" spans="6:13">
      <c r="I71" s="919"/>
      <c r="J71" s="539" t="s">
        <v>294</v>
      </c>
      <c r="K71" s="647">
        <v>32</v>
      </c>
      <c r="L71" s="648">
        <v>3</v>
      </c>
      <c r="M71" s="649">
        <f t="shared" si="2"/>
        <v>29</v>
      </c>
    </row>
    <row r="72" spans="6:13">
      <c r="I72" s="919"/>
      <c r="J72" s="539" t="s">
        <v>295</v>
      </c>
      <c r="K72" s="650">
        <v>27</v>
      </c>
      <c r="L72" s="651">
        <v>3</v>
      </c>
      <c r="M72" s="649">
        <f t="shared" si="2"/>
        <v>24</v>
      </c>
    </row>
    <row r="73" spans="6:13">
      <c r="I73" s="919"/>
      <c r="J73" s="539" t="s">
        <v>296</v>
      </c>
      <c r="K73" s="652">
        <v>48</v>
      </c>
      <c r="L73" s="653">
        <v>3</v>
      </c>
      <c r="M73" s="649">
        <f t="shared" si="2"/>
        <v>45</v>
      </c>
    </row>
    <row r="74" spans="6:13">
      <c r="I74" s="920"/>
      <c r="J74" s="540" t="s">
        <v>406</v>
      </c>
      <c r="K74" s="541">
        <v>11</v>
      </c>
      <c r="L74" s="541">
        <v>3</v>
      </c>
      <c r="M74" s="649">
        <f>K74-L74</f>
        <v>8</v>
      </c>
    </row>
  </sheetData>
  <mergeCells count="24">
    <mergeCell ref="I56:I74"/>
    <mergeCell ref="I32:I55"/>
    <mergeCell ref="C29:F30"/>
    <mergeCell ref="B29:B30"/>
    <mergeCell ref="J19:M19"/>
    <mergeCell ref="B28:F28"/>
    <mergeCell ref="I28:M28"/>
    <mergeCell ref="B39:E39"/>
    <mergeCell ref="J29:M29"/>
    <mergeCell ref="J30:M30"/>
    <mergeCell ref="C19:F19"/>
    <mergeCell ref="B2:M2"/>
    <mergeCell ref="C4:D4"/>
    <mergeCell ref="E3:J3"/>
    <mergeCell ref="K3:L3"/>
    <mergeCell ref="E10:F10"/>
    <mergeCell ref="C8:F8"/>
    <mergeCell ref="B7:F7"/>
    <mergeCell ref="D10:D11"/>
    <mergeCell ref="C3:D3"/>
    <mergeCell ref="E4:J4"/>
    <mergeCell ref="K4:L4"/>
    <mergeCell ref="J8:M8"/>
    <mergeCell ref="D5:K5"/>
  </mergeCells>
  <phoneticPr fontId="30" type="noConversion"/>
  <conditionalFormatting sqref="D15:D16">
    <cfRule type="cellIs" dxfId="56" priority="1" stopIfTrue="1" operator="greaterThan">
      <formula>0</formula>
    </cfRule>
  </conditionalFormatting>
  <conditionalFormatting sqref="E15:E16">
    <cfRule type="cellIs" dxfId="55" priority="2" stopIfTrue="1" operator="greaterThan">
      <formula>0</formula>
    </cfRule>
  </conditionalFormatting>
  <conditionalFormatting sqref="F15:H16">
    <cfRule type="cellIs" dxfId="54" priority="3" stopIfTrue="1" operator="greaterThan">
      <formula>0</formula>
    </cfRule>
  </conditionalFormatting>
  <conditionalFormatting sqref="C4:D4">
    <cfRule type="cellIs" dxfId="53" priority="4" stopIfTrue="1" operator="equal">
      <formula>"C"</formula>
    </cfRule>
    <cfRule type="cellIs" dxfId="52" priority="5" stopIfTrue="1" operator="equal">
      <formula>"B2"</formula>
    </cfRule>
    <cfRule type="cellIs" dxfId="51" priority="6" stopIfTrue="1" operator="equal">
      <formula>"B1"</formula>
    </cfRule>
  </conditionalFormatting>
  <dataValidations count="2">
    <dataValidation type="list" allowBlank="1" showInputMessage="1" showErrorMessage="1" sqref="J56:J73" xr:uid="{173D2DE5-5CC1-4D2E-8A90-3B545477ECCC}">
      <formula1>мва</formula1>
    </dataValidation>
    <dataValidation type="list" allowBlank="1" showInputMessage="1" showErrorMessage="1" sqref="J42:J51" xr:uid="{00000000-0002-0000-0500-000001000000}">
      <formula1>Medicaments</formula1>
    </dataValidation>
  </dataValidations>
  <pageMargins left="0.70866141732283472" right="0.70866141732283472" top="0.74803149606299213" bottom="0.74803149606299213" header="0.31496062992125984" footer="0.31496062992125984"/>
  <pageSetup paperSize="8" scale="83" orientation="landscape" r:id="rId1"/>
  <headerFooter alignWithMargins="0">
    <oddFooter>&amp;L&amp;F&amp;C&amp;A&amp;RV1.0          &amp;D</oddFooter>
  </headerFooter>
  <colBreaks count="1" manualBreakCount="1">
    <brk id="13"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1"/>
  </sheetPr>
  <dimension ref="A1:AI72"/>
  <sheetViews>
    <sheetView showGridLines="0" topLeftCell="A47" zoomScale="70" zoomScaleNormal="70" workbookViewId="0">
      <selection activeCell="G22" sqref="G22:K22"/>
    </sheetView>
  </sheetViews>
  <sheetFormatPr defaultColWidth="11" defaultRowHeight="14.5"/>
  <cols>
    <col min="1" max="1" width="3.453125" customWidth="1"/>
    <col min="2" max="2" width="11.26953125" customWidth="1"/>
    <col min="3" max="3" width="16.1796875" customWidth="1"/>
    <col min="4" max="4" width="26.1796875" customWidth="1"/>
    <col min="5" max="5" width="14.453125" customWidth="1"/>
    <col min="6" max="6" width="20.7265625" customWidth="1"/>
    <col min="7" max="7" width="5.7265625" customWidth="1"/>
    <col min="8" max="8" width="6.26953125" customWidth="1"/>
    <col min="9" max="9" width="6" customWidth="1"/>
    <col min="10" max="10" width="5.54296875" customWidth="1"/>
    <col min="11" max="11" width="21.54296875" customWidth="1"/>
    <col min="12" max="12" width="12" customWidth="1"/>
    <col min="13" max="13" width="5" customWidth="1"/>
    <col min="14" max="14" width="6.54296875" customWidth="1"/>
    <col min="15" max="15" width="4.1796875" customWidth="1"/>
    <col min="16" max="16" width="10.7265625" customWidth="1"/>
    <col min="17" max="17" width="54.26953125" customWidth="1"/>
    <col min="18" max="18" width="87.26953125" customWidth="1"/>
    <col min="19" max="19" width="21.453125" customWidth="1"/>
  </cols>
  <sheetData>
    <row r="1" spans="1:35" ht="26.25" customHeight="1">
      <c r="A1" s="3"/>
      <c r="B1" s="3"/>
      <c r="C1" s="3"/>
      <c r="D1" s="3"/>
      <c r="E1" s="3"/>
      <c r="F1" s="3"/>
      <c r="G1" s="3"/>
      <c r="H1" s="3"/>
      <c r="I1" s="3"/>
      <c r="J1" s="3"/>
      <c r="K1" s="3"/>
      <c r="L1" s="3"/>
      <c r="M1" s="3"/>
      <c r="N1" s="3"/>
      <c r="O1" s="3"/>
      <c r="P1" s="3"/>
    </row>
    <row r="2" spans="1:35" ht="21.75" customHeight="1">
      <c r="A2" s="3"/>
      <c r="B2" s="1023" t="str">
        <f>+"Панель показателей:  "&amp;"  "&amp;IF(+'Ввод данных'!B4="Выберите","",'Ввод данных'!B4&amp;" - ")&amp;IF('Ввод данных'!F6="Выберите","",'Ввод данных'!F6)</f>
        <v>Панель показателей:    Кыргызстан - ВИЧ/СПИД/ТБ</v>
      </c>
      <c r="C2" s="1023"/>
      <c r="D2" s="1023"/>
      <c r="E2" s="1023"/>
      <c r="F2" s="1023"/>
      <c r="G2" s="1023"/>
      <c r="H2" s="1023"/>
      <c r="I2" s="1023"/>
      <c r="J2" s="1023"/>
      <c r="K2" s="1023"/>
      <c r="L2" s="1023"/>
      <c r="M2" s="1023"/>
      <c r="N2" s="1023"/>
      <c r="O2" s="1023"/>
      <c r="P2" s="1023"/>
      <c r="Q2" s="1023"/>
    </row>
    <row r="3" spans="1:35" ht="18.5">
      <c r="A3" s="3"/>
      <c r="B3" s="580">
        <f>+IF('Ввод данных'!F8="Выберите","",'Ввод данных'!F8)</f>
        <v>0</v>
      </c>
      <c r="C3" s="900">
        <f>+IF('Ввод данных'!H8="Выберите","",'Ввод данных'!H8)</f>
        <v>0</v>
      </c>
      <c r="D3" s="900"/>
      <c r="E3" s="899"/>
      <c r="F3" s="899"/>
      <c r="G3" s="899"/>
      <c r="H3" s="899"/>
      <c r="I3" s="1024"/>
      <c r="J3" s="1024"/>
      <c r="K3" s="1024"/>
      <c r="L3" s="3"/>
      <c r="M3" s="3"/>
      <c r="O3" s="897" t="str">
        <f>+'Ввод данных'!A16</f>
        <v>Отчетный период</v>
      </c>
      <c r="P3" s="897"/>
      <c r="Q3" s="170" t="str">
        <f>+'Ввод данных'!B16</f>
        <v>P5</v>
      </c>
    </row>
    <row r="4" spans="1:35" ht="22">
      <c r="A4" s="3"/>
      <c r="B4" s="321" t="str">
        <f>+'Ввод данных'!A12</f>
        <v>Последняя оценка:</v>
      </c>
      <c r="C4" s="1025" t="str">
        <f>+IF('Ввод данных'!B12="Выберите","",'Ввод данных'!B12)</f>
        <v>A2</v>
      </c>
      <c r="D4" s="1025"/>
      <c r="E4" s="899" t="str">
        <f>+'Ввод данных'!B8</f>
        <v>ПРООН</v>
      </c>
      <c r="F4" s="899"/>
      <c r="G4" s="899"/>
      <c r="H4" s="899"/>
      <c r="I4" s="899"/>
      <c r="J4" s="899"/>
      <c r="K4" s="899"/>
      <c r="L4" s="899"/>
      <c r="M4" s="3"/>
      <c r="O4" s="250"/>
      <c r="P4" s="580" t="str">
        <f>+'Ввод данных'!C16</f>
        <v>с:</v>
      </c>
      <c r="Q4" s="251">
        <f>+IF(ISBLANK('Ввод данных'!D16),"",'Ввод данных'!D16)</f>
        <v>44013</v>
      </c>
      <c r="Y4" s="67"/>
      <c r="Z4" s="67"/>
      <c r="AA4" s="67"/>
      <c r="AB4" s="67"/>
      <c r="AC4" s="67"/>
    </row>
    <row r="5" spans="1:35" ht="15.75" customHeight="1">
      <c r="A5" s="3"/>
      <c r="B5" s="580"/>
      <c r="C5" s="580"/>
      <c r="D5" s="899" t="str">
        <f>+'Ввод данных'!F4</f>
        <v>«Эффективный контроль за ВИЧ-инфекцией и туберкулезом в Кыргызской Республике»</v>
      </c>
      <c r="E5" s="899"/>
      <c r="F5" s="899"/>
      <c r="G5" s="899"/>
      <c r="H5" s="899"/>
      <c r="I5" s="899"/>
      <c r="J5" s="899"/>
      <c r="K5" s="899"/>
      <c r="L5" s="899"/>
      <c r="M5" s="899"/>
      <c r="N5" s="899"/>
      <c r="P5" s="580" t="str">
        <f>+'Ввод данных'!E16</f>
        <v>до:</v>
      </c>
      <c r="Q5" s="251">
        <f>+IF(ISBLANK('Ввод данных'!F16),"",'Ввод данных'!F16)</f>
        <v>44196</v>
      </c>
      <c r="S5" s="189"/>
      <c r="T5" s="189"/>
      <c r="U5" s="189"/>
      <c r="V5" s="189"/>
      <c r="W5" s="189"/>
      <c r="X5" s="189"/>
      <c r="Y5" s="67"/>
      <c r="Z5" s="67"/>
      <c r="AA5" s="67" t="s">
        <v>407</v>
      </c>
      <c r="AB5" s="67"/>
      <c r="AC5" s="67" t="s">
        <v>408</v>
      </c>
      <c r="AD5" s="189"/>
      <c r="AE5" s="189"/>
      <c r="AF5" s="189"/>
      <c r="AG5" s="189"/>
      <c r="AH5" s="189"/>
      <c r="AI5" s="189"/>
    </row>
    <row r="6" spans="1:35" ht="15.75" customHeight="1">
      <c r="A6" s="3"/>
      <c r="B6" s="580"/>
      <c r="C6" s="580"/>
      <c r="D6" s="582"/>
      <c r="E6" s="946" t="s">
        <v>409</v>
      </c>
      <c r="F6" s="947"/>
      <c r="G6" s="947"/>
      <c r="H6" s="947"/>
      <c r="I6" s="947"/>
      <c r="J6" s="947"/>
      <c r="K6" s="947"/>
      <c r="L6" s="947"/>
      <c r="M6" s="3"/>
      <c r="N6" s="3"/>
      <c r="O6" s="172"/>
      <c r="P6" s="408"/>
      <c r="S6" s="189"/>
      <c r="T6" s="189"/>
      <c r="U6" s="189"/>
      <c r="V6" s="189"/>
      <c r="W6" s="189"/>
      <c r="X6" s="189"/>
      <c r="Y6" s="67"/>
      <c r="Z6" s="67"/>
      <c r="AA6" s="67"/>
      <c r="AB6" s="67"/>
      <c r="AC6" s="67"/>
      <c r="AD6" s="189"/>
      <c r="AE6" s="189"/>
      <c r="AF6" s="189"/>
      <c r="AG6" s="189"/>
      <c r="AH6" s="189"/>
      <c r="AI6" s="189"/>
    </row>
    <row r="7" spans="1:35" ht="3" customHeight="1">
      <c r="A7" s="3"/>
      <c r="B7" s="580"/>
      <c r="C7" s="580"/>
      <c r="D7" s="582"/>
      <c r="E7" s="582"/>
      <c r="F7" s="582"/>
      <c r="G7" s="582"/>
      <c r="H7" s="582"/>
      <c r="I7" s="582"/>
      <c r="J7" s="582"/>
      <c r="K7" s="582"/>
      <c r="L7" s="582"/>
      <c r="M7" s="3"/>
      <c r="N7" s="3"/>
      <c r="O7" s="172"/>
      <c r="P7" s="171"/>
      <c r="Q7" s="171"/>
      <c r="S7" s="189"/>
      <c r="T7" s="189"/>
      <c r="U7" s="189"/>
      <c r="V7" s="189"/>
      <c r="W7" s="189"/>
      <c r="X7" s="189"/>
      <c r="Y7" s="67"/>
      <c r="Z7" s="67"/>
      <c r="AA7" s="67"/>
      <c r="AB7" s="67"/>
      <c r="AC7" s="67"/>
      <c r="AD7" s="189"/>
      <c r="AE7" s="189"/>
      <c r="AF7" s="189"/>
      <c r="AG7" s="189"/>
      <c r="AH7" s="189"/>
      <c r="AI7" s="189"/>
    </row>
    <row r="8" spans="1:35" ht="30.75" customHeight="1" thickBot="1">
      <c r="A8" s="3"/>
      <c r="B8" s="1026" t="s">
        <v>410</v>
      </c>
      <c r="C8" s="1026"/>
      <c r="D8" s="1026"/>
      <c r="E8" s="1026"/>
      <c r="F8" s="1026" t="s">
        <v>45</v>
      </c>
      <c r="G8" s="1026"/>
      <c r="H8" s="1026"/>
      <c r="I8" s="1026"/>
      <c r="J8" s="1026"/>
      <c r="K8" s="1026"/>
      <c r="L8" s="1026" t="s">
        <v>305</v>
      </c>
      <c r="M8" s="1026"/>
      <c r="N8" s="1026"/>
      <c r="O8" s="1026"/>
      <c r="P8" s="1026"/>
      <c r="Q8" s="1026"/>
      <c r="S8" s="189"/>
      <c r="T8" s="189"/>
      <c r="U8" s="189"/>
      <c r="V8" s="189"/>
      <c r="W8" s="189"/>
      <c r="X8" s="189"/>
      <c r="Y8" s="67"/>
      <c r="Z8" s="67"/>
      <c r="AA8" s="67"/>
      <c r="AB8" s="67"/>
      <c r="AC8" s="67"/>
      <c r="AD8" s="189"/>
      <c r="AE8" s="189"/>
      <c r="AF8" s="189"/>
      <c r="AG8" s="189"/>
      <c r="AH8" s="189"/>
      <c r="AI8" s="189"/>
    </row>
    <row r="9" spans="1:35" ht="91.5" customHeight="1" thickBot="1">
      <c r="A9" s="3"/>
      <c r="B9" s="451" t="s">
        <v>411</v>
      </c>
      <c r="C9" s="1027" t="s">
        <v>726</v>
      </c>
      <c r="D9" s="1028"/>
      <c r="E9" s="1028"/>
      <c r="F9" s="452" t="s">
        <v>411</v>
      </c>
      <c r="G9" s="1027" t="s">
        <v>723</v>
      </c>
      <c r="H9" s="1028"/>
      <c r="I9" s="1028"/>
      <c r="J9" s="1028"/>
      <c r="K9" s="1029"/>
      <c r="L9" s="452" t="s">
        <v>411</v>
      </c>
      <c r="M9" s="1027" t="s">
        <v>724</v>
      </c>
      <c r="N9" s="1028"/>
      <c r="O9" s="1028"/>
      <c r="P9" s="1028"/>
      <c r="Q9" s="1029"/>
      <c r="S9" s="453"/>
      <c r="T9" s="189"/>
      <c r="U9" s="189"/>
      <c r="V9" s="189"/>
      <c r="W9" s="189"/>
      <c r="X9" s="189"/>
      <c r="Y9" s="189"/>
      <c r="Z9" s="189"/>
      <c r="AA9" s="189"/>
      <c r="AB9" s="189"/>
      <c r="AC9" s="189"/>
      <c r="AD9" s="189"/>
      <c r="AE9" s="189"/>
      <c r="AF9" s="189"/>
      <c r="AG9" s="189"/>
      <c r="AH9" s="189"/>
      <c r="AI9" s="189"/>
    </row>
    <row r="10" spans="1:35" ht="18.75" customHeight="1">
      <c r="A10" s="3"/>
      <c r="B10" s="580"/>
      <c r="C10" s="580"/>
      <c r="D10" s="582"/>
      <c r="E10" s="582"/>
      <c r="F10" s="582"/>
      <c r="G10" s="582"/>
      <c r="H10" s="582"/>
      <c r="I10" s="582"/>
      <c r="J10" s="582"/>
      <c r="K10" s="582"/>
      <c r="L10" s="582"/>
      <c r="M10" s="3"/>
      <c r="N10" s="3"/>
      <c r="O10" s="172"/>
      <c r="P10" s="171"/>
      <c r="S10" s="189"/>
      <c r="T10" s="189"/>
      <c r="U10" s="189"/>
      <c r="V10" s="189"/>
      <c r="W10" s="189"/>
      <c r="X10" s="189"/>
      <c r="Y10" s="189"/>
      <c r="Z10" s="189"/>
      <c r="AA10" s="189"/>
      <c r="AB10" s="189"/>
      <c r="AC10" s="189"/>
      <c r="AD10" s="189"/>
      <c r="AE10" s="189"/>
      <c r="AF10" s="189"/>
      <c r="AG10" s="189"/>
      <c r="AH10" s="189"/>
      <c r="AI10" s="189"/>
    </row>
    <row r="11" spans="1:35" ht="18.75" customHeight="1">
      <c r="A11" s="3"/>
      <c r="B11" s="580"/>
      <c r="C11" s="580"/>
      <c r="D11" s="582"/>
      <c r="E11" s="582"/>
      <c r="F11" s="582"/>
      <c r="G11" s="582"/>
      <c r="H11" s="582"/>
      <c r="I11" s="582"/>
      <c r="J11" s="582"/>
      <c r="K11" s="582"/>
      <c r="L11" s="582"/>
      <c r="M11" s="3"/>
      <c r="N11" s="3"/>
      <c r="O11" s="172"/>
      <c r="P11" s="171"/>
      <c r="S11" s="189"/>
      <c r="T11" s="189"/>
      <c r="U11" s="189"/>
      <c r="V11" s="189"/>
      <c r="W11" s="189"/>
      <c r="X11" s="189"/>
      <c r="Y11" s="189"/>
      <c r="Z11" s="189"/>
      <c r="AA11" s="189"/>
      <c r="AB11" s="189"/>
      <c r="AC11" s="189"/>
      <c r="AD11" s="189"/>
      <c r="AE11" s="189"/>
      <c r="AF11" s="189"/>
      <c r="AG11" s="189"/>
      <c r="AH11" s="189"/>
      <c r="AI11" s="189"/>
    </row>
    <row r="12" spans="1:35" ht="18.75" customHeight="1">
      <c r="A12" s="3"/>
      <c r="B12" s="580"/>
      <c r="C12" s="580"/>
      <c r="D12" s="582"/>
      <c r="E12" s="582"/>
      <c r="F12" s="582"/>
      <c r="G12" s="582"/>
      <c r="H12" s="582"/>
      <c r="I12" s="582"/>
      <c r="J12" s="582"/>
      <c r="K12" s="582"/>
      <c r="L12" s="582"/>
      <c r="M12" s="3"/>
      <c r="N12" s="3"/>
      <c r="O12" s="172"/>
      <c r="P12" s="171"/>
      <c r="S12" s="189"/>
      <c r="T12" s="189"/>
      <c r="U12" s="189"/>
      <c r="V12" s="189"/>
      <c r="W12" s="189"/>
      <c r="X12" s="189"/>
      <c r="Y12" s="189"/>
      <c r="Z12" s="189"/>
      <c r="AA12" s="189"/>
      <c r="AB12" s="189"/>
      <c r="AC12" s="189"/>
      <c r="AD12" s="189"/>
      <c r="AE12" s="189"/>
      <c r="AF12" s="189"/>
      <c r="AG12" s="189"/>
      <c r="AH12" s="189"/>
      <c r="AI12" s="189"/>
    </row>
    <row r="13" spans="1:35" ht="18.75" customHeight="1">
      <c r="A13" s="3"/>
      <c r="B13" s="580"/>
      <c r="C13" s="580"/>
      <c r="D13" s="582"/>
      <c r="E13" s="582"/>
      <c r="F13" s="582"/>
      <c r="G13" s="582"/>
      <c r="H13" s="582"/>
      <c r="I13" s="582"/>
      <c r="J13" s="582"/>
      <c r="K13" s="582"/>
      <c r="L13" s="582"/>
      <c r="M13" s="3"/>
      <c r="N13" s="3"/>
      <c r="O13" s="172"/>
      <c r="P13" s="171"/>
      <c r="S13" s="189"/>
      <c r="T13" s="189"/>
      <c r="U13" s="189"/>
      <c r="V13" s="189"/>
      <c r="W13" s="189"/>
      <c r="X13" s="189"/>
      <c r="Y13" s="189"/>
      <c r="Z13" s="189"/>
      <c r="AA13" s="189"/>
      <c r="AB13" s="189"/>
      <c r="AC13" s="189"/>
      <c r="AD13" s="189"/>
      <c r="AE13" s="189"/>
      <c r="AF13" s="189"/>
      <c r="AG13" s="189"/>
      <c r="AH13" s="189"/>
      <c r="AI13" s="189"/>
    </row>
    <row r="14" spans="1:35" ht="18.75" customHeight="1">
      <c r="A14" s="3"/>
      <c r="B14" s="580"/>
      <c r="C14" s="580"/>
      <c r="D14" s="582"/>
      <c r="E14" s="582"/>
      <c r="F14" s="582"/>
      <c r="G14" s="582"/>
      <c r="H14" s="582"/>
      <c r="I14" s="582"/>
      <c r="J14" s="582"/>
      <c r="K14" s="582"/>
      <c r="L14" s="582"/>
      <c r="M14" s="3"/>
      <c r="N14" s="3"/>
      <c r="O14" s="172"/>
      <c r="P14" s="171"/>
      <c r="S14" s="189"/>
      <c r="T14" s="189"/>
      <c r="U14" s="189"/>
      <c r="V14" s="189"/>
      <c r="W14" s="189"/>
      <c r="X14" s="189"/>
      <c r="Y14" s="189"/>
      <c r="Z14" s="189"/>
      <c r="AA14" s="189"/>
      <c r="AB14" s="189"/>
      <c r="AC14" s="189"/>
      <c r="AD14" s="189"/>
      <c r="AE14" s="189"/>
      <c r="AF14" s="189"/>
      <c r="AG14" s="189"/>
      <c r="AH14" s="189"/>
      <c r="AI14" s="189"/>
    </row>
    <row r="15" spans="1:35" ht="18.75" customHeight="1">
      <c r="A15" s="3"/>
      <c r="B15" s="580"/>
      <c r="C15" s="580"/>
      <c r="D15" s="582"/>
      <c r="E15" s="582"/>
      <c r="F15" s="582"/>
      <c r="G15" s="582"/>
      <c r="H15" s="582"/>
      <c r="I15" s="582"/>
      <c r="J15" s="582"/>
      <c r="K15" s="582"/>
      <c r="L15" s="582"/>
      <c r="M15" s="3"/>
      <c r="N15" s="3"/>
      <c r="O15" s="172"/>
      <c r="P15" s="171"/>
      <c r="S15" s="189"/>
      <c r="T15" s="189"/>
      <c r="U15" s="189"/>
      <c r="V15" s="189"/>
      <c r="W15" s="189"/>
      <c r="X15" s="189"/>
      <c r="Y15" s="189"/>
      <c r="Z15" s="189"/>
      <c r="AA15" s="189"/>
      <c r="AB15" s="189"/>
      <c r="AC15" s="189"/>
      <c r="AD15" s="189"/>
      <c r="AE15" s="189"/>
      <c r="AF15" s="189"/>
      <c r="AG15" s="189"/>
      <c r="AH15" s="189"/>
      <c r="AI15" s="189"/>
    </row>
    <row r="16" spans="1:35" ht="18.75" customHeight="1">
      <c r="A16" s="3"/>
      <c r="B16" s="580"/>
      <c r="C16" s="580"/>
      <c r="D16" s="582"/>
      <c r="E16" s="582"/>
      <c r="F16" s="582"/>
      <c r="G16" s="582"/>
      <c r="H16" s="582"/>
      <c r="I16" s="582"/>
      <c r="J16" s="582"/>
      <c r="K16" s="582"/>
      <c r="L16" s="582"/>
      <c r="M16" s="3"/>
      <c r="N16" s="3"/>
      <c r="O16" s="172"/>
      <c r="P16" s="171"/>
      <c r="S16" s="189"/>
      <c r="T16" s="189"/>
      <c r="U16" s="189"/>
      <c r="V16" s="189"/>
      <c r="W16" s="189"/>
      <c r="X16" s="189"/>
      <c r="Y16" s="189"/>
      <c r="Z16" s="189"/>
      <c r="AA16" s="189"/>
      <c r="AB16" s="189"/>
      <c r="AC16" s="189"/>
      <c r="AD16" s="189"/>
      <c r="AE16" s="189"/>
      <c r="AF16" s="189"/>
      <c r="AG16" s="189"/>
      <c r="AH16" s="189"/>
      <c r="AI16" s="189"/>
    </row>
    <row r="17" spans="1:35" ht="18.75" customHeight="1">
      <c r="A17" s="3"/>
      <c r="B17" s="580"/>
      <c r="C17" s="580"/>
      <c r="D17" s="582"/>
      <c r="E17" s="582"/>
      <c r="F17" s="582"/>
      <c r="G17" s="582"/>
      <c r="H17" s="582"/>
      <c r="I17" s="582"/>
      <c r="J17" s="582"/>
      <c r="K17" s="582"/>
      <c r="L17" s="582"/>
      <c r="M17" s="3"/>
      <c r="N17" s="3"/>
      <c r="O17" s="172"/>
      <c r="P17" s="171"/>
      <c r="S17" s="189"/>
      <c r="T17" s="189"/>
      <c r="U17" s="189"/>
      <c r="V17" s="189"/>
      <c r="W17" s="189"/>
      <c r="X17" s="189"/>
      <c r="Y17" s="189"/>
      <c r="Z17" s="189"/>
      <c r="AA17" s="189"/>
      <c r="AB17" s="189"/>
      <c r="AC17" s="189"/>
      <c r="AD17" s="189"/>
      <c r="AE17" s="189"/>
      <c r="AF17" s="189"/>
      <c r="AG17" s="189"/>
      <c r="AH17" s="189"/>
      <c r="AI17" s="189"/>
    </row>
    <row r="18" spans="1:35" ht="18.75" customHeight="1">
      <c r="A18" s="3"/>
      <c r="B18" s="580"/>
      <c r="C18" s="580"/>
      <c r="D18" s="582"/>
      <c r="E18" s="582"/>
      <c r="F18" s="582"/>
      <c r="G18" s="582"/>
      <c r="H18" s="582"/>
      <c r="I18" s="582"/>
      <c r="J18" s="582"/>
      <c r="K18" s="582"/>
      <c r="L18" s="582"/>
      <c r="M18" s="3"/>
      <c r="N18" s="3"/>
      <c r="O18" s="172"/>
      <c r="P18" s="171"/>
      <c r="S18" s="189"/>
      <c r="T18" s="189"/>
      <c r="U18" s="189"/>
      <c r="V18" s="189"/>
      <c r="W18" s="189"/>
      <c r="X18" s="189"/>
      <c r="Y18" s="189"/>
      <c r="Z18" s="189"/>
      <c r="AA18" s="189"/>
      <c r="AB18" s="189"/>
      <c r="AC18" s="189"/>
      <c r="AD18" s="189"/>
      <c r="AE18" s="189"/>
      <c r="AF18" s="189"/>
      <c r="AG18" s="189"/>
      <c r="AH18" s="189"/>
      <c r="AI18" s="189"/>
    </row>
    <row r="19" spans="1:35" ht="17.25" customHeight="1">
      <c r="A19" s="3"/>
      <c r="B19" s="580"/>
      <c r="C19" s="580"/>
      <c r="D19" s="582"/>
      <c r="E19" s="582"/>
      <c r="F19" s="582"/>
      <c r="G19" s="582"/>
      <c r="H19" s="582"/>
      <c r="I19" s="582"/>
      <c r="J19" s="582"/>
      <c r="K19" s="582"/>
      <c r="L19" s="582"/>
      <c r="M19" s="3"/>
      <c r="N19" s="3"/>
      <c r="O19" s="172"/>
      <c r="P19" s="171"/>
      <c r="S19" s="189"/>
      <c r="T19" s="189"/>
      <c r="U19" s="189"/>
      <c r="V19" s="189"/>
      <c r="W19" s="189"/>
      <c r="X19" s="189"/>
      <c r="Y19" s="189"/>
      <c r="Z19" s="189"/>
      <c r="AA19" s="189"/>
      <c r="AB19" s="189"/>
      <c r="AC19" s="189"/>
      <c r="AD19" s="189"/>
      <c r="AE19" s="189"/>
      <c r="AF19" s="189"/>
      <c r="AG19" s="189"/>
      <c r="AH19" s="189"/>
      <c r="AI19" s="189"/>
    </row>
    <row r="20" spans="1:35" ht="6" customHeight="1">
      <c r="A20" s="3"/>
      <c r="B20" s="110"/>
      <c r="C20" s="580"/>
      <c r="D20" s="108"/>
      <c r="E20" s="974"/>
      <c r="F20" s="974"/>
      <c r="G20" s="974"/>
      <c r="H20" s="974"/>
      <c r="I20" s="974"/>
      <c r="J20" s="974"/>
      <c r="K20" s="974"/>
      <c r="L20" s="3"/>
      <c r="M20" s="3"/>
      <c r="N20" s="3"/>
      <c r="O20" s="3"/>
      <c r="P20" s="3"/>
      <c r="S20" s="189"/>
      <c r="T20" s="189"/>
      <c r="U20" s="189"/>
      <c r="V20" s="189"/>
      <c r="W20" s="189"/>
      <c r="X20" s="189"/>
      <c r="Y20" s="189"/>
      <c r="Z20" s="189"/>
      <c r="AA20" s="189"/>
      <c r="AB20" s="189"/>
      <c r="AC20" s="189"/>
      <c r="AD20" s="189"/>
      <c r="AE20" s="189"/>
      <c r="AF20" s="189"/>
      <c r="AG20" s="189"/>
      <c r="AH20" s="189"/>
      <c r="AI20" s="189"/>
    </row>
    <row r="21" spans="1:35" ht="45" customHeight="1">
      <c r="A21" s="3"/>
      <c r="B21" s="1030" t="s">
        <v>412</v>
      </c>
      <c r="C21" s="1030"/>
      <c r="D21" s="1030"/>
      <c r="E21" s="590" t="s">
        <v>303</v>
      </c>
      <c r="F21" s="590" t="s">
        <v>368</v>
      </c>
      <c r="G21" s="1016" t="s">
        <v>413</v>
      </c>
      <c r="H21" s="1017"/>
      <c r="I21" s="957" t="s">
        <v>414</v>
      </c>
      <c r="J21" s="958"/>
      <c r="K21" s="409" t="s">
        <v>415</v>
      </c>
      <c r="L21" s="949" t="s">
        <v>416</v>
      </c>
      <c r="M21" s="950"/>
      <c r="N21" s="950"/>
      <c r="O21" s="950"/>
      <c r="P21" s="950"/>
      <c r="Q21" s="951"/>
      <c r="S21" s="61" t="s">
        <v>417</v>
      </c>
      <c r="T21" s="62">
        <v>0</v>
      </c>
      <c r="U21" s="63">
        <v>0.3</v>
      </c>
      <c r="V21" s="63">
        <v>0.6</v>
      </c>
      <c r="W21" s="63">
        <v>0.9</v>
      </c>
      <c r="X21" s="63">
        <v>1</v>
      </c>
      <c r="Y21" s="67"/>
      <c r="Z21" s="67"/>
      <c r="AA21" s="61" t="s">
        <v>417</v>
      </c>
      <c r="AB21" s="62">
        <v>0</v>
      </c>
      <c r="AC21" s="63">
        <v>0.2</v>
      </c>
      <c r="AD21" s="63">
        <v>0.4</v>
      </c>
      <c r="AE21" s="63">
        <v>0.6</v>
      </c>
      <c r="AF21" s="63">
        <v>0.8</v>
      </c>
      <c r="AG21" s="67"/>
      <c r="AH21" s="67"/>
      <c r="AI21" s="67"/>
    </row>
    <row r="22" spans="1:35" ht="97.5" customHeight="1">
      <c r="A22" s="3"/>
      <c r="B22" s="959" t="s">
        <v>410</v>
      </c>
      <c r="C22" s="960"/>
      <c r="D22" s="961"/>
      <c r="E22" s="454" t="s">
        <v>685</v>
      </c>
      <c r="F22" s="454" t="s">
        <v>686</v>
      </c>
      <c r="G22" s="962">
        <v>0.89</v>
      </c>
      <c r="H22" s="963"/>
      <c r="I22" s="963"/>
      <c r="J22" s="963"/>
      <c r="K22" s="964"/>
      <c r="L22" s="944" t="s">
        <v>687</v>
      </c>
      <c r="M22" s="945"/>
      <c r="N22" s="945"/>
      <c r="O22" s="945"/>
      <c r="P22" s="945"/>
      <c r="Q22" s="945"/>
      <c r="S22" s="61" t="s">
        <v>418</v>
      </c>
      <c r="T22" s="64">
        <v>0.3</v>
      </c>
      <c r="U22" s="63">
        <v>0.6</v>
      </c>
      <c r="V22" s="63">
        <v>0.9</v>
      </c>
      <c r="W22" s="63">
        <v>1</v>
      </c>
      <c r="X22" s="63">
        <v>2</v>
      </c>
      <c r="Y22" s="67"/>
      <c r="Z22" s="67"/>
      <c r="AA22" s="61" t="s">
        <v>418</v>
      </c>
      <c r="AB22" s="64">
        <v>0.2</v>
      </c>
      <c r="AC22" s="63">
        <v>0.4</v>
      </c>
      <c r="AD22" s="63">
        <v>0.6</v>
      </c>
      <c r="AE22" s="63">
        <v>0.8</v>
      </c>
      <c r="AF22" s="63">
        <v>1</v>
      </c>
      <c r="AG22" s="67"/>
      <c r="AH22" s="67"/>
      <c r="AI22" s="67"/>
    </row>
    <row r="23" spans="1:35" ht="239.25" customHeight="1">
      <c r="A23" s="3"/>
      <c r="B23" s="965" t="s">
        <v>45</v>
      </c>
      <c r="C23" s="965"/>
      <c r="D23" s="965"/>
      <c r="E23" s="604" t="s">
        <v>691</v>
      </c>
      <c r="F23" s="604" t="s">
        <v>695</v>
      </c>
      <c r="G23" s="941">
        <v>0.55000000000000004</v>
      </c>
      <c r="H23" s="942"/>
      <c r="I23" s="942"/>
      <c r="J23" s="942"/>
      <c r="K23" s="943"/>
      <c r="L23" s="936" t="s">
        <v>727</v>
      </c>
      <c r="M23" s="937"/>
      <c r="N23" s="937"/>
      <c r="O23" s="937"/>
      <c r="P23" s="937"/>
      <c r="Q23" s="937"/>
      <c r="S23" s="65"/>
      <c r="T23" s="66" t="str">
        <f>"de "&amp;T21&amp;" a "&amp;T22</f>
        <v>de 0 a 0.3</v>
      </c>
      <c r="U23" s="66" t="str">
        <f>"de "&amp;U21&amp;" a "&amp;U22</f>
        <v>de 0.3 a 0.6</v>
      </c>
      <c r="V23" s="66" t="str">
        <f>"de "&amp;V21&amp;" a "&amp;V22</f>
        <v>de 0.6 a 0.9</v>
      </c>
      <c r="W23" s="66" t="str">
        <f>"de "&amp;W21&amp;" a "&amp;W22</f>
        <v>de 0.9 a 1</v>
      </c>
      <c r="X23" s="66" t="str">
        <f>"de "&amp;X21&amp;" a "&amp;X22</f>
        <v>de 1 a 2</v>
      </c>
      <c r="Y23" s="67"/>
      <c r="Z23" s="67" t="s">
        <v>419</v>
      </c>
      <c r="AA23" s="65" t="s">
        <v>408</v>
      </c>
      <c r="AB23" s="66" t="str">
        <f>"de "&amp;AB21&amp;" a "&amp;AB22</f>
        <v>de 0 a 0.2</v>
      </c>
      <c r="AC23" s="66" t="str">
        <f>"de "&amp;AC21&amp;" a "&amp;AC22</f>
        <v>de 0.2 a 0.4</v>
      </c>
      <c r="AD23" s="66" t="str">
        <f>"de "&amp;AD21&amp;" a "&amp;AD22</f>
        <v>de 0.4 a 0.6</v>
      </c>
      <c r="AE23" s="66" t="str">
        <f>"de "&amp;AE21&amp;" a "&amp;AE22</f>
        <v>de 0.6 a 0.8</v>
      </c>
      <c r="AF23" s="66" t="str">
        <f>"de "&amp;AF21&amp;" a "&amp;AF22</f>
        <v>de 0.8 a 1</v>
      </c>
      <c r="AG23" s="67"/>
      <c r="AH23" s="67"/>
      <c r="AI23" s="67"/>
    </row>
    <row r="24" spans="1:35" ht="45.75" customHeight="1">
      <c r="A24" s="3"/>
      <c r="B24" s="938" t="s">
        <v>49</v>
      </c>
      <c r="C24" s="939"/>
      <c r="D24" s="940"/>
      <c r="E24" s="605" t="s">
        <v>696</v>
      </c>
      <c r="F24" s="605" t="s">
        <v>697</v>
      </c>
      <c r="G24" s="941">
        <v>1.1000000000000001</v>
      </c>
      <c r="H24" s="942"/>
      <c r="I24" s="942"/>
      <c r="J24" s="942"/>
      <c r="K24" s="943"/>
      <c r="L24" s="1022" t="s">
        <v>698</v>
      </c>
      <c r="M24" s="1013"/>
      <c r="N24" s="1013"/>
      <c r="O24" s="1013"/>
      <c r="P24" s="1013"/>
      <c r="Q24" s="1014"/>
      <c r="S24" s="65"/>
      <c r="T24" s="66"/>
      <c r="U24" s="66"/>
      <c r="V24" s="66"/>
      <c r="W24" s="66"/>
      <c r="X24" s="66"/>
      <c r="Y24" s="67"/>
      <c r="Z24" s="67"/>
      <c r="AA24" s="65"/>
      <c r="AB24" s="66"/>
      <c r="AC24" s="66"/>
      <c r="AD24" s="66"/>
      <c r="AE24" s="66"/>
      <c r="AF24" s="66"/>
      <c r="AG24" s="67"/>
      <c r="AH24" s="67"/>
      <c r="AI24" s="67"/>
    </row>
    <row r="25" spans="1:35" ht="117" customHeight="1">
      <c r="A25" s="3"/>
      <c r="B25" s="1015" t="s">
        <v>52</v>
      </c>
      <c r="C25" s="1011"/>
      <c r="D25" s="1012"/>
      <c r="E25" s="598" t="s">
        <v>680</v>
      </c>
      <c r="F25" s="598" t="s">
        <v>681</v>
      </c>
      <c r="G25" s="1018">
        <v>0.9</v>
      </c>
      <c r="H25" s="1019"/>
      <c r="I25" s="1019"/>
      <c r="J25" s="1019"/>
      <c r="K25" s="1020"/>
      <c r="L25" s="1021" t="s">
        <v>688</v>
      </c>
      <c r="M25" s="1021"/>
      <c r="N25" s="1021"/>
      <c r="O25" s="1021"/>
      <c r="P25" s="1021"/>
      <c r="Q25" s="1021"/>
      <c r="R25" s="336"/>
      <c r="S25" s="65"/>
      <c r="T25" s="63" t="e">
        <f>IF($K23&gt;T$21,IF($K23&lt;=T$22,$K23,NA()),NA())</f>
        <v>#N/A</v>
      </c>
      <c r="U25" s="63" t="e">
        <f>IF($K23&gt;U$21,IF($K23&lt;=U$22,$K23,NA()),NA())</f>
        <v>#N/A</v>
      </c>
      <c r="V25" s="63" t="e">
        <f>IF($K23&gt;V$21,IF($K23&lt;=V$22,$K23,NA()),NA())</f>
        <v>#N/A</v>
      </c>
      <c r="W25" s="63" t="e">
        <f>IF($K23&gt;W$21,IF($K23&lt;=W$22,$K23,NA()),NA())</f>
        <v>#N/A</v>
      </c>
      <c r="X25" s="63" t="e">
        <f>IF($K23&gt;X$21,IF($K23&lt;=X$22,1,1),NA())</f>
        <v>#N/A</v>
      </c>
      <c r="Y25" s="67"/>
      <c r="Z25" s="168" t="e">
        <v>#REF!</v>
      </c>
      <c r="AA25" s="63" t="e">
        <f>+IF(Z25="A1",1,IF(Z25="A2",0.8,IF(Z25="B1",0.6,IF(Z25="B2",0.4,0.2))))</f>
        <v>#REF!</v>
      </c>
      <c r="AB25" s="63" t="e">
        <f>IF($AA25&gt;AB$21,IF($AA25&lt;=AB$22,$AA25,NA()),NA())</f>
        <v>#REF!</v>
      </c>
      <c r="AC25" s="63" t="e">
        <f t="shared" ref="AC25:AF26" si="0">IF($AA25&gt;AC$21,IF($AA25&lt;=AC$22,$AA25,NA()),NA())</f>
        <v>#REF!</v>
      </c>
      <c r="AD25" s="63" t="e">
        <f t="shared" si="0"/>
        <v>#REF!</v>
      </c>
      <c r="AE25" s="63" t="e">
        <f t="shared" si="0"/>
        <v>#REF!</v>
      </c>
      <c r="AF25" s="63" t="e">
        <f t="shared" si="0"/>
        <v>#REF!</v>
      </c>
      <c r="AG25" s="67"/>
      <c r="AH25" s="67"/>
      <c r="AI25" s="67"/>
    </row>
    <row r="26" spans="1:35" ht="55.5" customHeight="1">
      <c r="A26" s="3"/>
      <c r="B26" s="959" t="s">
        <v>59</v>
      </c>
      <c r="C26" s="960"/>
      <c r="D26" s="961"/>
      <c r="E26" s="411" t="s">
        <v>317</v>
      </c>
      <c r="F26" s="599" t="s">
        <v>682</v>
      </c>
      <c r="G26" s="1018">
        <v>1.04</v>
      </c>
      <c r="H26" s="1019"/>
      <c r="I26" s="1019"/>
      <c r="J26" s="1019"/>
      <c r="K26" s="1020"/>
      <c r="L26" s="1021" t="s">
        <v>689</v>
      </c>
      <c r="M26" s="1021"/>
      <c r="N26" s="1021"/>
      <c r="O26" s="1021"/>
      <c r="P26" s="1021"/>
      <c r="Q26" s="1021"/>
      <c r="R26" s="453"/>
      <c r="S26" s="65"/>
      <c r="T26" s="63" t="e">
        <f>IF(#REF!&gt;T$21,IF(#REF!&lt;=T$22,#REF!,NA()),NA())</f>
        <v>#REF!</v>
      </c>
      <c r="U26" s="63" t="e">
        <f>IF(#REF!&gt;U$21,IF(#REF!&lt;=U$22,#REF!,NA()),NA())</f>
        <v>#REF!</v>
      </c>
      <c r="V26" s="63" t="e">
        <f>IF(#REF!&gt;V$21,IF(#REF!&lt;=V$22,#REF!,NA()),NA())</f>
        <v>#REF!</v>
      </c>
      <c r="W26" s="63" t="e">
        <f>IF(#REF!&gt;W$21,IF(#REF!&lt;=W$22,#REF!,NA()),NA())</f>
        <v>#REF!</v>
      </c>
      <c r="X26" s="63" t="e">
        <f>IF(#REF!&gt;X$21,IF(#REF!&lt;=X$22,1,NA()),NA())</f>
        <v>#REF!</v>
      </c>
      <c r="Y26" s="67"/>
      <c r="Z26" s="168" t="e">
        <v>#REF!</v>
      </c>
      <c r="AA26" s="63" t="e">
        <f>+IF(Z26="A1",1,IF(Z26="A2",0.8,IF(Z26="B1",0.6,IF(Z26="B2",0.4,0.2))))</f>
        <v>#REF!</v>
      </c>
      <c r="AB26" s="63" t="e">
        <f>IF($AA26&gt;AB$21,IF($AA26&lt;=AB$22,$AA26,NA()),NA())</f>
        <v>#REF!</v>
      </c>
      <c r="AC26" s="63" t="e">
        <f t="shared" si="0"/>
        <v>#REF!</v>
      </c>
      <c r="AD26" s="63" t="e">
        <f t="shared" si="0"/>
        <v>#REF!</v>
      </c>
      <c r="AE26" s="63" t="e">
        <f t="shared" si="0"/>
        <v>#REF!</v>
      </c>
      <c r="AF26" s="63" t="e">
        <f t="shared" si="0"/>
        <v>#REF!</v>
      </c>
      <c r="AG26" s="67"/>
      <c r="AH26" s="67"/>
      <c r="AI26" s="67"/>
    </row>
    <row r="27" spans="1:35" ht="221" customHeight="1">
      <c r="A27" s="3"/>
      <c r="B27" s="959" t="s">
        <v>63</v>
      </c>
      <c r="C27" s="960"/>
      <c r="D27" s="961"/>
      <c r="E27" s="411" t="s">
        <v>703</v>
      </c>
      <c r="F27" s="411" t="s">
        <v>704</v>
      </c>
      <c r="G27" s="962">
        <v>0.61</v>
      </c>
      <c r="H27" s="963"/>
      <c r="I27" s="963"/>
      <c r="J27" s="963"/>
      <c r="K27" s="964"/>
      <c r="L27" s="1004" t="s">
        <v>710</v>
      </c>
      <c r="M27" s="1004"/>
      <c r="N27" s="1004"/>
      <c r="O27" s="1004"/>
      <c r="P27" s="1004"/>
      <c r="Q27" s="1004"/>
      <c r="R27" s="453"/>
      <c r="S27" s="65"/>
      <c r="T27" s="63"/>
      <c r="U27" s="63"/>
      <c r="V27" s="63"/>
      <c r="W27" s="63"/>
      <c r="X27" s="63"/>
      <c r="Y27" s="67"/>
      <c r="Z27" s="168"/>
      <c r="AA27" s="412"/>
      <c r="AB27" s="412"/>
      <c r="AC27" s="412"/>
      <c r="AD27" s="412"/>
      <c r="AE27" s="412"/>
      <c r="AF27" s="412"/>
      <c r="AG27" s="67"/>
      <c r="AH27" s="67"/>
      <c r="AI27" s="67"/>
    </row>
    <row r="28" spans="1:35" ht="67.5" customHeight="1">
      <c r="A28" s="3"/>
      <c r="B28" s="959" t="s">
        <v>70</v>
      </c>
      <c r="C28" s="960"/>
      <c r="D28" s="961"/>
      <c r="E28" s="411" t="s">
        <v>705</v>
      </c>
      <c r="F28" s="411" t="s">
        <v>706</v>
      </c>
      <c r="G28" s="962">
        <v>1.01</v>
      </c>
      <c r="H28" s="963"/>
      <c r="I28" s="963"/>
      <c r="J28" s="963"/>
      <c r="K28" s="964"/>
      <c r="L28" s="1005" t="s">
        <v>709</v>
      </c>
      <c r="M28" s="1212"/>
      <c r="N28" s="1212"/>
      <c r="O28" s="1212"/>
      <c r="P28" s="1212"/>
      <c r="Q28" s="1213"/>
      <c r="R28" s="453"/>
      <c r="S28" s="65"/>
      <c r="T28" s="63" t="e">
        <f t="shared" ref="T28:W29" si="1">IF($K25&gt;T$21,IF($K25&lt;=T$22,$K25,NA()),NA())</f>
        <v>#N/A</v>
      </c>
      <c r="U28" s="63" t="e">
        <f t="shared" si="1"/>
        <v>#N/A</v>
      </c>
      <c r="V28" s="63" t="e">
        <f t="shared" si="1"/>
        <v>#N/A</v>
      </c>
      <c r="W28" s="63" t="e">
        <f t="shared" si="1"/>
        <v>#N/A</v>
      </c>
      <c r="X28" s="63" t="e">
        <f>IF($K25&gt;X$21,IF($K25&lt;=X$22,1,NA()),NA())</f>
        <v>#N/A</v>
      </c>
      <c r="Y28" s="67"/>
      <c r="Z28" s="67"/>
      <c r="AA28" s="67"/>
      <c r="AB28" s="67"/>
      <c r="AC28" s="67"/>
      <c r="AD28" s="67"/>
      <c r="AE28" s="67"/>
      <c r="AF28" s="67"/>
      <c r="AG28" s="67"/>
      <c r="AH28" s="67"/>
      <c r="AI28" s="67"/>
    </row>
    <row r="29" spans="1:35" ht="58.5" customHeight="1">
      <c r="A29" s="3"/>
      <c r="B29" s="938" t="s">
        <v>56</v>
      </c>
      <c r="C29" s="999"/>
      <c r="D29" s="1000"/>
      <c r="E29" s="597" t="s">
        <v>683</v>
      </c>
      <c r="F29" s="597" t="s">
        <v>684</v>
      </c>
      <c r="G29" s="996">
        <v>1.1399999999999999</v>
      </c>
      <c r="H29" s="997"/>
      <c r="I29" s="997"/>
      <c r="J29" s="997"/>
      <c r="K29" s="998"/>
      <c r="L29" s="1005" t="s">
        <v>690</v>
      </c>
      <c r="M29" s="1006"/>
      <c r="N29" s="1006"/>
      <c r="O29" s="1006"/>
      <c r="P29" s="1006"/>
      <c r="Q29" s="1007"/>
      <c r="R29" s="453"/>
      <c r="S29" s="65"/>
      <c r="T29" s="63" t="e">
        <f t="shared" si="1"/>
        <v>#N/A</v>
      </c>
      <c r="U29" s="63" t="e">
        <f t="shared" si="1"/>
        <v>#N/A</v>
      </c>
      <c r="V29" s="63" t="e">
        <f t="shared" si="1"/>
        <v>#N/A</v>
      </c>
      <c r="W29" s="63" t="e">
        <f t="shared" si="1"/>
        <v>#N/A</v>
      </c>
      <c r="X29" s="63" t="e">
        <f>IF($K26&gt;X$21,IF($K26&lt;=X$22,1,NA()),NA())</f>
        <v>#N/A</v>
      </c>
      <c r="Y29" s="67"/>
      <c r="Z29" s="67"/>
      <c r="AA29" s="67"/>
      <c r="AB29" s="67"/>
      <c r="AC29" s="67"/>
      <c r="AD29" s="67"/>
      <c r="AE29" s="67"/>
      <c r="AF29" s="67"/>
      <c r="AG29" s="67"/>
      <c r="AH29" s="67"/>
      <c r="AI29" s="67"/>
    </row>
    <row r="30" spans="1:35" ht="112.5" customHeight="1">
      <c r="A30" s="3"/>
      <c r="B30" s="938" t="s">
        <v>67</v>
      </c>
      <c r="C30" s="999"/>
      <c r="D30" s="1000"/>
      <c r="E30" s="597" t="s">
        <v>349</v>
      </c>
      <c r="F30" s="597" t="s">
        <v>707</v>
      </c>
      <c r="G30" s="1008">
        <v>0.52</v>
      </c>
      <c r="H30" s="1009"/>
      <c r="I30" s="1009"/>
      <c r="J30" s="1009"/>
      <c r="K30" s="1010"/>
      <c r="L30" s="966" t="s">
        <v>711</v>
      </c>
      <c r="M30" s="1011"/>
      <c r="N30" s="1011"/>
      <c r="O30" s="1011"/>
      <c r="P30" s="1011"/>
      <c r="Q30" s="1012"/>
      <c r="R30" s="453"/>
      <c r="S30" s="65"/>
      <c r="T30" s="63"/>
      <c r="U30" s="63"/>
      <c r="V30" s="63"/>
      <c r="W30" s="63"/>
      <c r="X30" s="63"/>
      <c r="Y30" s="67"/>
      <c r="Z30" s="67"/>
      <c r="AA30" s="67"/>
      <c r="AB30" s="67"/>
      <c r="AC30" s="67"/>
      <c r="AD30" s="67"/>
      <c r="AE30" s="67"/>
      <c r="AF30" s="67"/>
      <c r="AG30" s="67"/>
      <c r="AH30" s="67"/>
      <c r="AI30" s="67"/>
    </row>
    <row r="31" spans="1:35" ht="47.25" customHeight="1">
      <c r="A31" s="3"/>
      <c r="B31" s="938" t="s">
        <v>73</v>
      </c>
      <c r="C31" s="939"/>
      <c r="D31" s="940"/>
      <c r="E31" s="597" t="s">
        <v>356</v>
      </c>
      <c r="F31" s="597" t="s">
        <v>708</v>
      </c>
      <c r="G31" s="1001">
        <v>0.97</v>
      </c>
      <c r="H31" s="1002"/>
      <c r="I31" s="1002"/>
      <c r="J31" s="1002"/>
      <c r="K31" s="1003"/>
      <c r="L31" s="1005" t="s">
        <v>712</v>
      </c>
      <c r="M31" s="1013"/>
      <c r="N31" s="1013"/>
      <c r="O31" s="1013"/>
      <c r="P31" s="1013"/>
      <c r="Q31" s="1014"/>
      <c r="R31" s="453"/>
      <c r="S31" s="65"/>
      <c r="T31" s="63"/>
      <c r="U31" s="63"/>
      <c r="V31" s="63"/>
      <c r="W31" s="63"/>
      <c r="X31" s="63"/>
      <c r="Y31" s="67"/>
      <c r="Z31" s="67"/>
      <c r="AA31" s="67"/>
      <c r="AB31" s="67"/>
      <c r="AC31" s="67"/>
      <c r="AD31" s="67"/>
      <c r="AE31" s="67"/>
      <c r="AF31" s="67"/>
      <c r="AG31" s="67"/>
      <c r="AH31" s="67"/>
      <c r="AI31" s="67"/>
    </row>
    <row r="32" spans="1:35" ht="56.25" customHeight="1">
      <c r="A32" s="3"/>
      <c r="B32" s="938" t="s">
        <v>361</v>
      </c>
      <c r="C32" s="939"/>
      <c r="D32" s="940"/>
      <c r="E32" s="410">
        <v>0.95</v>
      </c>
      <c r="F32" s="410">
        <v>0.97399999999999998</v>
      </c>
      <c r="G32" s="941">
        <v>1.03</v>
      </c>
      <c r="H32" s="942"/>
      <c r="I32" s="942"/>
      <c r="J32" s="942"/>
      <c r="K32" s="943"/>
      <c r="L32" s="936" t="s">
        <v>699</v>
      </c>
      <c r="M32" s="937"/>
      <c r="N32" s="937"/>
      <c r="O32" s="937"/>
      <c r="P32" s="937"/>
      <c r="Q32" s="937"/>
      <c r="R32" s="453"/>
      <c r="S32" s="65"/>
      <c r="T32" s="63" t="e">
        <f t="shared" ref="T32:W33" si="2">IF($K28&gt;T$21,IF($K28&lt;=T$22,$K28,NA()),NA())</f>
        <v>#N/A</v>
      </c>
      <c r="U32" s="63" t="e">
        <f t="shared" si="2"/>
        <v>#N/A</v>
      </c>
      <c r="V32" s="63" t="e">
        <f t="shared" si="2"/>
        <v>#N/A</v>
      </c>
      <c r="W32" s="63" t="e">
        <f t="shared" si="2"/>
        <v>#N/A</v>
      </c>
      <c r="X32" s="63" t="e">
        <f>IF($K28&gt;X$21,IF($K28&lt;=X$22,1,NA()),NA())</f>
        <v>#N/A</v>
      </c>
      <c r="Y32" s="67"/>
      <c r="Z32" s="67"/>
      <c r="AA32" s="67"/>
      <c r="AB32" s="67"/>
      <c r="AC32" s="67"/>
      <c r="AD32" s="67"/>
      <c r="AE32" s="67"/>
      <c r="AF32" s="67"/>
      <c r="AG32" s="67"/>
      <c r="AH32" s="67"/>
      <c r="AI32" s="67"/>
    </row>
    <row r="33" spans="1:35" ht="69.5" customHeight="1">
      <c r="A33" s="3"/>
      <c r="B33" s="938" t="s">
        <v>79</v>
      </c>
      <c r="C33" s="939"/>
      <c r="D33" s="940"/>
      <c r="E33" s="410">
        <v>0.9</v>
      </c>
      <c r="F33" s="410">
        <v>1</v>
      </c>
      <c r="G33" s="941">
        <v>1.1100000000000001</v>
      </c>
      <c r="H33" s="942"/>
      <c r="I33" s="942"/>
      <c r="J33" s="942"/>
      <c r="K33" s="943"/>
      <c r="L33" s="936" t="s">
        <v>700</v>
      </c>
      <c r="M33" s="937"/>
      <c r="N33" s="937"/>
      <c r="O33" s="937"/>
      <c r="P33" s="937"/>
      <c r="Q33" s="937"/>
      <c r="R33" s="453"/>
      <c r="S33" s="65"/>
      <c r="T33" s="63" t="e">
        <f t="shared" si="2"/>
        <v>#N/A</v>
      </c>
      <c r="U33" s="63" t="e">
        <f t="shared" si="2"/>
        <v>#N/A</v>
      </c>
      <c r="V33" s="63" t="e">
        <f t="shared" si="2"/>
        <v>#N/A</v>
      </c>
      <c r="W33" s="63" t="e">
        <f t="shared" si="2"/>
        <v>#N/A</v>
      </c>
      <c r="X33" s="63" t="e">
        <f>IF($K29&gt;X$21,IF($K29&lt;=X$22,1,NA()),NA())</f>
        <v>#N/A</v>
      </c>
      <c r="Y33" s="67"/>
      <c r="Z33" s="67"/>
      <c r="AA33" s="67"/>
      <c r="AB33" s="67"/>
      <c r="AC33" s="67"/>
      <c r="AD33" s="67"/>
      <c r="AE33" s="67"/>
      <c r="AF33" s="67"/>
      <c r="AG33" s="67"/>
      <c r="AH33" s="67"/>
      <c r="AI33" s="67"/>
    </row>
    <row r="34" spans="1:35" ht="81.5" customHeight="1">
      <c r="A34" s="3"/>
      <c r="B34" s="938" t="s">
        <v>83</v>
      </c>
      <c r="C34" s="939"/>
      <c r="D34" s="940"/>
      <c r="E34" s="606">
        <v>0.95</v>
      </c>
      <c r="F34" s="607">
        <v>0.95669999999999999</v>
      </c>
      <c r="G34" s="941">
        <v>1.01</v>
      </c>
      <c r="H34" s="942"/>
      <c r="I34" s="942"/>
      <c r="J34" s="942"/>
      <c r="K34" s="943"/>
      <c r="L34" s="936" t="s">
        <v>701</v>
      </c>
      <c r="M34" s="937"/>
      <c r="N34" s="937"/>
      <c r="O34" s="937"/>
      <c r="P34" s="937"/>
      <c r="Q34" s="937"/>
      <c r="R34" s="453"/>
      <c r="S34" s="65"/>
      <c r="T34" s="63" t="e">
        <f>IF(#REF!&gt;T$21,IF(#REF!&lt;=T$22,#REF!,NA()),NA())</f>
        <v>#REF!</v>
      </c>
      <c r="U34" s="63" t="e">
        <f>IF(#REF!&gt;U$21,IF(#REF!&lt;=U$22,#REF!,NA()),NA())</f>
        <v>#REF!</v>
      </c>
      <c r="V34" s="63" t="e">
        <f>IF(#REF!&gt;V$21,IF(#REF!&lt;=V$22,#REF!,NA()),NA())</f>
        <v>#REF!</v>
      </c>
      <c r="W34" s="63" t="e">
        <f>IF(#REF!&gt;W$21,IF(#REF!&lt;=W$22,#REF!,NA()),NA())</f>
        <v>#REF!</v>
      </c>
      <c r="X34" s="63" t="e">
        <f>IF(#REF!&gt;X$21,IF(#REF!&lt;=X$22,1,NA()),NA())</f>
        <v>#REF!</v>
      </c>
      <c r="Y34" s="67"/>
      <c r="Z34" s="67"/>
      <c r="AA34" s="67"/>
      <c r="AB34" s="67"/>
      <c r="AC34" s="67"/>
      <c r="AD34" s="67"/>
      <c r="AE34" s="67"/>
      <c r="AF34" s="67"/>
      <c r="AG34" s="67"/>
      <c r="AH34" s="67"/>
      <c r="AI34" s="67"/>
    </row>
    <row r="35" spans="1:35" ht="18.5">
      <c r="E35" s="588"/>
      <c r="F35" s="946" t="s">
        <v>420</v>
      </c>
      <c r="G35" s="947"/>
      <c r="H35" s="947"/>
      <c r="I35" s="947"/>
      <c r="J35" s="947"/>
      <c r="K35" s="947"/>
      <c r="L35" s="947"/>
      <c r="M35" s="947"/>
    </row>
    <row r="36" spans="1:35" ht="59.25" customHeight="1" thickBot="1">
      <c r="A36" s="3"/>
      <c r="B36" s="955" t="s">
        <v>88</v>
      </c>
      <c r="C36" s="956"/>
      <c r="D36" s="956"/>
      <c r="E36" s="956"/>
      <c r="F36" s="956" t="s">
        <v>720</v>
      </c>
      <c r="G36" s="956"/>
      <c r="H36" s="956"/>
      <c r="I36" s="956"/>
      <c r="J36" s="956"/>
      <c r="K36" s="956"/>
      <c r="L36" s="956" t="s">
        <v>370</v>
      </c>
      <c r="M36" s="956"/>
      <c r="N36" s="956"/>
      <c r="O36" s="956"/>
      <c r="P36" s="956"/>
      <c r="Q36" s="956"/>
      <c r="S36" s="189"/>
      <c r="T36" s="189"/>
      <c r="U36" s="189"/>
      <c r="V36" s="189"/>
      <c r="W36" s="189"/>
      <c r="X36" s="189"/>
      <c r="Y36" s="67"/>
      <c r="Z36" s="67"/>
      <c r="AA36" s="67"/>
      <c r="AB36" s="67"/>
      <c r="AC36" s="67"/>
      <c r="AD36" s="189"/>
      <c r="AE36" s="189"/>
      <c r="AF36" s="189"/>
      <c r="AG36" s="189"/>
      <c r="AH36" s="189"/>
      <c r="AI36" s="189"/>
    </row>
    <row r="37" spans="1:35" ht="84.5" customHeight="1" thickBot="1">
      <c r="A37" s="3"/>
      <c r="B37" s="552" t="s">
        <v>382</v>
      </c>
      <c r="C37" s="933" t="s">
        <v>421</v>
      </c>
      <c r="D37" s="934"/>
      <c r="E37" s="935"/>
      <c r="F37" s="553" t="s">
        <v>382</v>
      </c>
      <c r="G37" s="933" t="s">
        <v>722</v>
      </c>
      <c r="H37" s="934"/>
      <c r="I37" s="934"/>
      <c r="J37" s="934"/>
      <c r="K37" s="935"/>
      <c r="L37" s="553" t="s">
        <v>382</v>
      </c>
      <c r="M37" s="933" t="s">
        <v>721</v>
      </c>
      <c r="N37" s="934"/>
      <c r="O37" s="934"/>
      <c r="P37" s="934"/>
      <c r="Q37" s="948"/>
      <c r="S37" s="189"/>
      <c r="T37" s="189"/>
      <c r="U37" s="189"/>
      <c r="V37" s="189"/>
      <c r="W37" s="189"/>
      <c r="X37" s="189"/>
      <c r="Y37" s="189"/>
      <c r="Z37" s="189"/>
      <c r="AA37" s="189"/>
      <c r="AB37" s="189"/>
      <c r="AC37" s="189"/>
      <c r="AD37" s="189"/>
      <c r="AE37" s="189"/>
      <c r="AF37" s="189"/>
      <c r="AG37" s="189"/>
      <c r="AH37" s="189"/>
      <c r="AI37" s="189"/>
    </row>
    <row r="38" spans="1:35" ht="18.75" customHeight="1">
      <c r="A38" s="3"/>
      <c r="B38" s="580"/>
      <c r="C38" s="580"/>
      <c r="D38" s="582"/>
      <c r="E38" s="582"/>
      <c r="F38" s="582"/>
      <c r="G38" s="582"/>
      <c r="H38" s="582"/>
      <c r="I38" s="582"/>
      <c r="J38" s="582"/>
      <c r="K38" s="582"/>
      <c r="L38" s="582"/>
      <c r="M38" s="3"/>
      <c r="N38" s="3"/>
      <c r="O38" s="172"/>
      <c r="P38" s="171"/>
      <c r="S38" s="189"/>
      <c r="T38" s="189"/>
      <c r="U38" s="189"/>
      <c r="V38" s="189"/>
      <c r="W38" s="189"/>
      <c r="X38" s="189"/>
      <c r="Y38" s="189"/>
      <c r="Z38" s="189"/>
      <c r="AA38" s="189"/>
      <c r="AB38" s="189"/>
      <c r="AC38" s="189"/>
      <c r="AD38" s="189"/>
      <c r="AE38" s="189"/>
      <c r="AF38" s="189"/>
      <c r="AG38" s="189"/>
      <c r="AH38" s="189"/>
      <c r="AI38" s="189"/>
    </row>
    <row r="39" spans="1:35" ht="18.75" customHeight="1">
      <c r="A39" s="3"/>
      <c r="B39" s="580"/>
      <c r="C39" s="580"/>
      <c r="D39" s="582"/>
      <c r="E39" s="582"/>
      <c r="F39" s="582"/>
      <c r="G39" s="582"/>
      <c r="H39" s="582"/>
      <c r="I39" s="582"/>
      <c r="J39" s="582"/>
      <c r="K39" s="582"/>
      <c r="L39" s="582"/>
      <c r="M39" s="3"/>
      <c r="N39" s="3"/>
      <c r="O39" s="172"/>
      <c r="P39" s="171"/>
      <c r="S39" s="189"/>
      <c r="T39" s="189"/>
      <c r="U39" s="189"/>
      <c r="V39" s="189"/>
      <c r="W39" s="189"/>
      <c r="X39" s="189"/>
      <c r="Y39" s="189"/>
      <c r="Z39" s="189"/>
      <c r="AA39" s="189"/>
      <c r="AB39" s="189"/>
      <c r="AC39" s="189"/>
      <c r="AD39" s="189"/>
      <c r="AE39" s="189"/>
      <c r="AF39" s="189"/>
      <c r="AG39" s="189"/>
      <c r="AH39" s="189"/>
      <c r="AI39" s="189"/>
    </row>
    <row r="40" spans="1:35" ht="18.75" customHeight="1">
      <c r="A40" s="3"/>
      <c r="B40" s="580"/>
      <c r="C40" s="580"/>
      <c r="D40" s="582"/>
      <c r="E40" s="582"/>
      <c r="F40" s="582"/>
      <c r="G40" s="582"/>
      <c r="H40" s="582"/>
      <c r="I40" s="582"/>
      <c r="J40" s="582"/>
      <c r="K40" s="582"/>
      <c r="L40" s="582"/>
      <c r="M40" s="3"/>
      <c r="N40" s="3"/>
      <c r="O40" s="172"/>
      <c r="P40" s="171"/>
      <c r="S40" s="189"/>
      <c r="T40" s="189"/>
      <c r="U40" s="189"/>
      <c r="V40" s="189"/>
      <c r="W40" s="189"/>
      <c r="X40" s="189"/>
      <c r="Y40" s="189"/>
      <c r="Z40" s="189"/>
      <c r="AA40" s="189"/>
      <c r="AB40" s="189"/>
      <c r="AC40" s="189"/>
      <c r="AD40" s="189"/>
      <c r="AE40" s="189"/>
      <c r="AF40" s="189"/>
      <c r="AG40" s="189"/>
      <c r="AH40" s="189"/>
      <c r="AI40" s="189"/>
    </row>
    <row r="41" spans="1:35" ht="18.75" customHeight="1">
      <c r="A41" s="3"/>
      <c r="B41" s="580"/>
      <c r="C41" s="580"/>
      <c r="D41" s="582"/>
      <c r="E41" s="582"/>
      <c r="F41" s="582"/>
      <c r="G41" s="582"/>
      <c r="H41" s="582"/>
      <c r="I41" s="582"/>
      <c r="J41" s="582"/>
      <c r="K41" s="582"/>
      <c r="L41" s="582"/>
      <c r="M41" s="3"/>
      <c r="N41" s="3"/>
      <c r="O41" s="172"/>
      <c r="P41" s="171"/>
      <c r="S41" s="189"/>
      <c r="T41" s="189"/>
      <c r="U41" s="189"/>
      <c r="V41" s="189"/>
      <c r="W41" s="189"/>
      <c r="X41" s="189"/>
      <c r="Y41" s="189"/>
      <c r="Z41" s="189"/>
      <c r="AA41" s="189"/>
      <c r="AB41" s="189"/>
      <c r="AC41" s="189"/>
      <c r="AD41" s="189"/>
      <c r="AE41" s="189"/>
      <c r="AF41" s="189"/>
      <c r="AG41" s="189"/>
      <c r="AH41" s="189"/>
      <c r="AI41" s="189"/>
    </row>
    <row r="42" spans="1:35" ht="18.75" customHeight="1">
      <c r="A42" s="3"/>
      <c r="B42" s="580"/>
      <c r="C42" s="580"/>
      <c r="D42" s="582"/>
      <c r="E42" s="582"/>
      <c r="F42" s="582"/>
      <c r="G42" s="582"/>
      <c r="H42" s="582"/>
      <c r="I42" s="582"/>
      <c r="J42" s="582"/>
      <c r="K42" s="582"/>
      <c r="L42" s="582"/>
      <c r="M42" s="3"/>
      <c r="N42" s="3"/>
      <c r="O42" s="172"/>
      <c r="P42" s="171"/>
      <c r="S42" s="189"/>
      <c r="T42" s="189"/>
      <c r="U42" s="189"/>
      <c r="V42" s="189"/>
      <c r="W42" s="189"/>
      <c r="X42" s="189"/>
      <c r="Y42" s="189"/>
      <c r="Z42" s="189"/>
      <c r="AA42" s="189"/>
      <c r="AB42" s="189"/>
      <c r="AC42" s="189"/>
      <c r="AD42" s="189"/>
      <c r="AE42" s="189"/>
      <c r="AF42" s="189"/>
      <c r="AG42" s="189"/>
      <c r="AH42" s="189"/>
      <c r="AI42" s="189"/>
    </row>
    <row r="43" spans="1:35" ht="18.75" customHeight="1">
      <c r="A43" s="3"/>
      <c r="B43" s="580"/>
      <c r="C43" s="580"/>
      <c r="D43" s="582"/>
      <c r="E43" s="582"/>
      <c r="F43" s="582"/>
      <c r="G43" s="582"/>
      <c r="H43" s="582"/>
      <c r="I43" s="582"/>
      <c r="J43" s="582"/>
      <c r="K43" s="582"/>
      <c r="L43" s="582"/>
      <c r="M43" s="3"/>
      <c r="N43" s="3"/>
      <c r="O43" s="172"/>
      <c r="P43" s="171"/>
      <c r="S43" s="189"/>
      <c r="T43" s="189"/>
      <c r="U43" s="189"/>
      <c r="V43" s="189"/>
      <c r="W43" s="189"/>
      <c r="X43" s="189"/>
      <c r="Y43" s="189"/>
      <c r="Z43" s="189"/>
      <c r="AA43" s="189"/>
      <c r="AB43" s="189"/>
      <c r="AC43" s="189"/>
      <c r="AD43" s="189"/>
      <c r="AE43" s="189"/>
      <c r="AF43" s="189"/>
      <c r="AG43" s="189"/>
      <c r="AH43" s="189"/>
      <c r="AI43" s="189"/>
    </row>
    <row r="44" spans="1:35" ht="18.75" customHeight="1">
      <c r="A44" s="3"/>
      <c r="B44" s="580"/>
      <c r="C44" s="580"/>
      <c r="D44" s="582"/>
      <c r="E44" s="582"/>
      <c r="F44" s="582"/>
      <c r="G44" s="582"/>
      <c r="H44" s="582"/>
      <c r="I44" s="582"/>
      <c r="J44" s="582"/>
      <c r="K44" s="582"/>
      <c r="L44" s="582"/>
      <c r="M44" s="3"/>
      <c r="N44" s="3"/>
      <c r="O44" s="172"/>
      <c r="P44" s="171"/>
      <c r="S44" s="189"/>
      <c r="T44" s="189"/>
      <c r="U44" s="189"/>
      <c r="V44" s="189"/>
      <c r="W44" s="189"/>
      <c r="X44" s="189"/>
      <c r="Y44" s="189"/>
      <c r="Z44" s="189"/>
      <c r="AA44" s="189"/>
      <c r="AB44" s="189"/>
      <c r="AC44" s="189"/>
      <c r="AD44" s="189"/>
      <c r="AE44" s="189"/>
      <c r="AF44" s="189"/>
      <c r="AG44" s="189"/>
      <c r="AH44" s="189"/>
      <c r="AI44" s="189"/>
    </row>
    <row r="45" spans="1:35" ht="18.75" customHeight="1">
      <c r="A45" s="3"/>
      <c r="B45" s="580"/>
      <c r="C45" s="580"/>
      <c r="D45" s="582"/>
      <c r="E45" s="582"/>
      <c r="F45" s="582"/>
      <c r="G45" s="582"/>
      <c r="H45" s="582"/>
      <c r="I45" s="582"/>
      <c r="J45" s="582"/>
      <c r="K45" s="582"/>
      <c r="L45" s="582"/>
      <c r="M45" s="3"/>
      <c r="N45" s="3"/>
      <c r="O45" s="172"/>
      <c r="P45" s="171"/>
      <c r="S45" s="189"/>
      <c r="T45" s="189"/>
      <c r="U45" s="189"/>
      <c r="V45" s="189"/>
      <c r="W45" s="189"/>
      <c r="X45" s="189"/>
      <c r="Y45" s="189"/>
      <c r="Z45" s="189"/>
      <c r="AA45" s="189"/>
      <c r="AB45" s="189"/>
      <c r="AC45" s="189"/>
      <c r="AD45" s="189"/>
      <c r="AE45" s="189"/>
      <c r="AF45" s="189"/>
      <c r="AG45" s="189"/>
      <c r="AH45" s="189"/>
      <c r="AI45" s="189"/>
    </row>
    <row r="46" spans="1:35" ht="18.75" customHeight="1">
      <c r="A46" s="3"/>
      <c r="B46" s="580"/>
      <c r="C46" s="580"/>
      <c r="D46" s="582"/>
      <c r="E46" s="582"/>
      <c r="F46" s="582"/>
      <c r="G46" s="582"/>
      <c r="H46" s="582"/>
      <c r="I46" s="582"/>
      <c r="J46" s="582"/>
      <c r="K46" s="582"/>
      <c r="L46" s="582"/>
      <c r="M46" s="3"/>
      <c r="N46" s="3"/>
      <c r="O46" s="172"/>
      <c r="P46" s="171"/>
      <c r="S46" s="189"/>
      <c r="T46" s="189"/>
      <c r="U46" s="189"/>
      <c r="V46" s="189"/>
      <c r="W46" s="189"/>
      <c r="X46" s="189"/>
      <c r="Y46" s="189"/>
      <c r="Z46" s="189"/>
      <c r="AA46" s="189"/>
      <c r="AB46" s="189"/>
      <c r="AC46" s="189"/>
      <c r="AD46" s="189"/>
      <c r="AE46" s="189"/>
      <c r="AF46" s="189"/>
      <c r="AG46" s="189"/>
      <c r="AH46" s="189"/>
      <c r="AI46" s="189"/>
    </row>
    <row r="47" spans="1:35" ht="17.25" customHeight="1">
      <c r="A47" s="3"/>
      <c r="B47" s="580"/>
      <c r="C47" s="580"/>
      <c r="D47" s="582"/>
      <c r="E47" s="582"/>
      <c r="F47" s="582"/>
      <c r="G47" s="582"/>
      <c r="H47" s="582"/>
      <c r="I47" s="582"/>
      <c r="J47" s="582"/>
      <c r="K47" s="582"/>
      <c r="L47" s="582"/>
      <c r="M47" s="3"/>
      <c r="N47" s="3"/>
      <c r="O47" s="172"/>
      <c r="P47" s="171"/>
      <c r="S47" s="189"/>
      <c r="T47" s="189"/>
      <c r="U47" s="189"/>
      <c r="V47" s="189"/>
      <c r="W47" s="189"/>
      <c r="X47" s="189"/>
      <c r="Y47" s="189"/>
      <c r="Z47" s="189"/>
      <c r="AA47" s="189"/>
      <c r="AB47" s="189"/>
      <c r="AC47" s="189"/>
      <c r="AD47" s="189"/>
      <c r="AE47" s="189"/>
      <c r="AF47" s="189"/>
      <c r="AG47" s="189"/>
      <c r="AH47" s="189"/>
      <c r="AI47" s="189"/>
    </row>
    <row r="48" spans="1:35" ht="6" customHeight="1">
      <c r="A48" s="3"/>
      <c r="B48" s="110"/>
      <c r="C48" s="580"/>
      <c r="D48" s="108"/>
      <c r="E48" s="974"/>
      <c r="F48" s="974"/>
      <c r="G48" s="974"/>
      <c r="H48" s="974"/>
      <c r="I48" s="974"/>
      <c r="J48" s="974"/>
      <c r="K48" s="974"/>
      <c r="L48" s="3"/>
      <c r="M48" s="3"/>
      <c r="N48" s="3"/>
      <c r="O48" s="3"/>
      <c r="P48" s="3"/>
      <c r="S48" s="189"/>
      <c r="T48" s="189"/>
      <c r="U48" s="189"/>
      <c r="V48" s="189"/>
      <c r="W48" s="189"/>
      <c r="X48" s="189"/>
      <c r="Y48" s="189"/>
      <c r="Z48" s="189"/>
      <c r="AA48" s="189"/>
      <c r="AB48" s="189"/>
      <c r="AC48" s="189"/>
      <c r="AD48" s="189"/>
      <c r="AE48" s="189"/>
      <c r="AF48" s="189"/>
      <c r="AG48" s="189"/>
      <c r="AH48" s="189"/>
      <c r="AI48" s="189"/>
    </row>
    <row r="49" spans="1:35" ht="50.25" customHeight="1">
      <c r="A49" s="3"/>
      <c r="B49" s="975" t="s">
        <v>412</v>
      </c>
      <c r="C49" s="975"/>
      <c r="D49" s="975"/>
      <c r="E49" s="330" t="s">
        <v>303</v>
      </c>
      <c r="F49" s="330" t="s">
        <v>368</v>
      </c>
      <c r="G49" s="970" t="s">
        <v>413</v>
      </c>
      <c r="H49" s="971"/>
      <c r="I49" s="972" t="s">
        <v>414</v>
      </c>
      <c r="J49" s="973"/>
      <c r="K49" s="332" t="s">
        <v>415</v>
      </c>
      <c r="L49" s="949" t="s">
        <v>422</v>
      </c>
      <c r="M49" s="950"/>
      <c r="N49" s="950"/>
      <c r="O49" s="950"/>
      <c r="P49" s="950"/>
      <c r="Q49" s="951"/>
      <c r="S49" s="61" t="s">
        <v>417</v>
      </c>
      <c r="T49" s="62">
        <v>0</v>
      </c>
      <c r="U49" s="63">
        <v>0.3</v>
      </c>
      <c r="V49" s="63">
        <v>0.6</v>
      </c>
      <c r="W49" s="63">
        <v>0.9</v>
      </c>
      <c r="X49" s="63">
        <v>1</v>
      </c>
      <c r="Y49" s="67"/>
      <c r="Z49" s="67"/>
      <c r="AA49" s="61" t="s">
        <v>417</v>
      </c>
      <c r="AB49" s="62">
        <v>0</v>
      </c>
      <c r="AC49" s="63">
        <v>0.2</v>
      </c>
      <c r="AD49" s="63">
        <v>0.4</v>
      </c>
      <c r="AE49" s="63">
        <v>0.6</v>
      </c>
      <c r="AF49" s="63">
        <v>0.8</v>
      </c>
      <c r="AG49" s="67"/>
      <c r="AH49" s="67"/>
      <c r="AI49" s="67"/>
    </row>
    <row r="50" spans="1:35" ht="154" customHeight="1">
      <c r="A50" s="3"/>
      <c r="B50" s="976" t="str">
        <f>+'Ввод данных'!A208</f>
        <v>TCP-1: Количество зарегистрированных случаев всех форм ТБ (в т.ч. бактериологически подтвержденных и клинически диагностированных), включая новые случаи и рецидивы</v>
      </c>
      <c r="C50" s="977"/>
      <c r="D50" s="978"/>
      <c r="E50" s="331">
        <f>'Ввод данных'!I208</f>
        <v>3400</v>
      </c>
      <c r="F50" s="331">
        <v>1743</v>
      </c>
      <c r="G50" s="952">
        <f>(F50/E50)</f>
        <v>0.51264705882352946</v>
      </c>
      <c r="H50" s="953"/>
      <c r="I50" s="953"/>
      <c r="J50" s="953"/>
      <c r="K50" s="954"/>
      <c r="L50" s="981" t="s">
        <v>423</v>
      </c>
      <c r="M50" s="982"/>
      <c r="N50" s="982"/>
      <c r="O50" s="982"/>
      <c r="P50" s="982"/>
      <c r="Q50" s="982"/>
      <c r="S50" s="61" t="s">
        <v>418</v>
      </c>
      <c r="T50" s="64">
        <v>0.3</v>
      </c>
      <c r="U50" s="63">
        <v>0.6</v>
      </c>
      <c r="V50" s="63">
        <v>0.9</v>
      </c>
      <c r="W50" s="63">
        <v>1</v>
      </c>
      <c r="X50" s="63">
        <v>2</v>
      </c>
      <c r="Y50" s="67"/>
      <c r="Z50" s="67"/>
      <c r="AA50" s="61" t="s">
        <v>418</v>
      </c>
      <c r="AB50" s="64">
        <v>0.2</v>
      </c>
      <c r="AC50" s="63">
        <v>0.4</v>
      </c>
      <c r="AD50" s="63">
        <v>0.6</v>
      </c>
      <c r="AE50" s="63">
        <v>0.8</v>
      </c>
      <c r="AF50" s="63">
        <v>1</v>
      </c>
      <c r="AG50" s="67"/>
      <c r="AH50" s="67"/>
      <c r="AI50" s="67"/>
    </row>
    <row r="51" spans="1:35" ht="98.5" customHeight="1">
      <c r="A51" s="3"/>
      <c r="B51" s="990" t="str">
        <f>+'Ввод данных'!A210</f>
        <v xml:space="preserve">MDR TB-2: Количество бактериологически подтвержденных зарегистрированных ЛУ-ТБ случаев (РУ-ТБ и/или МЛУ-ТБ)		</v>
      </c>
      <c r="C51" s="991"/>
      <c r="D51" s="992"/>
      <c r="E51" s="331">
        <f>'Ввод данных'!I210</f>
        <v>740</v>
      </c>
      <c r="F51" s="331">
        <v>369</v>
      </c>
      <c r="G51" s="952">
        <f t="shared" ref="G51:G55" si="3">(F51/E51)</f>
        <v>0.49864864864864866</v>
      </c>
      <c r="H51" s="953"/>
      <c r="I51" s="953"/>
      <c r="J51" s="953"/>
      <c r="K51" s="954"/>
      <c r="L51" s="981" t="s">
        <v>424</v>
      </c>
      <c r="M51" s="982"/>
      <c r="N51" s="982"/>
      <c r="O51" s="982"/>
      <c r="P51" s="982"/>
      <c r="Q51" s="982"/>
      <c r="S51" s="65"/>
      <c r="T51" s="66" t="str">
        <f>"de "&amp;T49&amp;" a "&amp;T50</f>
        <v>de 0 a 0.3</v>
      </c>
      <c r="U51" s="66" t="str">
        <f>"de "&amp;U49&amp;" a "&amp;U50</f>
        <v>de 0.3 a 0.6</v>
      </c>
      <c r="AH51" s="67"/>
      <c r="AI51" s="67"/>
    </row>
    <row r="52" spans="1:35" ht="220.5" customHeight="1">
      <c r="A52" s="3"/>
      <c r="B52" s="990" t="str">
        <f>+'Ввод данных'!A212</f>
        <v xml:space="preserve">MDR TB-3: Количество случаев с РУ/МЛУ ТБ, начавших лечение препаратами второго ряда		</v>
      </c>
      <c r="C52" s="991"/>
      <c r="D52" s="992"/>
      <c r="E52" s="331">
        <f>'Ввод данных'!I212</f>
        <v>740</v>
      </c>
      <c r="F52" s="331">
        <v>327</v>
      </c>
      <c r="G52" s="952">
        <f t="shared" si="3"/>
        <v>0.44189189189189187</v>
      </c>
      <c r="H52" s="953"/>
      <c r="I52" s="953"/>
      <c r="J52" s="953"/>
      <c r="K52" s="954"/>
      <c r="L52" s="1214" t="s">
        <v>425</v>
      </c>
      <c r="M52" s="982"/>
      <c r="N52" s="982"/>
      <c r="O52" s="982"/>
      <c r="P52" s="982"/>
      <c r="Q52" s="982"/>
      <c r="S52" s="65"/>
      <c r="T52" s="63" t="e">
        <f>IF($K50&gt;T$49,IF($K50&lt;=T$50,$K50,NA()),NA())</f>
        <v>#N/A</v>
      </c>
      <c r="U52" s="63" t="e">
        <f>IF($K50&gt;U$49,IF($K50&lt;=U$50,$K50,NA()),NA())</f>
        <v>#N/A</v>
      </c>
      <c r="AH52" s="67"/>
      <c r="AI52" s="67"/>
    </row>
    <row r="53" spans="1:35" ht="126" customHeight="1">
      <c r="A53" s="3"/>
      <c r="B53" s="993" t="str">
        <f>+'Ввод данных'!A214</f>
        <v>MDR TB-7: Процент подтвержденных МЛУ-ТБ случаев, протестированных на чувствительность к фторхинолонам и инъекционным препаратам второго ряда</v>
      </c>
      <c r="C53" s="994"/>
      <c r="D53" s="995"/>
      <c r="E53" s="654">
        <f>'Ввод данных'!I214</f>
        <v>0.75</v>
      </c>
      <c r="F53" s="654">
        <v>0.77</v>
      </c>
      <c r="G53" s="952">
        <f t="shared" si="3"/>
        <v>1.0266666666666666</v>
      </c>
      <c r="H53" s="953"/>
      <c r="I53" s="953"/>
      <c r="J53" s="953"/>
      <c r="K53" s="954"/>
      <c r="L53" s="1215" t="s">
        <v>426</v>
      </c>
      <c r="M53" s="1215"/>
      <c r="N53" s="1215"/>
      <c r="O53" s="1215"/>
      <c r="P53" s="1215"/>
      <c r="Q53" s="1215"/>
      <c r="S53" s="65"/>
      <c r="T53" s="63"/>
      <c r="U53" s="63"/>
      <c r="AH53" s="67"/>
      <c r="AI53" s="67"/>
    </row>
    <row r="54" spans="1:35" ht="119.25" customHeight="1">
      <c r="A54" s="3"/>
      <c r="B54" s="985" t="str">
        <f>+'Ввод данных'!A216</f>
        <v xml:space="preserve">MDR TB-8: Количество случаев ШЛУ ТБ, взятых на лечение		</v>
      </c>
      <c r="C54" s="968"/>
      <c r="D54" s="969"/>
      <c r="E54" s="331">
        <f>'Ввод данных'!I216</f>
        <v>66</v>
      </c>
      <c r="F54" s="331">
        <v>21</v>
      </c>
      <c r="G54" s="952">
        <f t="shared" si="3"/>
        <v>0.31818181818181818</v>
      </c>
      <c r="H54" s="953"/>
      <c r="I54" s="953"/>
      <c r="J54" s="953"/>
      <c r="K54" s="954"/>
      <c r="L54" s="981" t="s">
        <v>427</v>
      </c>
      <c r="M54" s="982"/>
      <c r="N54" s="982"/>
      <c r="O54" s="982"/>
      <c r="P54" s="982"/>
      <c r="Q54" s="982"/>
      <c r="AH54" s="67"/>
      <c r="AI54" s="67"/>
    </row>
    <row r="55" spans="1:35" ht="67.5" customHeight="1">
      <c r="A55" s="3"/>
      <c r="B55" s="967" t="str">
        <f>+'Ввод данных'!A218</f>
        <v>TB/HIV-5: Процент зарегистрированных пациентов  (новых случаев и рецидивов), которые имеют задокументированный статус ВИЧ</v>
      </c>
      <c r="C55" s="968"/>
      <c r="D55" s="969"/>
      <c r="E55" s="654">
        <f>'Ввод данных'!I218</f>
        <v>0.95</v>
      </c>
      <c r="F55" s="654">
        <v>0.94</v>
      </c>
      <c r="G55" s="952">
        <f t="shared" si="3"/>
        <v>0.98947368421052628</v>
      </c>
      <c r="H55" s="953"/>
      <c r="I55" s="953"/>
      <c r="J55" s="953"/>
      <c r="K55" s="954"/>
      <c r="L55" s="981" t="s">
        <v>428</v>
      </c>
      <c r="M55" s="982"/>
      <c r="N55" s="982"/>
      <c r="O55" s="982"/>
      <c r="P55" s="982"/>
      <c r="Q55" s="982"/>
      <c r="AH55" s="67"/>
      <c r="AI55" s="67"/>
    </row>
    <row r="56" spans="1:35" ht="22.5" customHeight="1">
      <c r="A56" s="3"/>
      <c r="B56" s="989"/>
      <c r="C56" s="989"/>
      <c r="D56" s="989"/>
      <c r="E56" s="989"/>
      <c r="F56" s="988"/>
      <c r="G56" s="988"/>
      <c r="H56" s="988"/>
      <c r="I56" s="988"/>
      <c r="J56" s="988"/>
      <c r="K56" s="988"/>
      <c r="L56" s="983"/>
      <c r="M56" s="983"/>
      <c r="N56" s="983"/>
      <c r="O56" s="983"/>
      <c r="P56" s="983"/>
      <c r="AH56" s="67"/>
      <c r="AI56" s="67"/>
    </row>
    <row r="57" spans="1:35" ht="22.5" customHeight="1">
      <c r="A57" s="3"/>
      <c r="B57" s="986"/>
      <c r="C57" s="986"/>
      <c r="D57" s="986"/>
      <c r="E57" s="987"/>
      <c r="F57" s="979"/>
      <c r="G57" s="980"/>
      <c r="H57" s="980"/>
      <c r="I57" s="980"/>
      <c r="J57" s="980"/>
      <c r="K57" s="987"/>
      <c r="L57" s="979"/>
      <c r="M57" s="980"/>
      <c r="N57" s="980"/>
      <c r="O57" s="980"/>
      <c r="P57" s="980"/>
      <c r="Y57" s="67"/>
      <c r="Z57" s="67"/>
      <c r="AA57" s="67"/>
      <c r="AB57" s="67"/>
      <c r="AC57" s="67"/>
      <c r="AD57" s="67"/>
      <c r="AE57" s="67"/>
      <c r="AF57" s="67"/>
      <c r="AG57" s="67"/>
      <c r="AH57" s="67"/>
      <c r="AI57" s="67"/>
    </row>
    <row r="58" spans="1:35">
      <c r="A58" s="3"/>
      <c r="B58" s="190"/>
      <c r="C58" s="190"/>
      <c r="D58" s="190"/>
      <c r="E58" s="190"/>
      <c r="F58" s="190"/>
      <c r="G58" s="190"/>
      <c r="H58" s="191"/>
      <c r="I58" s="190"/>
      <c r="J58" s="190"/>
      <c r="K58" s="190"/>
      <c r="L58" s="190"/>
      <c r="M58" s="190"/>
      <c r="N58" s="190"/>
      <c r="O58" s="190"/>
      <c r="P58" s="190"/>
      <c r="Y58" s="67"/>
      <c r="Z58" s="67"/>
      <c r="AA58" s="67"/>
      <c r="AB58" s="67"/>
      <c r="AC58" s="67"/>
      <c r="AD58" s="67"/>
      <c r="AE58" s="67"/>
      <c r="AF58" s="67"/>
      <c r="AG58" s="67"/>
      <c r="AH58" s="67"/>
      <c r="AI58" s="67"/>
    </row>
    <row r="59" spans="1:35">
      <c r="A59" s="3"/>
      <c r="B59" s="984"/>
      <c r="C59" s="984"/>
      <c r="D59" s="984"/>
      <c r="E59" s="984"/>
      <c r="F59" s="984"/>
      <c r="G59" s="984"/>
      <c r="H59" s="984"/>
      <c r="I59" s="984"/>
      <c r="J59" s="984"/>
      <c r="K59" s="984"/>
      <c r="L59" s="190"/>
      <c r="M59" s="190"/>
      <c r="N59" s="190"/>
      <c r="O59" s="190"/>
      <c r="P59" s="190"/>
      <c r="Y59" s="67"/>
      <c r="Z59" s="67"/>
      <c r="AA59" s="67"/>
      <c r="AB59" s="67"/>
      <c r="AC59" s="67"/>
      <c r="AD59" s="67"/>
      <c r="AE59" s="67"/>
      <c r="AF59" s="67"/>
      <c r="AG59" s="67"/>
      <c r="AH59" s="67"/>
      <c r="AI59" s="67"/>
    </row>
    <row r="60" spans="1:35">
      <c r="A60" s="3"/>
      <c r="B60" s="984"/>
      <c r="C60" s="984"/>
      <c r="D60" s="984"/>
      <c r="E60" s="984"/>
      <c r="F60" s="984"/>
      <c r="G60" s="984"/>
      <c r="H60" s="984"/>
      <c r="I60" s="984"/>
      <c r="J60" s="984"/>
      <c r="K60" s="984"/>
      <c r="L60" s="190"/>
      <c r="M60" s="190"/>
      <c r="N60" s="190"/>
      <c r="O60" s="190"/>
      <c r="P60" s="190"/>
      <c r="S60" s="67"/>
      <c r="T60" s="67"/>
      <c r="U60" s="67"/>
      <c r="V60" s="67"/>
      <c r="W60" s="67"/>
      <c r="X60" s="67"/>
      <c r="Y60" s="67"/>
      <c r="Z60" s="67"/>
      <c r="AA60" s="67"/>
      <c r="AB60" s="67"/>
      <c r="AC60" s="67"/>
      <c r="AD60" s="67"/>
      <c r="AE60" s="67"/>
      <c r="AF60" s="67"/>
      <c r="AG60" s="67"/>
      <c r="AH60" s="67"/>
      <c r="AI60" s="67"/>
    </row>
    <row r="61" spans="1:35">
      <c r="A61" s="3"/>
      <c r="B61" s="3"/>
      <c r="C61" s="3"/>
      <c r="D61" s="3"/>
      <c r="E61" s="3"/>
      <c r="F61" s="3"/>
      <c r="G61" s="3"/>
      <c r="H61" s="3"/>
      <c r="I61" s="90"/>
      <c r="J61" s="90"/>
      <c r="K61" s="90"/>
      <c r="L61" s="3"/>
      <c r="M61" s="3"/>
      <c r="N61" s="3"/>
      <c r="O61" s="3"/>
      <c r="P61" s="3"/>
      <c r="S61" s="67"/>
      <c r="T61" s="67"/>
      <c r="U61" s="67"/>
      <c r="V61" s="67"/>
      <c r="W61" s="67"/>
      <c r="X61" s="67"/>
      <c r="Y61" s="67"/>
      <c r="Z61" s="67"/>
      <c r="AA61" s="67"/>
      <c r="AB61" s="67"/>
      <c r="AC61" s="67"/>
      <c r="AD61" s="67"/>
      <c r="AE61" s="67"/>
      <c r="AF61" s="67"/>
      <c r="AG61" s="67"/>
      <c r="AH61" s="67"/>
      <c r="AI61" s="67"/>
    </row>
    <row r="62" spans="1:35">
      <c r="A62" s="3"/>
      <c r="B62" s="3"/>
      <c r="C62" s="3"/>
      <c r="D62" s="3"/>
      <c r="E62" s="3"/>
      <c r="F62" s="3"/>
      <c r="G62" s="3"/>
      <c r="H62" s="3"/>
      <c r="I62" s="117"/>
      <c r="J62" s="118"/>
      <c r="K62" s="118"/>
      <c r="L62" s="3"/>
      <c r="M62" s="3"/>
      <c r="N62" s="3"/>
      <c r="O62" s="3"/>
      <c r="P62" s="3"/>
      <c r="S62" s="67"/>
      <c r="T62" s="67"/>
      <c r="U62" s="67"/>
      <c r="V62" s="67"/>
      <c r="W62" s="67"/>
      <c r="X62" s="67"/>
      <c r="Y62" s="67"/>
      <c r="Z62" s="67"/>
      <c r="AA62" s="67"/>
      <c r="AB62" s="67"/>
      <c r="AC62" s="67"/>
      <c r="AD62" s="67"/>
      <c r="AE62" s="67"/>
      <c r="AF62" s="67"/>
      <c r="AG62" s="67"/>
      <c r="AH62" s="67"/>
      <c r="AI62" s="67"/>
    </row>
    <row r="63" spans="1:35">
      <c r="A63" s="3"/>
      <c r="B63" s="3"/>
      <c r="C63" s="3"/>
      <c r="D63" s="3"/>
      <c r="E63" s="3"/>
      <c r="F63" s="3"/>
      <c r="G63" s="3"/>
      <c r="H63" s="3"/>
      <c r="I63" s="119"/>
      <c r="J63" s="120"/>
      <c r="K63" s="92"/>
      <c r="L63" s="3"/>
      <c r="M63" s="3"/>
      <c r="N63" s="3"/>
      <c r="O63" s="3"/>
      <c r="P63" s="3"/>
      <c r="S63" s="67"/>
      <c r="T63" s="67"/>
      <c r="U63" s="67"/>
      <c r="V63" s="67"/>
      <c r="W63" s="67"/>
      <c r="X63" s="67"/>
      <c r="Y63" s="67"/>
      <c r="Z63" s="67"/>
      <c r="AA63" s="67"/>
      <c r="AB63" s="67"/>
      <c r="AC63" s="67"/>
      <c r="AD63" s="67"/>
      <c r="AE63" s="67"/>
      <c r="AF63" s="67"/>
      <c r="AG63" s="67"/>
      <c r="AH63" s="67"/>
      <c r="AI63" s="67"/>
    </row>
    <row r="64" spans="1:35">
      <c r="A64" s="3"/>
      <c r="B64" s="3"/>
      <c r="C64" s="3"/>
      <c r="D64" s="3"/>
      <c r="E64" s="3"/>
      <c r="F64" s="3"/>
      <c r="G64" s="3"/>
      <c r="H64" s="3"/>
      <c r="I64" s="121"/>
      <c r="J64" s="120"/>
      <c r="K64" s="92"/>
      <c r="L64" s="3"/>
      <c r="M64" s="3"/>
      <c r="N64" s="3"/>
      <c r="O64" s="3"/>
      <c r="P64" s="3"/>
      <c r="S64" s="67"/>
      <c r="T64" s="67"/>
      <c r="U64" s="67"/>
      <c r="V64" s="67"/>
      <c r="W64" s="67"/>
      <c r="X64" s="67"/>
      <c r="Y64" s="67"/>
      <c r="Z64" s="67"/>
      <c r="AA64" s="67"/>
      <c r="AB64" s="67"/>
      <c r="AC64" s="67"/>
      <c r="AD64" s="67"/>
      <c r="AE64" s="67"/>
      <c r="AF64" s="67"/>
      <c r="AG64" s="67"/>
      <c r="AH64" s="67"/>
      <c r="AI64" s="67"/>
    </row>
    <row r="65" spans="1:35">
      <c r="A65" s="3"/>
      <c r="B65" s="3"/>
      <c r="C65" s="3"/>
      <c r="D65" s="3"/>
      <c r="E65" s="3"/>
      <c r="F65" s="3"/>
      <c r="G65" s="3"/>
      <c r="H65" s="3"/>
      <c r="I65" s="119"/>
      <c r="J65" s="120"/>
      <c r="K65" s="92"/>
      <c r="L65" s="3"/>
      <c r="M65" s="3"/>
      <c r="N65" s="3"/>
      <c r="O65" s="3"/>
      <c r="P65" s="3"/>
      <c r="S65" s="67"/>
      <c r="T65" s="67"/>
      <c r="U65" s="67"/>
      <c r="V65" s="67"/>
      <c r="W65" s="67"/>
      <c r="X65" s="67"/>
      <c r="Y65" s="67"/>
      <c r="Z65" s="67"/>
      <c r="AA65" s="67"/>
      <c r="AB65" s="67"/>
      <c r="AC65" s="67"/>
      <c r="AD65" s="67"/>
      <c r="AE65" s="67"/>
      <c r="AF65" s="67"/>
      <c r="AG65" s="67"/>
      <c r="AH65" s="67"/>
      <c r="AI65" s="67"/>
    </row>
    <row r="66" spans="1:35">
      <c r="A66" s="3"/>
      <c r="B66" s="3"/>
      <c r="C66" s="3"/>
      <c r="D66" s="3"/>
      <c r="E66" s="3"/>
      <c r="F66" s="3"/>
      <c r="G66" s="3"/>
      <c r="H66" s="3"/>
      <c r="I66" s="3"/>
      <c r="J66" s="3"/>
      <c r="K66" s="3"/>
      <c r="L66" s="3"/>
      <c r="M66" s="3"/>
      <c r="N66" s="3"/>
      <c r="O66" s="3"/>
      <c r="P66" s="3"/>
      <c r="S66" s="67"/>
      <c r="T66" s="67"/>
      <c r="U66" s="67"/>
      <c r="V66" s="67"/>
      <c r="W66" s="67"/>
      <c r="X66" s="67"/>
      <c r="Y66" s="67"/>
      <c r="Z66" s="67"/>
      <c r="AA66" s="67"/>
      <c r="AB66" s="67"/>
      <c r="AC66" s="67"/>
      <c r="AD66" s="67"/>
      <c r="AE66" s="67"/>
      <c r="AF66" s="67"/>
      <c r="AG66" s="67"/>
      <c r="AH66" s="67"/>
      <c r="AI66" s="67"/>
    </row>
    <row r="67" spans="1:35">
      <c r="A67" s="3"/>
      <c r="B67" s="3"/>
      <c r="C67" s="3"/>
      <c r="D67" s="3"/>
      <c r="E67" s="3"/>
      <c r="F67" s="3"/>
      <c r="G67" s="3"/>
      <c r="H67" s="3"/>
      <c r="I67" s="3"/>
      <c r="J67" s="3"/>
      <c r="K67" s="3"/>
      <c r="L67" s="3"/>
      <c r="M67" s="3"/>
      <c r="N67" s="3"/>
      <c r="O67" s="3"/>
      <c r="P67" s="3"/>
      <c r="S67" s="67"/>
      <c r="T67" s="67"/>
      <c r="U67" s="67"/>
      <c r="V67" s="67"/>
      <c r="W67" s="67"/>
      <c r="X67" s="67"/>
      <c r="Y67" s="67"/>
      <c r="Z67" s="67"/>
      <c r="AA67" s="67"/>
      <c r="AB67" s="67"/>
      <c r="AC67" s="67"/>
      <c r="AD67" s="67"/>
      <c r="AE67" s="67"/>
      <c r="AF67" s="67"/>
      <c r="AG67" s="67"/>
      <c r="AH67" s="67"/>
      <c r="AI67" s="67"/>
    </row>
    <row r="68" spans="1:35">
      <c r="A68" s="3"/>
      <c r="B68" s="3"/>
      <c r="C68" s="3"/>
      <c r="D68" s="3"/>
      <c r="E68" s="3"/>
      <c r="F68" s="3"/>
      <c r="G68" s="3"/>
      <c r="H68" s="3"/>
      <c r="I68" s="3"/>
      <c r="J68" s="3"/>
      <c r="K68" s="3"/>
      <c r="L68" s="3"/>
      <c r="M68" s="3"/>
      <c r="N68" s="3"/>
      <c r="O68" s="3"/>
      <c r="P68" s="3"/>
      <c r="S68" s="60"/>
      <c r="T68" s="60"/>
      <c r="U68" s="60"/>
      <c r="V68" s="60"/>
      <c r="W68" s="60"/>
      <c r="X68" s="60"/>
      <c r="Y68" s="60"/>
      <c r="Z68" s="60"/>
      <c r="AA68" s="60"/>
      <c r="AB68" s="60"/>
    </row>
    <row r="69" spans="1:35">
      <c r="S69" s="60"/>
      <c r="T69" s="60"/>
      <c r="U69" s="60"/>
      <c r="V69" s="60"/>
      <c r="W69" s="60"/>
      <c r="X69" s="60"/>
      <c r="Y69" s="60"/>
      <c r="Z69" s="60"/>
      <c r="AA69" s="60"/>
      <c r="AB69" s="60"/>
    </row>
    <row r="70" spans="1:35">
      <c r="S70" s="60"/>
      <c r="T70" s="60"/>
      <c r="U70" s="60"/>
      <c r="V70" s="60"/>
      <c r="W70" s="60"/>
      <c r="X70" s="60"/>
      <c r="Y70" s="60"/>
      <c r="Z70" s="60"/>
      <c r="AA70" s="60"/>
      <c r="AB70" s="60"/>
    </row>
    <row r="71" spans="1:35">
      <c r="S71" s="60"/>
      <c r="T71" s="60"/>
      <c r="U71" s="60"/>
      <c r="V71" s="60"/>
      <c r="W71" s="60"/>
      <c r="X71" s="60"/>
      <c r="Y71" s="60"/>
      <c r="Z71" s="60"/>
      <c r="AA71" s="60"/>
      <c r="AB71" s="60"/>
    </row>
    <row r="72" spans="1:35">
      <c r="S72" s="60"/>
      <c r="T72" s="60"/>
      <c r="U72" s="60"/>
      <c r="V72" s="60"/>
      <c r="W72" s="60"/>
      <c r="X72" s="60"/>
      <c r="Y72" s="60"/>
      <c r="Z72" s="60"/>
      <c r="AA72" s="60"/>
      <c r="AB72" s="60"/>
    </row>
  </sheetData>
  <mergeCells count="97">
    <mergeCell ref="B2:Q2"/>
    <mergeCell ref="O3:P3"/>
    <mergeCell ref="D5:N5"/>
    <mergeCell ref="L36:Q36"/>
    <mergeCell ref="E3:K3"/>
    <mergeCell ref="C4:D4"/>
    <mergeCell ref="E6:L6"/>
    <mergeCell ref="B8:E8"/>
    <mergeCell ref="F8:K8"/>
    <mergeCell ref="L8:Q8"/>
    <mergeCell ref="C9:E9"/>
    <mergeCell ref="G9:K9"/>
    <mergeCell ref="M9:Q9"/>
    <mergeCell ref="E20:K20"/>
    <mergeCell ref="B24:D24"/>
    <mergeCell ref="B21:D21"/>
    <mergeCell ref="B25:D25"/>
    <mergeCell ref="G21:H21"/>
    <mergeCell ref="G25:K25"/>
    <mergeCell ref="L25:Q25"/>
    <mergeCell ref="B26:D26"/>
    <mergeCell ref="G26:K26"/>
    <mergeCell ref="L26:Q26"/>
    <mergeCell ref="G24:K24"/>
    <mergeCell ref="L24:Q24"/>
    <mergeCell ref="G29:K29"/>
    <mergeCell ref="B30:D30"/>
    <mergeCell ref="G31:K31"/>
    <mergeCell ref="G28:K28"/>
    <mergeCell ref="L27:Q27"/>
    <mergeCell ref="B28:D28"/>
    <mergeCell ref="B27:D27"/>
    <mergeCell ref="G27:K27"/>
    <mergeCell ref="L29:Q29"/>
    <mergeCell ref="G30:K30"/>
    <mergeCell ref="L30:Q30"/>
    <mergeCell ref="B29:D29"/>
    <mergeCell ref="L31:Q31"/>
    <mergeCell ref="B31:D31"/>
    <mergeCell ref="B59:D60"/>
    <mergeCell ref="E59:G60"/>
    <mergeCell ref="H59:K60"/>
    <mergeCell ref="B54:D54"/>
    <mergeCell ref="G54:K54"/>
    <mergeCell ref="G55:K55"/>
    <mergeCell ref="B57:E57"/>
    <mergeCell ref="F57:K57"/>
    <mergeCell ref="F56:K56"/>
    <mergeCell ref="B56:E56"/>
    <mergeCell ref="L57:P57"/>
    <mergeCell ref="L50:Q50"/>
    <mergeCell ref="L51:Q51"/>
    <mergeCell ref="L52:Q52"/>
    <mergeCell ref="L56:P56"/>
    <mergeCell ref="L54:Q54"/>
    <mergeCell ref="L53:Q53"/>
    <mergeCell ref="B55:D55"/>
    <mergeCell ref="G49:H49"/>
    <mergeCell ref="I49:J49"/>
    <mergeCell ref="E48:K48"/>
    <mergeCell ref="B49:D49"/>
    <mergeCell ref="B50:D50"/>
    <mergeCell ref="G51:K51"/>
    <mergeCell ref="B52:D52"/>
    <mergeCell ref="B51:D51"/>
    <mergeCell ref="G52:K52"/>
    <mergeCell ref="B53:D53"/>
    <mergeCell ref="G53:K53"/>
    <mergeCell ref="L49:Q49"/>
    <mergeCell ref="L55:Q55"/>
    <mergeCell ref="G50:K50"/>
    <mergeCell ref="C3:D3"/>
    <mergeCell ref="E4:L4"/>
    <mergeCell ref="B36:E36"/>
    <mergeCell ref="F36:K36"/>
    <mergeCell ref="I21:J21"/>
    <mergeCell ref="L21:Q21"/>
    <mergeCell ref="B22:D22"/>
    <mergeCell ref="G22:K22"/>
    <mergeCell ref="L22:Q22"/>
    <mergeCell ref="B23:D23"/>
    <mergeCell ref="G23:K23"/>
    <mergeCell ref="L23:Q23"/>
    <mergeCell ref="L28:Q28"/>
    <mergeCell ref="C37:E37"/>
    <mergeCell ref="G37:K37"/>
    <mergeCell ref="L32:Q32"/>
    <mergeCell ref="B34:D34"/>
    <mergeCell ref="G34:K34"/>
    <mergeCell ref="L34:Q34"/>
    <mergeCell ref="F35:M35"/>
    <mergeCell ref="M37:Q37"/>
    <mergeCell ref="B33:D33"/>
    <mergeCell ref="G33:K33"/>
    <mergeCell ref="L33:Q33"/>
    <mergeCell ref="G32:K32"/>
    <mergeCell ref="B32:D32"/>
  </mergeCells>
  <phoneticPr fontId="30" type="noConversion"/>
  <conditionalFormatting sqref="C4:D4">
    <cfRule type="cellIs" dxfId="50" priority="260" stopIfTrue="1" operator="equal">
      <formula>"C"</formula>
    </cfRule>
    <cfRule type="cellIs" dxfId="49" priority="261" stopIfTrue="1" operator="equal">
      <formula>"B2"</formula>
    </cfRule>
    <cfRule type="cellIs" dxfId="48" priority="262" stopIfTrue="1" operator="equal">
      <formula>"B1"</formula>
    </cfRule>
  </conditionalFormatting>
  <conditionalFormatting sqref="G50:G55">
    <cfRule type="cellIs" dxfId="47" priority="82" stopIfTrue="1" operator="between">
      <formula>0</formula>
      <formula>0.599</formula>
    </cfRule>
    <cfRule type="cellIs" dxfId="46" priority="83" stopIfTrue="1" operator="between">
      <formula>0.6</formula>
      <formula>0.899</formula>
    </cfRule>
    <cfRule type="cellIs" dxfId="45" priority="84" stopIfTrue="1" operator="greaterThanOrEqual">
      <formula>0.9</formula>
    </cfRule>
  </conditionalFormatting>
  <conditionalFormatting sqref="G50:K55">
    <cfRule type="cellIs" dxfId="44" priority="79" stopIfTrue="1" operator="greaterThan">
      <formula>0.9</formula>
    </cfRule>
    <cfRule type="cellIs" dxfId="43" priority="80" stopIfTrue="1" operator="between">
      <formula>0.6</formula>
      <formula>0.89</formula>
    </cfRule>
    <cfRule type="cellIs" dxfId="42" priority="81" stopIfTrue="1" operator="lessThan">
      <formula>0.59</formula>
    </cfRule>
  </conditionalFormatting>
  <conditionalFormatting sqref="G22 G25">
    <cfRule type="cellIs" dxfId="41" priority="76" stopIfTrue="1" operator="between">
      <formula>0</formula>
      <formula>0.599</formula>
    </cfRule>
    <cfRule type="cellIs" dxfId="40" priority="77" stopIfTrue="1" operator="between">
      <formula>0.6</formula>
      <formula>0.899</formula>
    </cfRule>
    <cfRule type="cellIs" dxfId="39" priority="78" stopIfTrue="1" operator="greaterThanOrEqual">
      <formula>0.9</formula>
    </cfRule>
  </conditionalFormatting>
  <conditionalFormatting sqref="G33">
    <cfRule type="cellIs" dxfId="38" priority="73" stopIfTrue="1" operator="between">
      <formula>0</formula>
      <formula>0.599</formula>
    </cfRule>
    <cfRule type="cellIs" dxfId="37" priority="74" stopIfTrue="1" operator="between">
      <formula>0.6</formula>
      <formula>0.899</formula>
    </cfRule>
    <cfRule type="cellIs" dxfId="36" priority="75" stopIfTrue="1" operator="greaterThanOrEqual">
      <formula>0.9</formula>
    </cfRule>
  </conditionalFormatting>
  <conditionalFormatting sqref="G26">
    <cfRule type="cellIs" dxfId="35" priority="61" stopIfTrue="1" operator="between">
      <formula>0</formula>
      <formula>0.599</formula>
    </cfRule>
    <cfRule type="cellIs" dxfId="34" priority="62" stopIfTrue="1" operator="between">
      <formula>0.6</formula>
      <formula>0.899</formula>
    </cfRule>
    <cfRule type="cellIs" dxfId="33" priority="63" stopIfTrue="1" operator="greaterThanOrEqual">
      <formula>0.9</formula>
    </cfRule>
  </conditionalFormatting>
  <conditionalFormatting sqref="G27">
    <cfRule type="cellIs" dxfId="32" priority="58" stopIfTrue="1" operator="between">
      <formula>0</formula>
      <formula>0.599</formula>
    </cfRule>
    <cfRule type="cellIs" dxfId="31" priority="59" stopIfTrue="1" operator="between">
      <formula>0.6</formula>
      <formula>0.899</formula>
    </cfRule>
    <cfRule type="cellIs" dxfId="30" priority="60" stopIfTrue="1" operator="greaterThanOrEqual">
      <formula>0.9</formula>
    </cfRule>
  </conditionalFormatting>
  <conditionalFormatting sqref="G28">
    <cfRule type="cellIs" dxfId="29" priority="55" stopIfTrue="1" operator="between">
      <formula>0</formula>
      <formula>0.599</formula>
    </cfRule>
    <cfRule type="cellIs" dxfId="28" priority="56" stopIfTrue="1" operator="between">
      <formula>0.6</formula>
      <formula>0.899</formula>
    </cfRule>
    <cfRule type="cellIs" dxfId="27" priority="57" stopIfTrue="1" operator="greaterThanOrEqual">
      <formula>0.9</formula>
    </cfRule>
  </conditionalFormatting>
  <conditionalFormatting sqref="G29">
    <cfRule type="cellIs" dxfId="26" priority="52" stopIfTrue="1" operator="between">
      <formula>0</formula>
      <formula>0.599</formula>
    </cfRule>
    <cfRule type="cellIs" dxfId="25" priority="53" stopIfTrue="1" operator="between">
      <formula>0.6</formula>
      <formula>0.899</formula>
    </cfRule>
    <cfRule type="cellIs" dxfId="24" priority="54" stopIfTrue="1" operator="greaterThanOrEqual">
      <formula>0.9</formula>
    </cfRule>
  </conditionalFormatting>
  <conditionalFormatting sqref="G31">
    <cfRule type="cellIs" dxfId="23" priority="49" stopIfTrue="1" operator="between">
      <formula>0</formula>
      <formula>0.599</formula>
    </cfRule>
    <cfRule type="cellIs" dxfId="22" priority="50" stopIfTrue="1" operator="between">
      <formula>0.6</formula>
      <formula>0.899</formula>
    </cfRule>
    <cfRule type="cellIs" dxfId="21" priority="51" stopIfTrue="1" operator="greaterThanOrEqual">
      <formula>0.9</formula>
    </cfRule>
  </conditionalFormatting>
  <conditionalFormatting sqref="G32">
    <cfRule type="cellIs" dxfId="20" priority="46" stopIfTrue="1" operator="between">
      <formula>0</formula>
      <formula>0.599</formula>
    </cfRule>
    <cfRule type="cellIs" dxfId="19" priority="47" stopIfTrue="1" operator="between">
      <formula>0.6</formula>
      <formula>0.899</formula>
    </cfRule>
    <cfRule type="cellIs" dxfId="18" priority="48" stopIfTrue="1" operator="greaterThanOrEqual">
      <formula>0.9</formula>
    </cfRule>
  </conditionalFormatting>
  <conditionalFormatting sqref="G30">
    <cfRule type="cellIs" dxfId="17" priority="40" stopIfTrue="1" operator="between">
      <formula>0</formula>
      <formula>0.599</formula>
    </cfRule>
    <cfRule type="cellIs" dxfId="16" priority="41" stopIfTrue="1" operator="between">
      <formula>0.6</formula>
      <formula>0.899</formula>
    </cfRule>
    <cfRule type="cellIs" dxfId="15" priority="42" stopIfTrue="1" operator="greaterThanOrEqual">
      <formula>0.9</formula>
    </cfRule>
  </conditionalFormatting>
  <conditionalFormatting sqref="G23">
    <cfRule type="cellIs" dxfId="14" priority="7" stopIfTrue="1" operator="between">
      <formula>0</formula>
      <formula>0.599</formula>
    </cfRule>
    <cfRule type="cellIs" dxfId="13" priority="8" stopIfTrue="1" operator="between">
      <formula>0.6</formula>
      <formula>0.899</formula>
    </cfRule>
    <cfRule type="cellIs" dxfId="12" priority="9" stopIfTrue="1" operator="greaterThanOrEqual">
      <formula>0.9</formula>
    </cfRule>
  </conditionalFormatting>
  <conditionalFormatting sqref="G24">
    <cfRule type="cellIs" dxfId="11" priority="4" stopIfTrue="1" operator="between">
      <formula>0</formula>
      <formula>0.599</formula>
    </cfRule>
    <cfRule type="cellIs" dxfId="10" priority="5" stopIfTrue="1" operator="between">
      <formula>0.6</formula>
      <formula>0.899</formula>
    </cfRule>
    <cfRule type="cellIs" dxfId="9" priority="6" stopIfTrue="1" operator="greaterThanOrEqual">
      <formula>0.9</formula>
    </cfRule>
  </conditionalFormatting>
  <conditionalFormatting sqref="G34">
    <cfRule type="cellIs" dxfId="8" priority="1" stopIfTrue="1" operator="between">
      <formula>0</formula>
      <formula>0.599</formula>
    </cfRule>
    <cfRule type="cellIs" dxfId="7" priority="2" stopIfTrue="1" operator="between">
      <formula>0.6</formula>
      <formula>0.899</formula>
    </cfRule>
    <cfRule type="cellIs" dxfId="6" priority="3" stopIfTrue="1" operator="greaterThanOrEqual">
      <formula>0.9</formula>
    </cfRule>
  </conditionalFormatting>
  <pageMargins left="0.70866141732283472" right="0.70866141732283472" top="0.74803149606299213" bottom="0.74803149606299213" header="0.31496062992125984" footer="0.31496062992125984"/>
  <pageSetup paperSize="8" scale="87" orientation="landscape" r:id="rId1"/>
  <headerFooter alignWithMargins="0">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27"/>
  </sheetPr>
  <dimension ref="A1:Q42"/>
  <sheetViews>
    <sheetView showGridLines="0" topLeftCell="A22" zoomScale="90" zoomScaleNormal="90" workbookViewId="0">
      <selection activeCell="D33" sqref="D33:G33"/>
    </sheetView>
  </sheetViews>
  <sheetFormatPr defaultColWidth="9.1796875" defaultRowHeight="11.5"/>
  <cols>
    <col min="1" max="1" width="1.1796875" style="28" customWidth="1"/>
    <col min="2" max="2" width="19.26953125" style="28" customWidth="1"/>
    <col min="3" max="3" width="1.1796875" style="28" customWidth="1"/>
    <col min="4" max="4" width="17.1796875" style="28" customWidth="1"/>
    <col min="5" max="5" width="17.54296875" style="28" customWidth="1"/>
    <col min="6" max="6" width="9.7265625" style="28" customWidth="1"/>
    <col min="7" max="7" width="13" style="28" customWidth="1"/>
    <col min="8" max="8" width="4.26953125" style="28" customWidth="1"/>
    <col min="9" max="9" width="15.81640625" style="28" customWidth="1"/>
    <col min="10" max="10" width="3.54296875" style="28" customWidth="1"/>
    <col min="11" max="11" width="7.54296875" style="29" customWidth="1"/>
    <col min="12" max="12" width="16.7265625" style="28" customWidth="1"/>
    <col min="13" max="13" width="12" style="28" customWidth="1"/>
    <col min="14" max="14" width="5.453125" style="28" customWidth="1"/>
    <col min="15" max="15" width="2.54296875" style="28" customWidth="1"/>
    <col min="16" max="16384" width="9.1796875" style="28"/>
  </cols>
  <sheetData>
    <row r="1" spans="1:17" ht="38.25" customHeight="1">
      <c r="A1" s="122"/>
      <c r="B1" s="122"/>
      <c r="C1" s="122"/>
      <c r="D1" s="122"/>
      <c r="E1" s="122"/>
      <c r="F1" s="122"/>
      <c r="G1" s="122"/>
      <c r="H1" s="122"/>
      <c r="I1" s="122"/>
      <c r="J1" s="122"/>
      <c r="K1" s="123"/>
      <c r="L1" s="122"/>
      <c r="M1" s="122"/>
      <c r="N1" s="122"/>
    </row>
    <row r="2" spans="1:17" customFormat="1" ht="27.75" customHeight="1">
      <c r="A2" s="3"/>
      <c r="B2" s="1023" t="str">
        <f>+"Панель показателей:  "&amp;"  "&amp;IF(+'Ввод данных'!B4="Выберите","",'Ввод данных'!B4&amp;" - ")&amp;IF('Ввод данных'!F6="Выберите","",'Ввод данных'!F6)</f>
        <v>Панель показателей:    Кыргызстан - ВИЧ/СПИД/ТБ</v>
      </c>
      <c r="C2" s="1023"/>
      <c r="D2" s="1023"/>
      <c r="E2" s="1023"/>
      <c r="F2" s="1023"/>
      <c r="G2" s="1023"/>
      <c r="H2" s="1023"/>
      <c r="I2" s="1023"/>
      <c r="J2" s="1023"/>
      <c r="K2" s="1023"/>
      <c r="L2" s="1023"/>
      <c r="M2" s="1023"/>
      <c r="N2" s="1023"/>
      <c r="O2" s="1023"/>
      <c r="P2" s="1023"/>
      <c r="Q2" s="1023"/>
    </row>
    <row r="3" spans="1:17" customFormat="1" ht="18.5">
      <c r="A3" s="3"/>
      <c r="B3" s="580">
        <f>+IF('Ввод данных'!F8="Выберите","",'Ввод данных'!F8)</f>
        <v>0</v>
      </c>
      <c r="C3" s="900"/>
      <c r="D3" s="900"/>
      <c r="E3" s="1024"/>
      <c r="F3" s="1024"/>
      <c r="G3" s="1024"/>
      <c r="H3" s="1024"/>
      <c r="I3" s="1024"/>
      <c r="J3" s="1024"/>
      <c r="K3" s="1024"/>
      <c r="L3" s="580" t="str">
        <f>+'Ввод данных'!A16</f>
        <v>Отчетный период</v>
      </c>
      <c r="M3" s="170" t="str">
        <f>+'Ввод данных'!B16</f>
        <v>P5</v>
      </c>
      <c r="N3" s="170"/>
      <c r="O3" s="28"/>
    </row>
    <row r="4" spans="1:17" customFormat="1" ht="14.5">
      <c r="A4" s="3"/>
      <c r="B4" s="318" t="str">
        <f>+'Ввод данных'!A12</f>
        <v>Последняя оценка:</v>
      </c>
      <c r="C4" s="1025" t="str">
        <f>+IF('Ввод данных'!B12="Выберите","",'Ввод данных'!B12)</f>
        <v>A2</v>
      </c>
      <c r="D4" s="1025"/>
      <c r="E4" s="899" t="str">
        <f>+'Ввод данных'!B8</f>
        <v>ПРООН</v>
      </c>
      <c r="F4" s="899"/>
      <c r="G4" s="899"/>
      <c r="H4" s="899"/>
      <c r="I4" s="899"/>
      <c r="J4" s="899"/>
      <c r="K4" s="899"/>
      <c r="L4" s="580" t="str">
        <f>+'Ввод данных'!C16</f>
        <v>с:</v>
      </c>
      <c r="M4" s="171">
        <f>+IF(ISBLANK('Ввод данных'!D16),"",'Ввод данных'!D16)</f>
        <v>44013</v>
      </c>
      <c r="N4" s="171"/>
      <c r="O4" s="28"/>
    </row>
    <row r="5" spans="1:17" customFormat="1" ht="18.75" customHeight="1">
      <c r="A5" s="3"/>
      <c r="B5" s="580"/>
      <c r="C5" s="580"/>
      <c r="D5" s="108"/>
      <c r="E5" s="908"/>
      <c r="F5" s="908"/>
      <c r="G5" s="908"/>
      <c r="H5" s="908"/>
      <c r="I5" s="908"/>
      <c r="J5" s="908"/>
      <c r="K5" s="908"/>
      <c r="L5" s="580" t="str">
        <f>+'Ввод данных'!E16</f>
        <v>до:</v>
      </c>
      <c r="M5" s="171">
        <f>+IF(ISBLANK('Ввод данных'!F16),"",'Ввод данных'!F16)</f>
        <v>44196</v>
      </c>
      <c r="N5" s="171"/>
    </row>
    <row r="6" spans="1:17" customFormat="1" ht="22.5" customHeight="1">
      <c r="A6" s="3"/>
      <c r="B6" s="111"/>
      <c r="C6" s="112"/>
      <c r="D6" s="113"/>
      <c r="E6" s="1066" t="s">
        <v>429</v>
      </c>
      <c r="F6" s="1066"/>
      <c r="G6" s="1066"/>
      <c r="H6" s="1066"/>
      <c r="I6" s="1066"/>
      <c r="J6" s="1066"/>
      <c r="K6" s="1066"/>
      <c r="L6" s="2"/>
      <c r="M6" s="2"/>
      <c r="N6" s="2"/>
    </row>
    <row r="7" spans="1:17" s="30" customFormat="1" ht="4.5" customHeight="1">
      <c r="A7" s="124"/>
      <c r="B7" s="125"/>
      <c r="C7" s="125"/>
      <c r="D7" s="125"/>
      <c r="E7" s="125"/>
      <c r="F7" s="125"/>
      <c r="G7" s="125"/>
      <c r="H7" s="125"/>
      <c r="I7" s="125"/>
      <c r="J7" s="125"/>
      <c r="K7" s="125"/>
      <c r="L7" s="126"/>
      <c r="M7" s="126"/>
      <c r="N7" s="127"/>
    </row>
    <row r="8" spans="1:17" s="30" customFormat="1" ht="21" customHeight="1" thickBot="1">
      <c r="A8" s="124"/>
      <c r="B8" s="1056" t="s">
        <v>430</v>
      </c>
      <c r="C8" s="1056"/>
      <c r="D8" s="1056"/>
      <c r="E8" s="1056"/>
      <c r="F8" s="1056"/>
      <c r="G8" s="1056"/>
      <c r="H8" s="1056"/>
      <c r="I8" s="1056"/>
      <c r="J8" s="1056"/>
      <c r="K8" s="1056"/>
      <c r="L8" s="1056"/>
      <c r="M8" s="1056"/>
      <c r="N8" s="1056"/>
    </row>
    <row r="9" spans="1:17" s="30" customFormat="1" ht="3.75" customHeight="1" thickBot="1">
      <c r="A9" s="124"/>
      <c r="B9" s="125"/>
      <c r="C9" s="125"/>
      <c r="D9" s="125"/>
      <c r="E9" s="125"/>
      <c r="F9" s="125"/>
      <c r="G9" s="125"/>
      <c r="H9" s="125"/>
      <c r="I9" s="125"/>
      <c r="J9" s="125"/>
      <c r="K9" s="125"/>
      <c r="L9" s="126"/>
      <c r="M9" s="126"/>
      <c r="N9" s="127"/>
    </row>
    <row r="10" spans="1:17" s="31" customFormat="1" ht="25.5" customHeight="1" thickBot="1">
      <c r="A10" s="128"/>
      <c r="B10" s="1078" t="s">
        <v>1</v>
      </c>
      <c r="C10" s="1079"/>
      <c r="D10" s="1067" t="s">
        <v>431</v>
      </c>
      <c r="E10" s="1068"/>
      <c r="F10" s="1068"/>
      <c r="G10" s="1069"/>
      <c r="H10" s="131"/>
      <c r="I10" s="1067" t="s">
        <v>429</v>
      </c>
      <c r="J10" s="1068"/>
      <c r="K10" s="1068"/>
      <c r="L10" s="1068"/>
      <c r="M10" s="1068"/>
      <c r="N10" s="1069"/>
    </row>
    <row r="11" spans="1:17" s="31" customFormat="1" ht="28.5" customHeight="1">
      <c r="A11" s="128"/>
      <c r="B11" s="288" t="s">
        <v>432</v>
      </c>
      <c r="C11" s="148"/>
      <c r="D11" s="1072" t="str">
        <f>IF(ISBLANK(Финансирование!C9),"",(Финансирование!C9))</f>
        <v xml:space="preserve">ГФ в отчетном периоде произвел выплату двумя траншами на общую сумму 1 448 431$. Итого всего было получено от ГФ 25 735 625$ за весь период, что составляет 99% от кумулятивного бюджета </v>
      </c>
      <c r="E11" s="1073"/>
      <c r="F11" s="1073"/>
      <c r="G11" s="1074"/>
      <c r="H11" s="154"/>
      <c r="I11" s="1080"/>
      <c r="J11" s="1081"/>
      <c r="K11" s="1081"/>
      <c r="L11" s="1081"/>
      <c r="M11" s="1081"/>
      <c r="N11" s="1082"/>
    </row>
    <row r="12" spans="1:17" s="31" customFormat="1" ht="27.75" customHeight="1">
      <c r="A12" s="128"/>
      <c r="B12" s="289" t="s">
        <v>433</v>
      </c>
      <c r="C12" s="149"/>
      <c r="D12" s="1091" t="str">
        <f>IF(ISBLANK(Финансирование!C23),"",(Финансирование!C23))</f>
        <v xml:space="preserve">Расходы  связаны с обеспечением всех направлений деятельности программы по задачам. За отчетный период было израсходовано  89% выделенного бюджета согласно фактическим потребностям. При этом на конец отчетного периода имеются финансовые обязательства на 1 273 720$, с учетом которых освоение будет 101%. </v>
      </c>
      <c r="E12" s="1091"/>
      <c r="F12" s="1091"/>
      <c r="G12" s="1092"/>
      <c r="H12" s="154"/>
      <c r="I12" s="1088"/>
      <c r="J12" s="1089"/>
      <c r="K12" s="1089"/>
      <c r="L12" s="1089"/>
      <c r="M12" s="1089"/>
      <c r="N12" s="1090"/>
    </row>
    <row r="13" spans="1:17" s="31" customFormat="1" ht="26.25" customHeight="1">
      <c r="A13" s="128"/>
      <c r="B13" s="289" t="s">
        <v>434</v>
      </c>
      <c r="C13" s="149"/>
      <c r="D13" s="1057" t="str">
        <f>IF(ISBLANK(Финансирование!K9),"",(Финансирование!K9))</f>
        <v xml:space="preserve">В отчетном периоде ГФ произвел выплату согласно утвержденного годового графика выплат.
Расходы ОП составили 9 114 391$, включая сумму финансовых обязательств, в основном, по закупкам товаров медицинского назначения и медицинского оборудования, лекарственных средств и фармацевтических препаратов, GMS  на 31 декабря 2021 в 1 248 364$. Итого за текущий период было освоено 88% выделенных средств на ОП. В текущем периоде ПРООН произвел выплаты 33 СП  в срок на общую сумму в 1 200 679$ по запросу от СП в рамках 39 подписанных Соглашений и бюджетов. </v>
      </c>
      <c r="E13" s="1058"/>
      <c r="F13" s="1058"/>
      <c r="G13" s="1087"/>
      <c r="H13" s="154"/>
      <c r="I13" s="1088"/>
      <c r="J13" s="1089"/>
      <c r="K13" s="1089"/>
      <c r="L13" s="1089"/>
      <c r="M13" s="1089"/>
      <c r="N13" s="1090"/>
    </row>
    <row r="14" spans="1:17" s="31" customFormat="1" ht="28.5" customHeight="1" thickBot="1">
      <c r="A14" s="128"/>
      <c r="B14" s="290" t="s">
        <v>435</v>
      </c>
      <c r="C14" s="150"/>
      <c r="D14" s="1070" t="str">
        <f>IF(ISBLANK(Финансирование!K23),"",(Финансирование!K23))</f>
        <v>В отчетном периоде ОП подготовил и направил только ИОР в ГФ и офис МАФ на 14 дней позже в виду одновременной подготовки ОП бюджета по COVID-19 и работы над заявкой на новое финансирование на период 2021-2023. Запроса на оплату в данном отчете не требовалось, т.к. за полгода предоставляется только программный отчет.</v>
      </c>
      <c r="E14" s="1070"/>
      <c r="F14" s="1070"/>
      <c r="G14" s="1071"/>
      <c r="H14" s="154"/>
      <c r="I14" s="1075"/>
      <c r="J14" s="1076"/>
      <c r="K14" s="1076"/>
      <c r="L14" s="1076"/>
      <c r="M14" s="1076"/>
      <c r="N14" s="1077"/>
    </row>
    <row r="15" spans="1:17" s="31" customFormat="1" ht="4.5" customHeight="1">
      <c r="A15" s="128"/>
      <c r="B15" s="151"/>
      <c r="C15" s="152"/>
      <c r="D15" s="153"/>
      <c r="E15" s="153"/>
      <c r="F15" s="153"/>
      <c r="G15" s="153"/>
      <c r="H15" s="154"/>
      <c r="I15" s="155"/>
      <c r="J15" s="155"/>
      <c r="K15" s="155"/>
      <c r="L15" s="155"/>
      <c r="M15" s="155"/>
      <c r="N15" s="155"/>
      <c r="O15" s="69"/>
    </row>
    <row r="16" spans="1:17" s="30" customFormat="1" ht="21" customHeight="1" thickBot="1">
      <c r="A16" s="124"/>
      <c r="B16" s="1056" t="s">
        <v>436</v>
      </c>
      <c r="C16" s="1056"/>
      <c r="D16" s="1056"/>
      <c r="E16" s="1056"/>
      <c r="F16" s="1056"/>
      <c r="G16" s="1056"/>
      <c r="H16" s="1056"/>
      <c r="I16" s="1056"/>
      <c r="J16" s="1056"/>
      <c r="K16" s="1056"/>
      <c r="L16" s="1056"/>
      <c r="M16" s="1056"/>
      <c r="N16" s="1056"/>
    </row>
    <row r="17" spans="1:15" s="31" customFormat="1" ht="3.75" customHeight="1" thickBot="1">
      <c r="A17" s="128"/>
      <c r="B17" s="137"/>
      <c r="C17" s="138"/>
      <c r="D17" s="139"/>
      <c r="E17" s="140"/>
      <c r="F17" s="141"/>
      <c r="G17" s="141"/>
      <c r="H17" s="142"/>
      <c r="I17" s="143"/>
      <c r="J17" s="144"/>
      <c r="K17" s="133"/>
      <c r="L17" s="134"/>
      <c r="M17" s="135"/>
      <c r="N17" s="136"/>
    </row>
    <row r="18" spans="1:15" s="31" customFormat="1" ht="22.5" customHeight="1" thickBot="1">
      <c r="A18" s="128"/>
      <c r="B18" s="1079" t="s">
        <v>17</v>
      </c>
      <c r="C18" s="1083"/>
      <c r="D18" s="1097" t="s">
        <v>431</v>
      </c>
      <c r="E18" s="1098"/>
      <c r="F18" s="1098"/>
      <c r="G18" s="1099"/>
      <c r="H18" s="131"/>
      <c r="I18" s="1093" t="s">
        <v>429</v>
      </c>
      <c r="J18" s="1094"/>
      <c r="K18" s="1094"/>
      <c r="L18" s="1094"/>
      <c r="M18" s="1095"/>
      <c r="N18" s="1096"/>
    </row>
    <row r="19" spans="1:15" s="31" customFormat="1" ht="48.75" customHeight="1">
      <c r="A19" s="128"/>
      <c r="B19" s="291" t="s">
        <v>437</v>
      </c>
      <c r="C19" s="156"/>
      <c r="D19" s="1100" t="str">
        <f>IF(ISBLANK(Управление!C8),"",(Управление!C8))</f>
        <v xml:space="preserve">По обоим компонентам предварительных условий (ПУ) нет согласно письму от ГФ по результатам работы за 1-е полугодие 2018 года.  </v>
      </c>
      <c r="E19" s="1101"/>
      <c r="F19" s="1101"/>
      <c r="G19" s="1102"/>
      <c r="H19" s="157"/>
      <c r="I19" s="1103"/>
      <c r="J19" s="1104"/>
      <c r="K19" s="1104"/>
      <c r="L19" s="1104"/>
      <c r="M19" s="1104"/>
      <c r="N19" s="1105"/>
    </row>
    <row r="20" spans="1:15" ht="30.75" customHeight="1">
      <c r="A20" s="122"/>
      <c r="B20" s="292" t="s">
        <v>438</v>
      </c>
      <c r="C20" s="158"/>
      <c r="D20" s="1057" t="str">
        <f>IF(ISBLANK(Управление!J8),"",(Управление!J8))</f>
        <v xml:space="preserve">По ВИЧ\ТБ  гранту всего 22  штатных позиции, из них 4 - по компоненту ВИЧ,  2 - по компоненту ТБ.,  оставшиеся  16   относятся к обоим компонентам, из них было заполнено 13, таким образом,  19 штатных позиций было заполнено, 3 вакантно (2 финансовых специалиста, 1 позиция менеджера по закупкам) </v>
      </c>
      <c r="E20" s="1058"/>
      <c r="F20" s="1058"/>
      <c r="G20" s="1059"/>
      <c r="H20" s="157"/>
      <c r="I20" s="1060"/>
      <c r="J20" s="1061"/>
      <c r="K20" s="1061"/>
      <c r="L20" s="1061"/>
      <c r="M20" s="1061"/>
      <c r="N20" s="1062"/>
      <c r="O20" s="32"/>
    </row>
    <row r="21" spans="1:15" ht="31.5" customHeight="1">
      <c r="A21" s="122"/>
      <c r="B21" s="293" t="s">
        <v>439</v>
      </c>
      <c r="C21" s="158"/>
      <c r="D21" s="1057" t="e">
        <f>IF(ISBLANK(Управление!#REF!),"",(Управление!#REF!))</f>
        <v>#REF!</v>
      </c>
      <c r="E21" s="1058"/>
      <c r="F21" s="1058"/>
      <c r="G21" s="1059"/>
      <c r="H21" s="157"/>
      <c r="I21" s="1060"/>
      <c r="J21" s="1061"/>
      <c r="K21" s="1061"/>
      <c r="L21" s="1061"/>
      <c r="M21" s="1061"/>
      <c r="N21" s="1062"/>
      <c r="O21" s="32"/>
    </row>
    <row r="22" spans="1:15" ht="34.5" customHeight="1">
      <c r="A22" s="122"/>
      <c r="B22" s="293" t="s">
        <v>440</v>
      </c>
      <c r="C22" s="158"/>
      <c r="D22" s="1057" t="e">
        <f>IF(ISBLANK(Управление!#REF!),"",(Управление!#REF!))</f>
        <v>#REF!</v>
      </c>
      <c r="E22" s="1058"/>
      <c r="F22" s="1058"/>
      <c r="G22" s="1059"/>
      <c r="H22" s="157"/>
      <c r="I22" s="1060"/>
      <c r="J22" s="1061"/>
      <c r="K22" s="1061"/>
      <c r="L22" s="1061"/>
      <c r="M22" s="1061"/>
      <c r="N22" s="1062"/>
      <c r="O22" s="32"/>
    </row>
    <row r="23" spans="1:15" ht="33.75" customHeight="1">
      <c r="A23" s="122"/>
      <c r="B23" s="293" t="s">
        <v>441</v>
      </c>
      <c r="C23" s="158"/>
      <c r="D23" s="1057" t="str">
        <f>IF(ISBLANK(Управление!C29),"",(Управление!C29))</f>
        <v>Медикаменты и ИМН закуплены согласно потребности на 2020 год. В расчетах потребности учтены текущий запас, ожидаемые поставки и наличие бюджета</v>
      </c>
      <c r="E23" s="1058"/>
      <c r="F23" s="1058"/>
      <c r="G23" s="1059"/>
      <c r="H23" s="157"/>
      <c r="I23" s="1060"/>
      <c r="J23" s="1061"/>
      <c r="K23" s="1061"/>
      <c r="L23" s="1061"/>
      <c r="M23" s="1061"/>
      <c r="N23" s="1062"/>
      <c r="O23" s="32"/>
    </row>
    <row r="24" spans="1:15" ht="39.75" customHeight="1" thickBot="1">
      <c r="A24" s="122"/>
      <c r="B24" s="294" t="s">
        <v>442</v>
      </c>
      <c r="C24" s="159"/>
      <c r="D24" s="1053" t="str">
        <f>IF(ISBLANK(Управление!J29),"",(Управление!J29))</f>
        <v>Запас ПТП 2-го ряда составляет от 10 до 48 месяцев (не включая инъекционные препаратs, так как они выбыли из новых режимов лечения, соответсвенно не закупаются, минимальный запас  рифампицина связан с тем, что начиная с 2017 года данный препарат приобретается за счет средств  государственного бюджета для ПЛУ-ТБ больных). Для всех препаратов сроки годности соответствует срокам использования препаратов, кроме  протионамида, ПАСКа, которые по новой классификации ВОЗ  вошли в группу С , в связи с чем их использование значительно снизилось, так как они не являются  препаратами первого выбора для составления схем лечения.  Проводится ежемесячный анализ набора пациентов и использования по всем ПТП, а особенно по препаратам из группы С. Остаточный срок годности  и запас ПАСКа составляет - 13 месяцев, риск истечения срока годности снизился и есть вероятность полного использования до завершения срока годности. Протионамид имеется в двух сроках годности 31.10.2021 и 31.07.2022., несмотря на то, что набор новых пациентов на данный препарат осуществляется, расход не увеличивается в связи с частой отменой  из-за выраженных и достаточно частых нежелательных явлений и наличием "новых" препаратов, а также со снижением количества набираемых больных из-за COVID -19. С учетом расхода на сегодня в риске истечения 2450 упаковок со сроком годности 31.10.2021. Для препаратов, запас, которых превышают 30 месяцев (деламанид и моксифлоксацин) риска истечения нет,  так как остаточный срок годности деламанида составляет 46 месяцев, препарат поступил в конце года согласно расчету потребности на 2021 год для всех пре-ШЛУ и ШЛУ-ТБ больных, соответсвенно расход в 2021 году увеличится.   Остаточный срок годности моксифлоксацина от 34-51 месяцев, риска истечения нет.</v>
      </c>
      <c r="E24" s="1054"/>
      <c r="F24" s="1054"/>
      <c r="G24" s="1055"/>
      <c r="H24" s="157"/>
      <c r="I24" s="1084"/>
      <c r="J24" s="1085"/>
      <c r="K24" s="1085"/>
      <c r="L24" s="1085"/>
      <c r="M24" s="1085"/>
      <c r="N24" s="1086"/>
      <c r="O24" s="32"/>
    </row>
    <row r="25" spans="1:15" ht="4.5" customHeight="1">
      <c r="A25" s="124"/>
      <c r="B25" s="129"/>
      <c r="C25" s="130"/>
      <c r="D25" s="145"/>
      <c r="E25" s="146"/>
      <c r="F25" s="147"/>
      <c r="G25" s="147"/>
      <c r="H25" s="131"/>
      <c r="I25" s="146"/>
      <c r="J25" s="132"/>
      <c r="K25" s="133"/>
      <c r="L25" s="134"/>
      <c r="M25" s="135"/>
      <c r="N25" s="136"/>
      <c r="O25" s="32"/>
    </row>
    <row r="26" spans="1:15" s="30" customFormat="1" ht="21" customHeight="1" thickBot="1">
      <c r="A26" s="124"/>
      <c r="B26" s="1056" t="s">
        <v>443</v>
      </c>
      <c r="C26" s="1056"/>
      <c r="D26" s="1056"/>
      <c r="E26" s="1056"/>
      <c r="F26" s="1056"/>
      <c r="G26" s="1056"/>
      <c r="H26" s="1056"/>
      <c r="I26" s="1056"/>
      <c r="J26" s="1056"/>
      <c r="K26" s="1056"/>
      <c r="L26" s="1056"/>
      <c r="M26" s="1056"/>
      <c r="N26" s="1056"/>
    </row>
    <row r="27" spans="1:15" ht="3.75" customHeight="1" thickBot="1">
      <c r="A27" s="124"/>
      <c r="B27" s="129"/>
      <c r="C27" s="130"/>
      <c r="D27" s="145"/>
      <c r="E27" s="146"/>
      <c r="F27" s="147"/>
      <c r="G27" s="147"/>
      <c r="H27" s="131"/>
      <c r="I27" s="146"/>
      <c r="J27" s="132"/>
      <c r="K27" s="133"/>
      <c r="L27" s="134"/>
      <c r="M27" s="135"/>
      <c r="N27" s="136"/>
      <c r="O27" s="32"/>
    </row>
    <row r="28" spans="1:15" ht="21.75" customHeight="1" thickBot="1">
      <c r="A28" s="122"/>
      <c r="B28" s="1078" t="s">
        <v>444</v>
      </c>
      <c r="C28" s="1083"/>
      <c r="D28" s="1034" t="s">
        <v>431</v>
      </c>
      <c r="E28" s="1035"/>
      <c r="F28" s="1035"/>
      <c r="G28" s="1036"/>
      <c r="H28" s="131"/>
      <c r="I28" s="1034" t="s">
        <v>429</v>
      </c>
      <c r="J28" s="1035"/>
      <c r="K28" s="1035"/>
      <c r="L28" s="1035"/>
      <c r="M28" s="1035"/>
      <c r="N28" s="1036"/>
      <c r="O28" s="32"/>
    </row>
    <row r="29" spans="1:15" ht="29.25" customHeight="1">
      <c r="A29" s="122"/>
      <c r="B29" s="295" t="s">
        <v>445</v>
      </c>
      <c r="C29" s="160"/>
      <c r="D29" s="1040" t="str">
        <f>IF(ISBLANK(Программа!C37),"",(Программа!C37))</f>
        <v xml:space="preserve">В течение последних лет наблюдается устойчивое снижение числа зарегистрированных случаев ТБ приблизительно на 5%. Однако в 2020 году в связи с пандемией COVID-19 и политической ситуацией, обращаемость в медицинские организации существенно снизилась. Во 2-3 кварталах 2020 года число зарегистрированных случаев сократилось на 30%, целевой показатель дсотигнут только на 51%. </v>
      </c>
      <c r="E29" s="1041"/>
      <c r="F29" s="1041"/>
      <c r="G29" s="1042"/>
      <c r="H29" s="157"/>
      <c r="I29" s="1063"/>
      <c r="J29" s="1064"/>
      <c r="K29" s="1064"/>
      <c r="L29" s="1064"/>
      <c r="M29" s="1064"/>
      <c r="N29" s="1065"/>
      <c r="O29" s="32"/>
    </row>
    <row r="30" spans="1:15" ht="22" customHeight="1">
      <c r="A30" s="122"/>
      <c r="B30" s="296" t="s">
        <v>446</v>
      </c>
      <c r="C30" s="161"/>
      <c r="D30" s="1052" t="str">
        <f>IF(ISBLANK(Программа!G37),"",(Программа!G37))</f>
        <v xml:space="preserve">Ситуация с COVID-19, пик которой пришелся на на 2-3 кв. 2020 года, сказалсь на достижении индикаторов по ТБ: впервые индикатор по числу зарегистрированных случаев РУ/МЛУ ТБ выполнен только на 50%. При этом, все лаборатории, осуществляющие тестирование на устойчивость к рифампицину, продолжали работать. </v>
      </c>
      <c r="E30" s="1038"/>
      <c r="F30" s="1038"/>
      <c r="G30" s="1039"/>
      <c r="H30" s="157"/>
      <c r="I30" s="1043"/>
      <c r="J30" s="1044"/>
      <c r="K30" s="1044"/>
      <c r="L30" s="1044"/>
      <c r="M30" s="1044"/>
      <c r="N30" s="1045"/>
      <c r="O30" s="32"/>
    </row>
    <row r="31" spans="1:15" ht="22" customHeight="1">
      <c r="A31" s="122"/>
      <c r="B31" s="296" t="s">
        <v>447</v>
      </c>
      <c r="C31" s="161"/>
      <c r="D31" s="1052" t="str">
        <f>IF(ISBLANK(Программа!M37),"",(Программа!M37))</f>
        <v xml:space="preserve">Охват лечением среди РУ/МЛУ больных составил 88%, что на 5 % выше, чем в предыдущем отчетном периоде. Индикатор выполнен только на 44% в связи с сокращением числа зарегистрированных случаев РУ/МЛУ ТБ в отчетный период. </v>
      </c>
      <c r="E31" s="1038"/>
      <c r="F31" s="1038"/>
      <c r="G31" s="1039"/>
      <c r="H31" s="157"/>
      <c r="I31" s="1043"/>
      <c r="J31" s="1044"/>
      <c r="K31" s="1044"/>
      <c r="L31" s="1044"/>
      <c r="M31" s="1044"/>
      <c r="N31" s="1045"/>
      <c r="O31" s="32"/>
    </row>
    <row r="32" spans="1:15" ht="22" customHeight="1">
      <c r="A32" s="122"/>
      <c r="B32" s="297" t="s">
        <v>150</v>
      </c>
      <c r="C32" s="161"/>
      <c r="D32" s="1037" t="str">
        <f>IF(ISBLANK(Программа!L50),"",(Программа!L50))</f>
        <v xml:space="preserve">НЦФ отчитался о 1743 ТБ случаях, зарегистрированных во 2-3 кварталах 2020 года, в т.ч. 1488 новых случаев и 255 рецидивов, 1042 бактериологически подтвержденных и 701 клинически диагностированных. 23 случая были зарегистрированы в пенитенциарной системе. Целевой показатель был достигнут только на 51%. Основная причина низкого достижения то, что вспышка   COVID-19 пришлась на этот отчетный период. Чрезвычайное Положение было объявлено в марте 2020 года и длилось до 11 мая 2020 года, пик вспышки, пришелся на конец июня 2020 года. Все эти факторы: запрет или ограничения в передвижении населения,  связанные с COVID-19 страхи и стигма, перегруженная система здравоохранения, препятствовала обращениям за медицинской помощью. Согласно опросу, проведенному ПРООН среди медицинских работников в мае 2020 года, спрос на диагностику, консультирование и лечение ТБ и ВИЧ в этот период снизился. В связи с этим, количество ТБ случаев, выявленных в этот период, существенно сократилось.  </v>
      </c>
      <c r="E32" s="1038"/>
      <c r="F32" s="1038"/>
      <c r="G32" s="1039"/>
      <c r="H32" s="157"/>
      <c r="I32" s="1043"/>
      <c r="J32" s="1044"/>
      <c r="K32" s="1044"/>
      <c r="L32" s="1044"/>
      <c r="M32" s="1044"/>
      <c r="N32" s="1045"/>
      <c r="O32" s="32"/>
    </row>
    <row r="33" spans="1:15" ht="42.75" customHeight="1">
      <c r="A33" s="122"/>
      <c r="B33" s="297" t="s">
        <v>151</v>
      </c>
      <c r="C33" s="161"/>
      <c r="D33" s="1037" t="str">
        <f>IF(ISBLANK(Программа!L51),"",(Программа!L51))</f>
        <v xml:space="preserve">НЦФ отчитался за 365 РУ/МЛУ/ШЛУ случаев, зарегистрированных во 2-3 кв 2020 года. Среди 375 случаев 12 были зарегистрированы в пенитенциарной системе и 363 - в гражданском секторе. Индикатор выполнен на 50%. Причины снижения в числе выявленных и зарегистрированных случаев объяснены выше. ПРООН провела верификацию данных по этому индикатору в 4 из 9 областных ТБ центров: из 150 случаев РУ/МЛУ/ШЛУ ТБ, включенных в отчет НЦФ, 146 имели бактериологическое подтверждение РУ-ТБ в течение отчетного периода   (GXpert, LPA, МЖИТ или Л-Й), разница между случаями, включенными в отчет, и подтвержденными случаями составляет только 4%. Эти 6 случаев были исключены из отчета. Таким образом, общее число РУ/МЛУ/ШЛУ случаев, зарегистрированных во 2-3 кв 2020 года, составило 369, индикатор выполнен только на 50%.  </v>
      </c>
      <c r="E33" s="1038"/>
      <c r="F33" s="1038"/>
      <c r="G33" s="1039"/>
      <c r="H33" s="157"/>
      <c r="I33" s="1049"/>
      <c r="J33" s="1050"/>
      <c r="K33" s="1050"/>
      <c r="L33" s="1050"/>
      <c r="M33" s="1050"/>
      <c r="N33" s="1051"/>
      <c r="O33" s="32"/>
    </row>
    <row r="34" spans="1:15" ht="22" customHeight="1">
      <c r="A34" s="122"/>
      <c r="B34" s="297" t="s">
        <v>152</v>
      </c>
      <c r="C34" s="161"/>
      <c r="D34" s="1037" t="str">
        <f>IF(ISBLANK(Программа!L52),"",(Программа!L52))</f>
        <v xml:space="preserve">В течение отчетного периода 342 РУ/МЛУ ТБ случая были взяты на лечение, в т.ч. 329 бактериологически подтвержденных и 13 клинически диагностированных. Это число включает 10 случаев из пенитенциарной системы и 319 из гражданского сектора. Охват лечением составил 88% (329 из 342 зарегистрированных случаев), что несколько выше, чем в предыдущий отчетный период. ПРООН провела верификацию этого индикатора в 4 из 9 региональных ТБ центров, из 126 случаев, взятых на лечение и вошедших в отчет НЦФ, 124 имели бактериологическое  подтверждение в отчетном периоде (GXpert, LPA, МЖИТ или Л-Й), разница между случаями составляет 2%. Эти 2 случая были исключены из отчета. Таким образом, общее число случаев РУ/МЛУ/ШЛУ ТБ, взятых на лечение ПВР во 2-3 кв 2020 года составило 327 (10 случаев из пенитенциарной системы и 317 из гражданского сектора), целевой показатель достигнут на 44%.  </v>
      </c>
      <c r="E34" s="1038"/>
      <c r="F34" s="1038"/>
      <c r="G34" s="1039"/>
      <c r="H34" s="157"/>
      <c r="I34" s="1043"/>
      <c r="J34" s="1044"/>
      <c r="K34" s="1044"/>
      <c r="L34" s="1044"/>
      <c r="M34" s="1044"/>
      <c r="N34" s="1045"/>
      <c r="O34" s="32"/>
    </row>
    <row r="35" spans="1:15" ht="27.75" customHeight="1">
      <c r="A35" s="122"/>
      <c r="B35" s="297" t="s">
        <v>153</v>
      </c>
      <c r="C35" s="196"/>
      <c r="D35" s="1037" t="e">
        <f>IF(ISBLANK(Программа!#REF!),"",(Программа!#REF!))</f>
        <v>#REF!</v>
      </c>
      <c r="E35" s="1038"/>
      <c r="F35" s="1038"/>
      <c r="G35" s="1039"/>
      <c r="H35" s="157"/>
      <c r="I35" s="1043"/>
      <c r="J35" s="1044"/>
      <c r="K35" s="1044"/>
      <c r="L35" s="1044"/>
      <c r="M35" s="1044"/>
      <c r="N35" s="1045"/>
      <c r="O35" s="32"/>
    </row>
    <row r="36" spans="1:15" ht="22" customHeight="1">
      <c r="A36" s="122"/>
      <c r="B36" s="297" t="s">
        <v>135</v>
      </c>
      <c r="C36" s="196"/>
      <c r="D36" s="1037" t="str">
        <f>IF(ISBLANK(Программа!L54),"",(Программа!L54))</f>
        <v xml:space="preserve">Общее количество ШЛУ случаев, зарегистрированных в отчетном периоде составило 29, и 21 из них были взяты на лечение (72%). Целевой показатель выполнен на 32%. Внедрение этого индикатора зависит от трех ключевых факторов: общего количества зарегистрированных случаев ТБ, охвата ТЛЧ среди них, и доступа к препаратам для лечения ШЛУ. В течение отчетного периода общее количество зарегистрированных ТБ случаев снизилось на 30% (см.Индикатор TCP-1(M)), в то время как охват ТЛЧ к ППР и ПВР улучшился, весь период страна имела в достаточном запасе все препараты для лечения ШЛУ ТБ. Согласно отчету НЦФ, большинство новых ШЛУ случаев начинают лечение незамедлительно, но некоторые пациенты, имеющие несколько эпизодов лечения, в т.ч. ШЛУ, откладывают лечение по ряду причин. Кейс-менеджеры регулярно контактируют с ШЛУ пациентами, чтобы мотивировать их на лечение и начать лечение. ПРООН будет и дальше поддерживать меры, предпринимаемые НЦФ для улучшения выявления ТБ. </v>
      </c>
      <c r="E36" s="1038"/>
      <c r="F36" s="1038"/>
      <c r="G36" s="1039"/>
      <c r="H36" s="157"/>
      <c r="I36" s="1043"/>
      <c r="J36" s="1044"/>
      <c r="K36" s="1044"/>
      <c r="L36" s="1044"/>
      <c r="M36" s="1044"/>
      <c r="N36" s="1045"/>
      <c r="O36" s="32"/>
    </row>
    <row r="37" spans="1:15" ht="22" customHeight="1">
      <c r="A37" s="122"/>
      <c r="B37" s="297" t="s">
        <v>154</v>
      </c>
      <c r="C37" s="196"/>
      <c r="D37" s="1037" t="str">
        <f>IF(ISBLANK(Программа!L55),"",(Программа!L55))</f>
        <v xml:space="preserve"> Тесты на ВИЧ доступны по всей стране. В течение отчентого периода из 1743 новых случаев и рецидивов, 1646 были протестированы на ВИЧ (94%). 54 (3%) из них имеют положительный ВИЧ результат,  40 (74%) были взяты на лечение. </v>
      </c>
      <c r="E37" s="1038"/>
      <c r="F37" s="1038"/>
      <c r="G37" s="1039"/>
      <c r="H37" s="157"/>
      <c r="I37" s="1043"/>
      <c r="J37" s="1044"/>
      <c r="K37" s="1044"/>
      <c r="L37" s="1044"/>
      <c r="M37" s="1044"/>
      <c r="N37" s="1045"/>
      <c r="O37" s="32"/>
    </row>
    <row r="38" spans="1:15" ht="22" customHeight="1">
      <c r="A38" s="122"/>
      <c r="B38" s="297" t="s">
        <v>155</v>
      </c>
      <c r="C38" s="196"/>
      <c r="D38" s="1037" t="e">
        <f>IF(ISBLANK(Программа!#REF!),"",(Программа!#REF!))</f>
        <v>#REF!</v>
      </c>
      <c r="E38" s="1038"/>
      <c r="F38" s="1038"/>
      <c r="G38" s="1039"/>
      <c r="H38" s="157"/>
      <c r="I38" s="1043"/>
      <c r="J38" s="1044"/>
      <c r="K38" s="1044"/>
      <c r="L38" s="1044"/>
      <c r="M38" s="1044"/>
      <c r="N38" s="1045"/>
      <c r="O38" s="32"/>
    </row>
    <row r="39" spans="1:15" ht="22" customHeight="1">
      <c r="A39" s="122"/>
      <c r="B39" s="297" t="s">
        <v>156</v>
      </c>
      <c r="C39" s="196"/>
      <c r="D39" s="1037" t="e">
        <f>IF(ISBLANK(Программа!#REF!),"",(Программа!#REF!))</f>
        <v>#REF!</v>
      </c>
      <c r="E39" s="1038"/>
      <c r="F39" s="1038"/>
      <c r="G39" s="1039"/>
      <c r="H39" s="157"/>
      <c r="I39" s="1043"/>
      <c r="J39" s="1044"/>
      <c r="K39" s="1044"/>
      <c r="L39" s="1044"/>
      <c r="M39" s="1044"/>
      <c r="N39" s="1045"/>
      <c r="O39" s="32"/>
    </row>
    <row r="40" spans="1:15" ht="22" customHeight="1">
      <c r="A40" s="122"/>
      <c r="B40" s="297" t="s">
        <v>157</v>
      </c>
      <c r="C40" s="196"/>
      <c r="D40" s="1037" t="e">
        <f>IF(ISBLANK(Программа!#REF!),"",(Программа!#REF!))</f>
        <v>#REF!</v>
      </c>
      <c r="E40" s="1038"/>
      <c r="F40" s="1038"/>
      <c r="G40" s="1039"/>
      <c r="H40" s="157"/>
      <c r="I40" s="1043"/>
      <c r="J40" s="1044"/>
      <c r="K40" s="1044"/>
      <c r="L40" s="1044"/>
      <c r="M40" s="1044"/>
      <c r="N40" s="1045"/>
      <c r="O40" s="32"/>
    </row>
    <row r="41" spans="1:15" ht="22" customHeight="1" thickBot="1">
      <c r="A41" s="122"/>
      <c r="B41" s="329" t="s">
        <v>158</v>
      </c>
      <c r="C41" s="162"/>
      <c r="D41" s="1031" t="e">
        <f>IF(ISBLANK(Программа!#REF!),"",(Программа!#REF!))</f>
        <v>#REF!</v>
      </c>
      <c r="E41" s="1032"/>
      <c r="F41" s="1032"/>
      <c r="G41" s="1033"/>
      <c r="H41" s="157"/>
      <c r="I41" s="1046"/>
      <c r="J41" s="1047"/>
      <c r="K41" s="1047"/>
      <c r="L41" s="1047"/>
      <c r="M41" s="1047"/>
      <c r="N41" s="1048"/>
      <c r="O41" s="32"/>
    </row>
    <row r="42" spans="1:15" ht="13.5">
      <c r="A42" s="122"/>
      <c r="B42" s="163"/>
      <c r="C42" s="163"/>
      <c r="D42" s="164"/>
      <c r="E42" s="122"/>
      <c r="F42" s="163"/>
      <c r="G42" s="163"/>
      <c r="H42" s="122"/>
      <c r="I42" s="165"/>
      <c r="J42" s="122"/>
      <c r="K42" s="166"/>
      <c r="L42" s="166"/>
      <c r="M42" s="166"/>
      <c r="N42" s="166"/>
      <c r="O42" s="32"/>
    </row>
  </sheetData>
  <sheetProtection password="CFC9" sheet="1"/>
  <mergeCells count="65">
    <mergeCell ref="I39:N39"/>
    <mergeCell ref="D13:G13"/>
    <mergeCell ref="I12:N12"/>
    <mergeCell ref="D12:G12"/>
    <mergeCell ref="I13:N13"/>
    <mergeCell ref="I18:N18"/>
    <mergeCell ref="D18:G18"/>
    <mergeCell ref="I20:N20"/>
    <mergeCell ref="D19:G19"/>
    <mergeCell ref="D21:G21"/>
    <mergeCell ref="D20:G20"/>
    <mergeCell ref="I19:N19"/>
    <mergeCell ref="D38:G38"/>
    <mergeCell ref="D37:G37"/>
    <mergeCell ref="D36:G36"/>
    <mergeCell ref="D33:G33"/>
    <mergeCell ref="D39:G39"/>
    <mergeCell ref="E6:K6"/>
    <mergeCell ref="B8:N8"/>
    <mergeCell ref="I10:N10"/>
    <mergeCell ref="B16:N16"/>
    <mergeCell ref="D14:G14"/>
    <mergeCell ref="D11:G11"/>
    <mergeCell ref="I14:N14"/>
    <mergeCell ref="B10:C10"/>
    <mergeCell ref="D10:G10"/>
    <mergeCell ref="I11:N11"/>
    <mergeCell ref="B18:C18"/>
    <mergeCell ref="B28:C28"/>
    <mergeCell ref="I24:N24"/>
    <mergeCell ref="I32:N32"/>
    <mergeCell ref="D22:G22"/>
    <mergeCell ref="B2:Q2"/>
    <mergeCell ref="E5:K5"/>
    <mergeCell ref="E3:K3"/>
    <mergeCell ref="C4:D4"/>
    <mergeCell ref="E4:K4"/>
    <mergeCell ref="C3:D3"/>
    <mergeCell ref="D23:G23"/>
    <mergeCell ref="I21:N21"/>
    <mergeCell ref="I22:N22"/>
    <mergeCell ref="I23:N23"/>
    <mergeCell ref="I29:N29"/>
    <mergeCell ref="D30:G30"/>
    <mergeCell ref="D32:G32"/>
    <mergeCell ref="D24:G24"/>
    <mergeCell ref="I30:N30"/>
    <mergeCell ref="I31:N31"/>
    <mergeCell ref="B26:N26"/>
    <mergeCell ref="D41:G41"/>
    <mergeCell ref="I28:N28"/>
    <mergeCell ref="D40:G40"/>
    <mergeCell ref="D34:G34"/>
    <mergeCell ref="D29:G29"/>
    <mergeCell ref="D28:G28"/>
    <mergeCell ref="I34:N34"/>
    <mergeCell ref="D35:G35"/>
    <mergeCell ref="I41:N41"/>
    <mergeCell ref="I35:N35"/>
    <mergeCell ref="I36:N36"/>
    <mergeCell ref="I37:N37"/>
    <mergeCell ref="I38:N38"/>
    <mergeCell ref="I40:N40"/>
    <mergeCell ref="I33:N33"/>
    <mergeCell ref="D31:G31"/>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8" scale="57" orientation="landscape"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27"/>
  </sheetPr>
  <dimension ref="A1:M43"/>
  <sheetViews>
    <sheetView showGridLines="0" tabSelected="1" topLeftCell="B1" zoomScaleNormal="110" zoomScaleSheetLayoutView="100" workbookViewId="0">
      <selection activeCell="N14" sqref="N14"/>
    </sheetView>
  </sheetViews>
  <sheetFormatPr defaultColWidth="11" defaultRowHeight="14.5"/>
  <cols>
    <col min="1" max="1" width="8.81640625" customWidth="1"/>
    <col min="2" max="2" width="14.54296875" customWidth="1"/>
    <col min="3" max="3" width="12.453125" customWidth="1"/>
    <col min="4" max="4" width="11.54296875" customWidth="1"/>
    <col min="5" max="5" width="19" customWidth="1"/>
    <col min="6" max="6" width="1.453125" customWidth="1"/>
    <col min="7" max="7" width="11.453125" customWidth="1"/>
    <col min="8" max="8" width="9.54296875" customWidth="1"/>
    <col min="9" max="9" width="11.54296875" customWidth="1"/>
    <col min="10" max="10" width="12.54296875" customWidth="1"/>
    <col min="11" max="11" width="10.54296875" customWidth="1"/>
    <col min="12" max="12" width="9.7265625" customWidth="1"/>
  </cols>
  <sheetData>
    <row r="1" spans="1:13" ht="30.75" customHeight="1"/>
    <row r="2" spans="1:13" ht="27.75" customHeight="1">
      <c r="B2" s="895" t="str">
        <f>+"Панель показателей:  "&amp;"  "&amp;IF(+'Ввод данных'!B4="Выберите","",'Ввод данных'!B4&amp;" - ")&amp;IF('Ввод данных'!F6="Выберите","",'Ввод данных'!F6)</f>
        <v>Панель показателей:    Кыргызстан - ВИЧ/СПИД/ТБ</v>
      </c>
      <c r="C2" s="895"/>
      <c r="D2" s="895"/>
      <c r="E2" s="895"/>
      <c r="F2" s="895"/>
      <c r="G2" s="895"/>
      <c r="H2" s="895"/>
      <c r="I2" s="895"/>
      <c r="J2" s="895"/>
      <c r="K2" s="895"/>
      <c r="L2" s="895"/>
    </row>
    <row r="3" spans="1:13">
      <c r="B3" s="583">
        <f>+IF('Ввод данных'!F8="Выберите","",'Ввод данных'!F8)</f>
        <v>0</v>
      </c>
      <c r="C3" s="1135"/>
      <c r="D3" s="1135"/>
      <c r="E3" s="908"/>
      <c r="F3" s="908"/>
      <c r="G3" s="908"/>
      <c r="H3" s="908"/>
      <c r="I3" s="908"/>
      <c r="J3" s="909" t="str">
        <f>+'Ввод данных'!A16</f>
        <v>Отчетный период</v>
      </c>
      <c r="K3" s="909"/>
      <c r="L3" s="170" t="str">
        <f>+'Ввод данных'!B16</f>
        <v>P5</v>
      </c>
      <c r="M3" s="78"/>
    </row>
    <row r="4" spans="1:13">
      <c r="B4" s="319" t="str">
        <f>+'Ввод данных'!A12</f>
        <v>Последняя оценка:</v>
      </c>
      <c r="C4" s="1130" t="str">
        <f>+IF('Ввод данных'!B12="Выберите","",'Ввод данных'!B12)</f>
        <v>A2</v>
      </c>
      <c r="D4" s="1130"/>
      <c r="E4" s="908" t="str">
        <f>+'Ввод данных'!B8</f>
        <v>ПРООН</v>
      </c>
      <c r="F4" s="908"/>
      <c r="G4" s="908"/>
      <c r="H4" s="908"/>
      <c r="I4" s="908"/>
      <c r="J4" s="909" t="str">
        <f>+'Ввод данных'!C16</f>
        <v>с:</v>
      </c>
      <c r="K4" s="1133"/>
      <c r="L4" s="171">
        <f>+IF(ISBLANK('Ввод данных'!D16),"",'Ввод данных'!D16)</f>
        <v>44013</v>
      </c>
    </row>
    <row r="5" spans="1:13" ht="18.75" customHeight="1">
      <c r="B5" s="583"/>
      <c r="C5" s="583"/>
      <c r="D5" s="908"/>
      <c r="E5" s="908"/>
      <c r="F5" s="908"/>
      <c r="G5" s="908"/>
      <c r="H5" s="908"/>
      <c r="I5" s="908"/>
      <c r="J5" s="908"/>
      <c r="K5" s="583" t="str">
        <f>+'Ввод данных'!E16</f>
        <v>до:</v>
      </c>
      <c r="L5" s="171">
        <f>+IF(ISBLANK('Ввод данных'!F16),"",'Ввод данных'!F16)</f>
        <v>44196</v>
      </c>
    </row>
    <row r="6" spans="1:13" ht="18.5">
      <c r="B6" s="22"/>
      <c r="C6" s="583"/>
      <c r="D6" s="23"/>
      <c r="E6" s="1134" t="s">
        <v>448</v>
      </c>
      <c r="F6" s="1134"/>
      <c r="G6" s="1134"/>
      <c r="H6" s="1134"/>
      <c r="I6" s="1134"/>
    </row>
    <row r="7" spans="1:13" ht="18.5">
      <c r="E7" s="592"/>
      <c r="F7" s="592"/>
      <c r="G7" s="592"/>
      <c r="H7" s="592"/>
      <c r="I7" s="592"/>
    </row>
    <row r="8" spans="1:13" s="30" customFormat="1" ht="21" customHeight="1" thickBot="1">
      <c r="B8" s="70" t="s">
        <v>449</v>
      </c>
      <c r="C8" s="70"/>
      <c r="D8" s="70"/>
      <c r="E8" s="70"/>
      <c r="F8" s="70"/>
      <c r="G8" s="70"/>
      <c r="H8" s="70"/>
      <c r="I8" s="70"/>
      <c r="J8" s="70"/>
      <c r="K8" s="70"/>
      <c r="L8" s="70"/>
    </row>
    <row r="9" spans="1:13" ht="6" customHeight="1">
      <c r="B9" s="68"/>
    </row>
    <row r="10" spans="1:13">
      <c r="B10" s="1140"/>
      <c r="C10" s="1141"/>
      <c r="D10" s="1141"/>
      <c r="E10" s="1141"/>
      <c r="F10" s="1141"/>
      <c r="G10" s="1141"/>
      <c r="H10" s="1141"/>
      <c r="I10" s="1141"/>
      <c r="J10" s="1141"/>
      <c r="K10" s="1141"/>
      <c r="L10" s="1142"/>
    </row>
    <row r="11" spans="1:13">
      <c r="B11" s="1143"/>
      <c r="C11" s="1144"/>
      <c r="D11" s="1144"/>
      <c r="E11" s="1144"/>
      <c r="F11" s="1144"/>
      <c r="G11" s="1144"/>
      <c r="H11" s="1144"/>
      <c r="I11" s="1144"/>
      <c r="J11" s="1144"/>
      <c r="K11" s="1144"/>
      <c r="L11" s="1145"/>
    </row>
    <row r="12" spans="1:13" ht="15" thickBot="1"/>
    <row r="13" spans="1:13" ht="26.25" customHeight="1" thickBot="1">
      <c r="B13" s="1136" t="s">
        <v>450</v>
      </c>
      <c r="C13" s="1137"/>
      <c r="D13" s="1137"/>
      <c r="E13" s="1111"/>
      <c r="F13" s="71"/>
      <c r="G13" s="1206" t="s">
        <v>451</v>
      </c>
      <c r="H13" s="1146"/>
      <c r="I13" s="1146"/>
      <c r="J13" s="591" t="s">
        <v>452</v>
      </c>
      <c r="K13" s="1146" t="s">
        <v>453</v>
      </c>
      <c r="L13" s="1147"/>
    </row>
    <row r="14" spans="1:13">
      <c r="A14" s="1197" t="s">
        <v>190</v>
      </c>
      <c r="B14" s="1138"/>
      <c r="C14" s="1138"/>
      <c r="D14" s="1138"/>
      <c r="E14" s="1139"/>
      <c r="F14" s="43"/>
      <c r="G14" s="1200"/>
      <c r="H14" s="1201"/>
      <c r="I14" s="1201"/>
      <c r="J14" s="1209"/>
      <c r="K14" s="1126"/>
      <c r="L14" s="1127"/>
    </row>
    <row r="15" spans="1:13" ht="32.25" customHeight="1">
      <c r="A15" s="1198"/>
      <c r="B15" s="1138"/>
      <c r="C15" s="1138"/>
      <c r="D15" s="1138"/>
      <c r="E15" s="1139"/>
      <c r="F15" s="43"/>
      <c r="G15" s="1177"/>
      <c r="H15" s="1178"/>
      <c r="I15" s="1178"/>
      <c r="J15" s="1149"/>
      <c r="K15" s="1128"/>
      <c r="L15" s="1129"/>
    </row>
    <row r="16" spans="1:13">
      <c r="A16" s="1198"/>
      <c r="B16" s="1138"/>
      <c r="C16" s="1138"/>
      <c r="D16" s="1138"/>
      <c r="E16" s="1139"/>
      <c r="F16" s="43"/>
      <c r="G16" s="1177"/>
      <c r="H16" s="1178"/>
      <c r="I16" s="1178"/>
      <c r="J16" s="1148"/>
      <c r="K16" s="1131"/>
      <c r="L16" s="1132"/>
    </row>
    <row r="17" spans="1:12" ht="78.75" customHeight="1">
      <c r="A17" s="1198"/>
      <c r="B17" s="1138"/>
      <c r="C17" s="1138"/>
      <c r="D17" s="1138"/>
      <c r="E17" s="1139"/>
      <c r="F17" s="43"/>
      <c r="G17" s="1177"/>
      <c r="H17" s="1178"/>
      <c r="I17" s="1178"/>
      <c r="J17" s="1149"/>
      <c r="K17" s="1128"/>
      <c r="L17" s="1129"/>
    </row>
    <row r="18" spans="1:12">
      <c r="A18" s="1198"/>
      <c r="B18" s="1138"/>
      <c r="C18" s="1138"/>
      <c r="D18" s="1138"/>
      <c r="E18" s="1139"/>
      <c r="F18" s="43"/>
      <c r="G18" s="1202"/>
      <c r="H18" s="1203"/>
      <c r="I18" s="1204"/>
      <c r="J18" s="1148"/>
      <c r="K18" s="1131"/>
      <c r="L18" s="1132"/>
    </row>
    <row r="19" spans="1:12" ht="30.75" customHeight="1">
      <c r="A19" s="1198"/>
      <c r="B19" s="1138"/>
      <c r="C19" s="1138"/>
      <c r="D19" s="1138"/>
      <c r="E19" s="1139"/>
      <c r="F19" s="43"/>
      <c r="G19" s="1184"/>
      <c r="H19" s="1185"/>
      <c r="I19" s="1205"/>
      <c r="J19" s="1149"/>
      <c r="K19" s="1128"/>
      <c r="L19" s="1129"/>
    </row>
    <row r="20" spans="1:12">
      <c r="A20" s="1198"/>
      <c r="B20" s="1138"/>
      <c r="C20" s="1138"/>
      <c r="D20" s="1138"/>
      <c r="E20" s="1139"/>
      <c r="F20" s="43"/>
      <c r="G20" s="1177"/>
      <c r="H20" s="1178"/>
      <c r="I20" s="1178"/>
      <c r="J20" s="1148"/>
      <c r="K20" s="1131"/>
      <c r="L20" s="1132"/>
    </row>
    <row r="21" spans="1:12" ht="45.75" customHeight="1">
      <c r="A21" s="1198"/>
      <c r="B21" s="1138"/>
      <c r="C21" s="1138"/>
      <c r="D21" s="1138"/>
      <c r="E21" s="1139"/>
      <c r="F21" s="43"/>
      <c r="G21" s="1177"/>
      <c r="H21" s="1178"/>
      <c r="I21" s="1178"/>
      <c r="J21" s="1149"/>
      <c r="K21" s="1128"/>
      <c r="L21" s="1129"/>
    </row>
    <row r="22" spans="1:12">
      <c r="A22" s="1198"/>
      <c r="B22" s="1138"/>
      <c r="C22" s="1138"/>
      <c r="D22" s="1138"/>
      <c r="E22" s="1139"/>
      <c r="F22" s="43"/>
      <c r="G22" s="1177"/>
      <c r="H22" s="1178"/>
      <c r="I22" s="1178"/>
      <c r="J22" s="1208"/>
      <c r="K22" s="1149"/>
      <c r="L22" s="1207"/>
    </row>
    <row r="23" spans="1:12" ht="34.5" customHeight="1">
      <c r="A23" s="1198"/>
      <c r="B23" s="1138"/>
      <c r="C23" s="1138"/>
      <c r="D23" s="1138"/>
      <c r="E23" s="1139"/>
      <c r="F23" s="43"/>
      <c r="G23" s="1177"/>
      <c r="H23" s="1178"/>
      <c r="I23" s="1178"/>
      <c r="J23" s="1201"/>
      <c r="K23" s="1149"/>
      <c r="L23" s="1207"/>
    </row>
    <row r="24" spans="1:12" ht="15" customHeight="1">
      <c r="A24" s="1198"/>
      <c r="B24" s="1138"/>
      <c r="C24" s="1138"/>
      <c r="D24" s="1138"/>
      <c r="E24" s="1139"/>
      <c r="F24" s="43"/>
      <c r="G24" s="1177"/>
      <c r="H24" s="1178"/>
      <c r="I24" s="1178"/>
      <c r="J24" s="1148"/>
      <c r="K24" s="1112"/>
      <c r="L24" s="1113"/>
    </row>
    <row r="25" spans="1:12" ht="30" customHeight="1" thickBot="1">
      <c r="A25" s="1199"/>
      <c r="B25" s="1192"/>
      <c r="C25" s="1192"/>
      <c r="D25" s="1192"/>
      <c r="E25" s="1193"/>
      <c r="F25" s="43"/>
      <c r="G25" s="1179"/>
      <c r="H25" s="1180"/>
      <c r="I25" s="1180"/>
      <c r="J25" s="1172"/>
      <c r="K25" s="1114"/>
      <c r="L25" s="1115"/>
    </row>
    <row r="27" spans="1:12" ht="18.75" customHeight="1">
      <c r="D27" s="561"/>
      <c r="E27" s="313" t="s">
        <v>454</v>
      </c>
      <c r="F27" s="313"/>
      <c r="G27" s="313"/>
      <c r="H27" s="313"/>
      <c r="I27" s="313"/>
    </row>
    <row r="28" spans="1:12" ht="6" customHeight="1">
      <c r="E28" s="592"/>
      <c r="F28" s="592"/>
      <c r="G28" s="592"/>
      <c r="H28" s="592"/>
      <c r="I28" s="592"/>
    </row>
    <row r="29" spans="1:12" s="30" customFormat="1" ht="21" customHeight="1" thickBot="1">
      <c r="B29" s="70" t="s">
        <v>455</v>
      </c>
      <c r="C29" s="70"/>
      <c r="D29" s="70"/>
      <c r="E29" s="70"/>
      <c r="F29" s="70"/>
      <c r="G29" s="70"/>
      <c r="H29" s="70"/>
      <c r="I29" s="70"/>
      <c r="J29" s="70"/>
      <c r="K29" s="70"/>
      <c r="L29" s="70"/>
    </row>
    <row r="30" spans="1:12" ht="6" customHeight="1" thickBot="1">
      <c r="B30" s="68"/>
    </row>
    <row r="31" spans="1:12" ht="21.75" customHeight="1" thickBot="1">
      <c r="B31" s="1136" t="s">
        <v>451</v>
      </c>
      <c r="C31" s="1137"/>
      <c r="D31" s="1137"/>
      <c r="E31" s="1111"/>
      <c r="F31" s="71"/>
      <c r="G31" s="1136" t="s">
        <v>456</v>
      </c>
      <c r="H31" s="1137"/>
      <c r="I31" s="1176"/>
      <c r="J31" s="591" t="s">
        <v>457</v>
      </c>
      <c r="K31" s="1110" t="s">
        <v>453</v>
      </c>
      <c r="L31" s="1111"/>
    </row>
    <row r="32" spans="1:12" ht="14.25" customHeight="1">
      <c r="A32" s="1173" t="s">
        <v>458</v>
      </c>
      <c r="B32" s="1181"/>
      <c r="C32" s="1182"/>
      <c r="D32" s="1182"/>
      <c r="E32" s="1183"/>
      <c r="F32" s="43"/>
      <c r="G32" s="1194"/>
      <c r="H32" s="1195"/>
      <c r="I32" s="1196"/>
      <c r="J32" s="1108"/>
      <c r="K32" s="1126"/>
      <c r="L32" s="1127"/>
    </row>
    <row r="33" spans="1:12" ht="30" customHeight="1">
      <c r="A33" s="1174"/>
      <c r="B33" s="1184"/>
      <c r="C33" s="1185"/>
      <c r="D33" s="1185"/>
      <c r="E33" s="1186"/>
      <c r="F33" s="43"/>
      <c r="G33" s="1168"/>
      <c r="H33" s="1169"/>
      <c r="I33" s="1170"/>
      <c r="J33" s="1109"/>
      <c r="K33" s="1128"/>
      <c r="L33" s="1129"/>
    </row>
    <row r="34" spans="1:12">
      <c r="A34" s="1174"/>
      <c r="B34" s="1161"/>
      <c r="C34" s="1162"/>
      <c r="D34" s="1162"/>
      <c r="E34" s="1132"/>
      <c r="F34" s="43"/>
      <c r="G34" s="1165"/>
      <c r="H34" s="1166"/>
      <c r="I34" s="1167"/>
      <c r="J34" s="1171"/>
      <c r="K34" s="1116"/>
      <c r="L34" s="1117"/>
    </row>
    <row r="35" spans="1:12" ht="30" customHeight="1">
      <c r="A35" s="1174"/>
      <c r="B35" s="1163"/>
      <c r="C35" s="1164"/>
      <c r="D35" s="1164"/>
      <c r="E35" s="1129"/>
      <c r="F35" s="43"/>
      <c r="G35" s="1168"/>
      <c r="H35" s="1169"/>
      <c r="I35" s="1170"/>
      <c r="J35" s="1109"/>
      <c r="K35" s="1118"/>
      <c r="L35" s="1119"/>
    </row>
    <row r="36" spans="1:12">
      <c r="A36" s="1174"/>
      <c r="B36" s="1156"/>
      <c r="C36" s="1157"/>
      <c r="D36" s="1157"/>
      <c r="E36" s="1113"/>
      <c r="F36" s="43"/>
      <c r="G36" s="1165"/>
      <c r="H36" s="1166"/>
      <c r="I36" s="1167"/>
      <c r="J36" s="1106"/>
      <c r="K36" s="1116"/>
      <c r="L36" s="1117"/>
    </row>
    <row r="37" spans="1:12" ht="45" customHeight="1">
      <c r="A37" s="1174"/>
      <c r="B37" s="1158"/>
      <c r="C37" s="1159"/>
      <c r="D37" s="1159"/>
      <c r="E37" s="1160"/>
      <c r="F37" s="43"/>
      <c r="G37" s="1168"/>
      <c r="H37" s="1169"/>
      <c r="I37" s="1170"/>
      <c r="J37" s="1109"/>
      <c r="K37" s="1118"/>
      <c r="L37" s="1119"/>
    </row>
    <row r="38" spans="1:12">
      <c r="A38" s="1174"/>
      <c r="B38" s="1156"/>
      <c r="C38" s="1157"/>
      <c r="D38" s="1157"/>
      <c r="E38" s="1113"/>
      <c r="F38" s="43"/>
      <c r="G38" s="1150"/>
      <c r="H38" s="1151"/>
      <c r="I38" s="1152"/>
      <c r="J38" s="1106"/>
      <c r="K38" s="1120"/>
      <c r="L38" s="1121"/>
    </row>
    <row r="39" spans="1:12">
      <c r="A39" s="1174"/>
      <c r="B39" s="1158"/>
      <c r="C39" s="1159"/>
      <c r="D39" s="1159"/>
      <c r="E39" s="1160"/>
      <c r="F39" s="43"/>
      <c r="G39" s="1153"/>
      <c r="H39" s="1154"/>
      <c r="I39" s="1155"/>
      <c r="J39" s="1109"/>
      <c r="K39" s="1122"/>
      <c r="L39" s="1123"/>
    </row>
    <row r="40" spans="1:12">
      <c r="A40" s="1174"/>
      <c r="B40" s="1156"/>
      <c r="C40" s="1157"/>
      <c r="D40" s="1157"/>
      <c r="E40" s="1113"/>
      <c r="F40" s="43"/>
      <c r="G40" s="1150"/>
      <c r="H40" s="1151"/>
      <c r="I40" s="1152"/>
      <c r="J40" s="1106"/>
      <c r="K40" s="1120"/>
      <c r="L40" s="1121"/>
    </row>
    <row r="41" spans="1:12">
      <c r="A41" s="1174"/>
      <c r="B41" s="1158"/>
      <c r="C41" s="1159"/>
      <c r="D41" s="1159"/>
      <c r="E41" s="1160"/>
      <c r="F41" s="43"/>
      <c r="G41" s="1153"/>
      <c r="H41" s="1154"/>
      <c r="I41" s="1155"/>
      <c r="J41" s="1109"/>
      <c r="K41" s="1122"/>
      <c r="L41" s="1123"/>
    </row>
    <row r="42" spans="1:12">
      <c r="A42" s="1174"/>
      <c r="B42" s="1156"/>
      <c r="C42" s="1157"/>
      <c r="D42" s="1157"/>
      <c r="E42" s="1113"/>
      <c r="F42" s="43"/>
      <c r="G42" s="1150"/>
      <c r="H42" s="1151"/>
      <c r="I42" s="1152"/>
      <c r="J42" s="1106"/>
      <c r="K42" s="1120"/>
      <c r="L42" s="1121"/>
    </row>
    <row r="43" spans="1:12" ht="15" thickBot="1">
      <c r="A43" s="1175"/>
      <c r="B43" s="1187"/>
      <c r="C43" s="1188"/>
      <c r="D43" s="1188"/>
      <c r="E43" s="1115"/>
      <c r="F43" s="43"/>
      <c r="G43" s="1189"/>
      <c r="H43" s="1190"/>
      <c r="I43" s="1191"/>
      <c r="J43" s="1107"/>
      <c r="K43" s="1124"/>
      <c r="L43" s="1125"/>
    </row>
  </sheetData>
  <sheetProtection password="CFC9" sheet="1"/>
  <mergeCells count="66">
    <mergeCell ref="K18:L19"/>
    <mergeCell ref="G18:I19"/>
    <mergeCell ref="G13:I13"/>
    <mergeCell ref="K22:L23"/>
    <mergeCell ref="K20:L21"/>
    <mergeCell ref="J22:J23"/>
    <mergeCell ref="G16:I17"/>
    <mergeCell ref="J16:J17"/>
    <mergeCell ref="J14:J15"/>
    <mergeCell ref="A32:A43"/>
    <mergeCell ref="G31:I31"/>
    <mergeCell ref="G20:I21"/>
    <mergeCell ref="G22:I23"/>
    <mergeCell ref="B31:E31"/>
    <mergeCell ref="G24:I25"/>
    <mergeCell ref="G38:I39"/>
    <mergeCell ref="B32:E33"/>
    <mergeCell ref="B42:E43"/>
    <mergeCell ref="G42:I43"/>
    <mergeCell ref="G36:I37"/>
    <mergeCell ref="B24:E25"/>
    <mergeCell ref="G32:I33"/>
    <mergeCell ref="A14:A25"/>
    <mergeCell ref="B16:E17"/>
    <mergeCell ref="G14:I15"/>
    <mergeCell ref="B18:E19"/>
    <mergeCell ref="B22:E23"/>
    <mergeCell ref="B20:E21"/>
    <mergeCell ref="J20:J21"/>
    <mergeCell ref="G40:I41"/>
    <mergeCell ref="J18:J19"/>
    <mergeCell ref="B38:E39"/>
    <mergeCell ref="B40:E41"/>
    <mergeCell ref="J40:J41"/>
    <mergeCell ref="J38:J39"/>
    <mergeCell ref="B34:E35"/>
    <mergeCell ref="G34:I35"/>
    <mergeCell ref="J34:J35"/>
    <mergeCell ref="B36:E37"/>
    <mergeCell ref="J24:J25"/>
    <mergeCell ref="J36:J37"/>
    <mergeCell ref="B2:L2"/>
    <mergeCell ref="C4:D4"/>
    <mergeCell ref="K14:L15"/>
    <mergeCell ref="K16:L17"/>
    <mergeCell ref="E3:I3"/>
    <mergeCell ref="J3:K3"/>
    <mergeCell ref="E4:I4"/>
    <mergeCell ref="J4:K4"/>
    <mergeCell ref="E6:I6"/>
    <mergeCell ref="C3:D3"/>
    <mergeCell ref="D5:J5"/>
    <mergeCell ref="B13:E13"/>
    <mergeCell ref="B14:E15"/>
    <mergeCell ref="B10:L11"/>
    <mergeCell ref="K13:L13"/>
    <mergeCell ref="J42:J43"/>
    <mergeCell ref="J32:J33"/>
    <mergeCell ref="K31:L31"/>
    <mergeCell ref="K24:L25"/>
    <mergeCell ref="K34:L35"/>
    <mergeCell ref="K40:L41"/>
    <mergeCell ref="K42:L43"/>
    <mergeCell ref="K36:L37"/>
    <mergeCell ref="K38:L39"/>
    <mergeCell ref="K32:L33"/>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8" scale="70" orientation="landscape" r:id="rId1"/>
  <headerFooter alignWithMargins="0">
    <oddFooter>&amp;L&amp;F&amp;C&amp;A&amp;RV1.0          &amp;D</oddFooter>
  </headerFooter>
  <ignoredErrors>
    <ignoredError sqref="C4"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0d090553-ac12-4b9f-ace9-08ae9ba4987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EBAFB83A586EF4F94E7F07E84C3D94B" ma:contentTypeVersion="13" ma:contentTypeDescription="Create a new document." ma:contentTypeScope="" ma:versionID="16044cbb9faada7d4fe755e068654573">
  <xsd:schema xmlns:xsd="http://www.w3.org/2001/XMLSchema" xmlns:xs="http://www.w3.org/2001/XMLSchema" xmlns:p="http://schemas.microsoft.com/office/2006/metadata/properties" xmlns:ns2="0d090553-ac12-4b9f-ace9-08ae9ba49871" xmlns:ns3="b7c0ead1-1596-430a-9f15-fe6efc5e9c7f" targetNamespace="http://schemas.microsoft.com/office/2006/metadata/properties" ma:root="true" ma:fieldsID="cd3877073389888eac730a5148f5621a" ns2:_="" ns3:_="">
    <xsd:import namespace="0d090553-ac12-4b9f-ace9-08ae9ba49871"/>
    <xsd:import namespace="b7c0ead1-1596-430a-9f15-fe6efc5e9c7f"/>
    <xsd:element name="properties">
      <xsd:complexType>
        <xsd:sequence>
          <xsd:element name="documentManagement">
            <xsd:complexType>
              <xsd:all>
                <xsd:element ref="ns2:MediaServiceMetadata" minOccurs="0"/>
                <xsd:element ref="ns2:MediaServiceFastMetadata" minOccurs="0"/>
                <xsd:element ref="ns2:_Flow_SignoffStatus" minOccurs="0"/>
                <xsd:element ref="ns2:MediaServiceAutoTags" minOccurs="0"/>
                <xsd:element ref="ns2:MediaServiceOCR"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90553-ac12-4b9f-ace9-08ae9ba498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Sign-off status" ma:internalName="_x0024_Resources_x003a_core_x002c_Signoff_Status_x003b_">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c0ead1-1596-430a-9f15-fe6efc5e9c7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DFA6C9-3F96-4413-B912-D348D4E4188B}">
  <ds:schemaRefs>
    <ds:schemaRef ds:uri="http://schemas.microsoft.com/office/2006/metadata/properties"/>
    <ds:schemaRef ds:uri="http://schemas.microsoft.com/office/infopath/2007/PartnerControls"/>
    <ds:schemaRef ds:uri="0d090553-ac12-4b9f-ace9-08ae9ba49871"/>
  </ds:schemaRefs>
</ds:datastoreItem>
</file>

<file path=customXml/itemProps2.xml><?xml version="1.0" encoding="utf-8"?>
<ds:datastoreItem xmlns:ds="http://schemas.openxmlformats.org/officeDocument/2006/customXml" ds:itemID="{24285BB0-494E-410F-B136-991392274C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090553-ac12-4b9f-ace9-08ae9ba49871"/>
    <ds:schemaRef ds:uri="b7c0ead1-1596-430a-9f15-fe6efc5e9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02EAF0-2AA9-4A84-A04C-8376A13F02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23</vt:i4>
      </vt:variant>
    </vt:vector>
  </HeadingPairs>
  <TitlesOfParts>
    <vt:vector size="34" baseType="lpstr">
      <vt:lpstr>Меню</vt:lpstr>
      <vt:lpstr>Показатели</vt:lpstr>
      <vt:lpstr>Ввод данных</vt:lpstr>
      <vt:lpstr>Сведения о гранте</vt:lpstr>
      <vt:lpstr>Финансирование</vt:lpstr>
      <vt:lpstr>Управление</vt:lpstr>
      <vt:lpstr>Программа</vt:lpstr>
      <vt:lpstr>Рекомендации</vt:lpstr>
      <vt:lpstr>Действия</vt:lpstr>
      <vt:lpstr>Установки</vt:lpstr>
      <vt:lpstr>Акронимы</vt:lpstr>
      <vt:lpstr>Component</vt:lpstr>
      <vt:lpstr>Countries</vt:lpstr>
      <vt:lpstr>Currency</vt:lpstr>
      <vt:lpstr>LFA</vt:lpstr>
      <vt:lpstr>Medicaments</vt:lpstr>
      <vt:lpstr>PERIOD</vt:lpstr>
      <vt:lpstr>Phase</vt:lpstr>
      <vt:lpstr>PrintA</vt:lpstr>
      <vt:lpstr>PrintDataF</vt:lpstr>
      <vt:lpstr>PrintDataM</vt:lpstr>
      <vt:lpstr>PrintF</vt:lpstr>
      <vt:lpstr>PrintGD</vt:lpstr>
      <vt:lpstr>Действия!PrintM</vt:lpstr>
      <vt:lpstr>PrintM</vt:lpstr>
      <vt:lpstr>PrintP</vt:lpstr>
      <vt:lpstr>PrintR</vt:lpstr>
      <vt:lpstr>Rating</vt:lpstr>
      <vt:lpstr>Round</vt:lpstr>
      <vt:lpstr>мва</vt:lpstr>
      <vt:lpstr>Действия!Область_печати</vt:lpstr>
      <vt:lpstr>Программа!Область_печати</vt:lpstr>
      <vt:lpstr>Управление!Область_печати</vt:lpstr>
      <vt:lpstr>Финансирование!Область_печати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CCM_Generic_Dashboard_ru</dc:title>
  <dc:subject/>
  <dc:creator>Genc Kastrati</dc:creator>
  <cp:keywords/>
  <dc:description/>
  <cp:lastModifiedBy>Inga Babicheva</cp:lastModifiedBy>
  <cp:revision/>
  <dcterms:created xsi:type="dcterms:W3CDTF">2008-11-20T16:06:13Z</dcterms:created>
  <dcterms:modified xsi:type="dcterms:W3CDTF">2021-04-01T15:35:48Z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SubtType">
    <vt:lpwstr/>
  </property>
  <property fmtid="{D5CDD505-2E9C-101B-9397-08002B2CF9AE}" pid="6" name="gfGrant">
    <vt:lpwstr/>
  </property>
  <property fmtid="{D5CDD505-2E9C-101B-9397-08002B2CF9AE}" pid="7" name="GrantDocType">
    <vt:lpwstr/>
  </property>
  <property fmtid="{D5CDD505-2E9C-101B-9397-08002B2CF9AE}" pid="8" name="IsFinal">
    <vt:lpwstr>NO</vt:lpwstr>
  </property>
  <property fmtid="{D5CDD505-2E9C-101B-9397-08002B2CF9AE}" pid="9" name="EktContentLanguage">
    <vt:i4>1033</vt:i4>
  </property>
  <property fmtid="{D5CDD505-2E9C-101B-9397-08002B2CF9AE}" pid="10" name="EktQuickLink">
    <vt:lpwstr>DownloadAsset.aspx?id=10410</vt:lpwstr>
  </property>
  <property fmtid="{D5CDD505-2E9C-101B-9397-08002B2CF9AE}" pid="11" name="EktContentType">
    <vt:i4>101</vt:i4>
  </property>
  <property fmtid="{D5CDD505-2E9C-101B-9397-08002B2CF9AE}" pid="12" name="EktContentSubType">
    <vt:i4>0</vt:i4>
  </property>
  <property fmtid="{D5CDD505-2E9C-101B-9397-08002B2CF9AE}" pid="13" name="EktFolderName">
    <vt:lpwstr/>
  </property>
  <property fmtid="{D5CDD505-2E9C-101B-9397-08002B2CF9AE}" pid="14" name="EktCmsPath">
    <vt:lpwstr>&amp;lt;p&amp;gt;Акронимы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PrintGD</vt:lpwstr>
  </property>
  <property fmtid="{D5CDD505-2E9C-101B-9397-08002B2CF9AE}" pid="15" name="EktExpiryType">
    <vt:i4>1</vt:i4>
  </property>
  <property fmtid="{D5CDD505-2E9C-101B-9397-08002B2CF9AE}" pid="16" name="EktDateCreated">
    <vt:filetime>2011-06-15T08:55:33Z</vt:filetime>
  </property>
  <property fmtid="{D5CDD505-2E9C-101B-9397-08002B2CF9AE}" pid="17" name="EktDateModified">
    <vt:filetime>2011-06-15T08:55:40Z</vt:filetime>
  </property>
  <property fmtid="{D5CDD505-2E9C-101B-9397-08002B2CF9AE}" pid="18" name="EktTaxCategory">
    <vt:lpwstr> #eksep# \Navigation\documents\ccm #eksep# </vt:lpwstr>
  </property>
  <property fmtid="{D5CDD505-2E9C-101B-9397-08002B2CF9AE}" pid="19" name="EktDisabledTaxCategory">
    <vt:lpwstr/>
  </property>
  <property fmtid="{D5CDD505-2E9C-101B-9397-08002B2CF9AE}" pid="20" name="EktCmsSize">
    <vt:i4>883200</vt:i4>
  </property>
  <property fmtid="{D5CDD505-2E9C-101B-9397-08002B2CF9AE}" pid="21" name="EktSearchable">
    <vt:i4>1</vt:i4>
  </property>
  <property fmtid="{D5CDD505-2E9C-101B-9397-08002B2CF9AE}" pid="22" name="EktEDescription">
    <vt:lpwstr>Summary &amp;lt;p&amp;gt;Акронимы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vt:lpwstr>
  </property>
  <property fmtid="{D5CDD505-2E9C-101B-9397-08002B2CF9AE}" pid="23" name="EktFile_Size">
    <vt:lpwstr>850 KB</vt:lpwstr>
  </property>
  <property fmtid="{D5CDD505-2E9C-101B-9397-08002B2CF9AE}" pid="24" name="EktFile_Type">
    <vt:lpwstr>XLS</vt:lpwstr>
  </property>
  <property fmtid="{D5CDD505-2E9C-101B-9397-08002B2CF9AE}" pid="25" name="ekttaxonomyenabled">
    <vt:i4>1</vt:i4>
  </property>
  <property fmtid="{D5CDD505-2E9C-101B-9397-08002B2CF9AE}" pid="26" name="SV_QUERY_LIST_4F35BF76-6C0D-4D9B-82B2-816C12CF3733">
    <vt:lpwstr>empty_477D106A-C0D6-4607-AEBD-E2C9D60EA279</vt:lpwstr>
  </property>
  <property fmtid="{D5CDD505-2E9C-101B-9397-08002B2CF9AE}" pid="27" name="SV_HIDDEN_GRID_QUERY_LIST_4F35BF76-6C0D-4D9B-82B2-816C12CF3733">
    <vt:lpwstr>empty_477D106A-C0D6-4607-AEBD-E2C9D60EA279</vt:lpwstr>
  </property>
  <property fmtid="{D5CDD505-2E9C-101B-9397-08002B2CF9AE}" pid="28" name="ContentTypeId">
    <vt:lpwstr>0x0101004EBAFB83A586EF4F94E7F07E84C3D94B</vt:lpwstr>
  </property>
  <property fmtid="{D5CDD505-2E9C-101B-9397-08002B2CF9AE}" pid="29" name="AuthorIds_UIVersion_512">
    <vt:lpwstr>21</vt:lpwstr>
  </property>
  <property fmtid="{D5CDD505-2E9C-101B-9397-08002B2CF9AE}" pid="30" name="AuthorIds_UIVersion_1024">
    <vt:lpwstr>21</vt:lpwstr>
  </property>
  <property fmtid="{D5CDD505-2E9C-101B-9397-08002B2CF9AE}" pid="31" name="AuthorIds_UIVersion_40960">
    <vt:lpwstr>13</vt:lpwstr>
  </property>
  <property fmtid="{D5CDD505-2E9C-101B-9397-08002B2CF9AE}" pid="32" name="AuthorIds_UIVersion_41472">
    <vt:lpwstr>21</vt:lpwstr>
  </property>
  <property fmtid="{D5CDD505-2E9C-101B-9397-08002B2CF9AE}" pid="33" name="AuthorIds_UIVersion_43008">
    <vt:lpwstr>31,21</vt:lpwstr>
  </property>
</Properties>
</file>