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nga.babicheva\United Nations Development Programme\GF.UNDP.KG Public - Documents\General\CCM Dashboard\HIV-TB\"/>
    </mc:Choice>
  </mc:AlternateContent>
  <bookViews>
    <workbookView xWindow="-120" yWindow="-120" windowWidth="20730" windowHeight="11160" tabRatio="793" activeTab="6"/>
  </bookViews>
  <sheets>
    <sheet name="Меню" sheetId="1" r:id="rId1"/>
    <sheet name="Показатели" sheetId="45" r:id="rId2"/>
    <sheet name="Ввод данных" sheetId="29" r:id="rId3"/>
    <sheet name="Сведения о гранте" sheetId="27" r:id="rId4"/>
    <sheet name="Финансирование" sheetId="30" r:id="rId5"/>
    <sheet name="Управление" sheetId="35" r:id="rId6"/>
    <sheet name="Программа" sheetId="37" r:id="rId7"/>
    <sheet name="Рекомендации" sheetId="42" r:id="rId8"/>
    <sheet name="Действия" sheetId="39" r:id="rId9"/>
    <sheet name="Установки" sheetId="32" state="hidden" r:id="rId10"/>
    <sheet name="Акронимы" sheetId="46" state="hidden" r:id="rId11"/>
    <sheet name="Лист1" sheetId="47" r:id="rId12"/>
  </sheet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PrintA">Действия!$A$2:$L$34</definedName>
    <definedName name="PrintDataF">'Ввод данных'!$A$25:$I$74</definedName>
    <definedName name="PrintDataM">'Ввод данных'!$A$76:$G$164</definedName>
    <definedName name="PrintF">Финансирование!$A$2:$M$31</definedName>
    <definedName name="PrintGD">'Сведения о гранте'!$A$2:$J$13</definedName>
    <definedName name="PrintM" localSheetId="8">Действия!$A$2:$L$6</definedName>
    <definedName name="PrintM">Управление!$A$2:$M$70</definedName>
    <definedName name="PrintP">Программа!$A$2:$P$56</definedName>
    <definedName name="PrintR">Рекомендации!$A$2:$N$41</definedName>
    <definedName name="Rating">Установки!$G$9:$G$14</definedName>
    <definedName name="Round">Установки!$D$9:$D$21</definedName>
    <definedName name="мва">Установки!$I$9:$I$30</definedName>
    <definedName name="_xlnm.Print_Area" localSheetId="8">Действия!$A$1:$L$43</definedName>
    <definedName name="_xlnm.Print_Area" localSheetId="6">Программа!$A$1:$Q$55</definedName>
    <definedName name="_xlnm.Print_Area" localSheetId="5">Управление!$A$1:$M$56</definedName>
    <definedName name="_xlnm.Print_Area" localSheetId="4">Финансирование!$A$2:$M$31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5" i="35" l="1"/>
  <c r="M55" i="35" s="1"/>
  <c r="K53" i="35" l="1"/>
  <c r="M53" i="35" s="1"/>
  <c r="K54" i="35"/>
  <c r="M54" i="35" s="1"/>
  <c r="F143" i="29" l="1"/>
  <c r="I143" i="29" s="1"/>
  <c r="K143" i="29" s="1"/>
  <c r="F142" i="29"/>
  <c r="I142" i="29" s="1"/>
  <c r="K142" i="29" s="1"/>
  <c r="D141" i="29"/>
  <c r="F141" i="29" s="1"/>
  <c r="I141" i="29" s="1"/>
  <c r="K141" i="29" s="1"/>
  <c r="F140" i="29"/>
  <c r="I140" i="29" s="1"/>
  <c r="K140" i="29" s="1"/>
  <c r="D139" i="29"/>
  <c r="F139" i="29" s="1"/>
  <c r="I139" i="29" s="1"/>
  <c r="K139" i="29" s="1"/>
  <c r="D138" i="29"/>
  <c r="F138" i="29" s="1"/>
  <c r="I138" i="29" s="1"/>
  <c r="K138" i="29" s="1"/>
  <c r="F137" i="29"/>
  <c r="I137" i="29" s="1"/>
  <c r="K137" i="29" s="1"/>
  <c r="D136" i="29"/>
  <c r="F136" i="29" s="1"/>
  <c r="I136" i="29" s="1"/>
  <c r="K136" i="29" s="1"/>
  <c r="D135" i="29"/>
  <c r="F135" i="29" s="1"/>
  <c r="I135" i="29" s="1"/>
  <c r="K135" i="29" s="1"/>
  <c r="D134" i="29"/>
  <c r="F134" i="29" s="1"/>
  <c r="I134" i="29" s="1"/>
  <c r="K134" i="29" s="1"/>
  <c r="D133" i="29"/>
  <c r="F133" i="29" s="1"/>
  <c r="I133" i="29" s="1"/>
  <c r="K133" i="29" s="1"/>
  <c r="D132" i="29"/>
  <c r="F132" i="29" s="1"/>
  <c r="I132" i="29" s="1"/>
  <c r="K132" i="29" s="1"/>
  <c r="D131" i="29"/>
  <c r="F131" i="29" s="1"/>
  <c r="I131" i="29" s="1"/>
  <c r="K131" i="29" s="1"/>
  <c r="D130" i="29"/>
  <c r="F130" i="29" s="1"/>
  <c r="I130" i="29" s="1"/>
  <c r="K130" i="29" s="1"/>
  <c r="D129" i="29"/>
  <c r="F129" i="29" s="1"/>
  <c r="I129" i="29" s="1"/>
  <c r="K129" i="29" s="1"/>
  <c r="D128" i="29"/>
  <c r="F128" i="29" s="1"/>
  <c r="I128" i="29" s="1"/>
  <c r="K128" i="29" s="1"/>
  <c r="D127" i="29"/>
  <c r="F127" i="29" s="1"/>
  <c r="I127" i="29" s="1"/>
  <c r="K127" i="29" s="1"/>
  <c r="D126" i="29"/>
  <c r="F126" i="29" s="1"/>
  <c r="I126" i="29" s="1"/>
  <c r="K126" i="29" s="1"/>
  <c r="D125" i="29"/>
  <c r="F125" i="29" s="1"/>
  <c r="I125" i="29" s="1"/>
  <c r="K125" i="29" s="1"/>
  <c r="D124" i="29"/>
  <c r="F124" i="29" s="1"/>
  <c r="I124" i="29" s="1"/>
  <c r="K124" i="29" s="1"/>
  <c r="B114" i="29" l="1"/>
  <c r="D116" i="29"/>
  <c r="D115" i="29"/>
  <c r="K52" i="35" l="1"/>
  <c r="C115" i="29" l="1"/>
  <c r="C114" i="29"/>
  <c r="D114" i="29" s="1"/>
  <c r="H198" i="29" l="1"/>
  <c r="H199" i="29"/>
  <c r="H200" i="29"/>
  <c r="H201" i="29"/>
  <c r="H202" i="29"/>
  <c r="H203" i="29"/>
  <c r="G203" i="29"/>
  <c r="G202" i="29"/>
  <c r="G201" i="29"/>
  <c r="G200" i="29"/>
  <c r="G199" i="29"/>
  <c r="G198" i="29"/>
  <c r="C116" i="29" l="1"/>
  <c r="F116" i="29" l="1"/>
  <c r="F115" i="29"/>
  <c r="F114" i="29"/>
  <c r="F147" i="29"/>
  <c r="H147" i="29" s="1"/>
  <c r="J147" i="29" s="1"/>
  <c r="X34" i="37"/>
  <c r="W34" i="37"/>
  <c r="V34" i="37"/>
  <c r="U34" i="37"/>
  <c r="T34" i="37"/>
  <c r="M52" i="35"/>
  <c r="F160" i="29"/>
  <c r="H160" i="29" s="1"/>
  <c r="J160" i="29" s="1"/>
  <c r="E115" i="29"/>
  <c r="B52" i="37"/>
  <c r="F161" i="29"/>
  <c r="H161" i="29" s="1"/>
  <c r="J161" i="29" s="1"/>
  <c r="F145" i="29"/>
  <c r="H145" i="29" s="1"/>
  <c r="J145" i="29" s="1"/>
  <c r="F146" i="29"/>
  <c r="H146" i="29" s="1"/>
  <c r="J146" i="29" s="1"/>
  <c r="F148" i="29"/>
  <c r="H148" i="29" s="1"/>
  <c r="J148" i="29" s="1"/>
  <c r="F149" i="29"/>
  <c r="H149" i="29" s="1"/>
  <c r="J149" i="29" s="1"/>
  <c r="F150" i="29"/>
  <c r="H150" i="29" s="1"/>
  <c r="J150" i="29" s="1"/>
  <c r="F151" i="29"/>
  <c r="H151" i="29" s="1"/>
  <c r="J151" i="29" s="1"/>
  <c r="F152" i="29"/>
  <c r="H152" i="29" s="1"/>
  <c r="J152" i="29" s="1"/>
  <c r="F153" i="29"/>
  <c r="H153" i="29" s="1"/>
  <c r="J153" i="29" s="1"/>
  <c r="F154" i="29"/>
  <c r="H154" i="29" s="1"/>
  <c r="J154" i="29" s="1"/>
  <c r="F155" i="29"/>
  <c r="H155" i="29" s="1"/>
  <c r="J155" i="29" s="1"/>
  <c r="F156" i="29"/>
  <c r="H156" i="29" s="1"/>
  <c r="J156" i="29" s="1"/>
  <c r="F157" i="29"/>
  <c r="H157" i="29" s="1"/>
  <c r="J157" i="29" s="1"/>
  <c r="F158" i="29"/>
  <c r="H158" i="29" s="1"/>
  <c r="J158" i="29" s="1"/>
  <c r="F159" i="29"/>
  <c r="H159" i="29" s="1"/>
  <c r="J159" i="29" s="1"/>
  <c r="F144" i="29"/>
  <c r="H144" i="29" s="1"/>
  <c r="J144" i="29" s="1"/>
  <c r="B28" i="35"/>
  <c r="B50" i="37"/>
  <c r="B51" i="37"/>
  <c r="B53" i="37"/>
  <c r="B54" i="37"/>
  <c r="B55" i="37"/>
  <c r="D105" i="29"/>
  <c r="D106" i="29"/>
  <c r="D104" i="29"/>
  <c r="X33" i="37"/>
  <c r="W33" i="37"/>
  <c r="V33" i="37"/>
  <c r="U33" i="37"/>
  <c r="T33" i="37"/>
  <c r="X32" i="37"/>
  <c r="W32" i="37"/>
  <c r="V32" i="37"/>
  <c r="U32" i="37"/>
  <c r="T32" i="37"/>
  <c r="X29" i="37"/>
  <c r="W29" i="37"/>
  <c r="V29" i="37"/>
  <c r="U29" i="37"/>
  <c r="T29" i="37"/>
  <c r="X28" i="37"/>
  <c r="W28" i="37"/>
  <c r="V28" i="37"/>
  <c r="U28" i="37"/>
  <c r="T28" i="37"/>
  <c r="AA26" i="37"/>
  <c r="X26" i="37"/>
  <c r="W26" i="37"/>
  <c r="V26" i="37"/>
  <c r="U26" i="37"/>
  <c r="T26" i="37"/>
  <c r="AA25" i="37"/>
  <c r="X25" i="37"/>
  <c r="W25" i="37"/>
  <c r="V25" i="37"/>
  <c r="U25" i="37"/>
  <c r="T25" i="37"/>
  <c r="AF23" i="37"/>
  <c r="AE23" i="37"/>
  <c r="AD23" i="37"/>
  <c r="AC23" i="37"/>
  <c r="AB23" i="37"/>
  <c r="X23" i="37"/>
  <c r="W23" i="37"/>
  <c r="V23" i="37"/>
  <c r="U23" i="37"/>
  <c r="T23" i="37"/>
  <c r="I56" i="35"/>
  <c r="I32" i="35"/>
  <c r="D90" i="29"/>
  <c r="E202" i="29"/>
  <c r="D202" i="29"/>
  <c r="A200" i="29"/>
  <c r="E200" i="29"/>
  <c r="D200" i="29"/>
  <c r="A198" i="29"/>
  <c r="E198" i="29"/>
  <c r="D198" i="29"/>
  <c r="A196" i="29"/>
  <c r="H206" i="29"/>
  <c r="G226" i="29"/>
  <c r="H226" i="29"/>
  <c r="I226" i="29"/>
  <c r="J226" i="29"/>
  <c r="K226" i="29"/>
  <c r="L224" i="29"/>
  <c r="M224" i="29"/>
  <c r="N224" i="29"/>
  <c r="O224" i="29"/>
  <c r="P224" i="29"/>
  <c r="Q224" i="29"/>
  <c r="A225" i="29"/>
  <c r="D227" i="29"/>
  <c r="E227" i="29"/>
  <c r="G227" i="29"/>
  <c r="H227" i="29"/>
  <c r="I227" i="29"/>
  <c r="J227" i="29"/>
  <c r="K227" i="29"/>
  <c r="L225" i="29"/>
  <c r="M225" i="29"/>
  <c r="N225" i="29"/>
  <c r="O225" i="29"/>
  <c r="P225" i="29"/>
  <c r="Q225" i="29"/>
  <c r="G228" i="29"/>
  <c r="H228" i="29"/>
  <c r="I228" i="29"/>
  <c r="J228" i="29"/>
  <c r="K228" i="29"/>
  <c r="L226" i="29"/>
  <c r="M226" i="29"/>
  <c r="N226" i="29"/>
  <c r="O226" i="29"/>
  <c r="P226" i="29"/>
  <c r="Q226" i="29"/>
  <c r="A227" i="29"/>
  <c r="D229" i="29"/>
  <c r="E229" i="29"/>
  <c r="G229" i="29"/>
  <c r="H229" i="29"/>
  <c r="I229" i="29"/>
  <c r="J229" i="29"/>
  <c r="K229" i="29"/>
  <c r="L227" i="29"/>
  <c r="M227" i="29"/>
  <c r="N227" i="29"/>
  <c r="O227" i="29"/>
  <c r="P227" i="29"/>
  <c r="Q227" i="29"/>
  <c r="G230" i="29"/>
  <c r="H230" i="29"/>
  <c r="I230" i="29"/>
  <c r="J230" i="29"/>
  <c r="K230" i="29"/>
  <c r="L228" i="29"/>
  <c r="M228" i="29"/>
  <c r="N228" i="29"/>
  <c r="O228" i="29"/>
  <c r="P228" i="29"/>
  <c r="Q228" i="29"/>
  <c r="A229" i="29"/>
  <c r="D231" i="29"/>
  <c r="E231" i="29"/>
  <c r="G231" i="29"/>
  <c r="H231" i="29"/>
  <c r="I231" i="29"/>
  <c r="J231" i="29"/>
  <c r="K231" i="29"/>
  <c r="L229" i="29"/>
  <c r="M229" i="29"/>
  <c r="N229" i="29"/>
  <c r="O229" i="29"/>
  <c r="P229" i="29"/>
  <c r="Q229" i="29"/>
  <c r="G232" i="29"/>
  <c r="H232" i="29"/>
  <c r="I232" i="29"/>
  <c r="J232" i="29"/>
  <c r="K232" i="29"/>
  <c r="L230" i="29"/>
  <c r="M230" i="29"/>
  <c r="N230" i="29"/>
  <c r="O230" i="29"/>
  <c r="P230" i="29"/>
  <c r="Q230" i="29"/>
  <c r="F83" i="29"/>
  <c r="F84" i="29"/>
  <c r="B33" i="29"/>
  <c r="B35" i="29" s="1"/>
  <c r="B34" i="29"/>
  <c r="C34" i="29" s="1"/>
  <c r="D34" i="29" s="1"/>
  <c r="E34" i="29"/>
  <c r="B56" i="29"/>
  <c r="E56" i="29" s="1"/>
  <c r="C56" i="29"/>
  <c r="I27" i="47"/>
  <c r="I28" i="47"/>
  <c r="G29" i="47"/>
  <c r="G31" i="47" s="1"/>
  <c r="G27" i="47"/>
  <c r="G28" i="47"/>
  <c r="G26" i="47"/>
  <c r="F20" i="47"/>
  <c r="G19" i="47"/>
  <c r="G18" i="47"/>
  <c r="D22" i="47"/>
  <c r="E19" i="47"/>
  <c r="E20" i="47"/>
  <c r="E18" i="47"/>
  <c r="F14" i="47"/>
  <c r="E14" i="47"/>
  <c r="K10" i="47"/>
  <c r="J10" i="47"/>
  <c r="C14" i="47"/>
  <c r="D13" i="47"/>
  <c r="D12" i="47"/>
  <c r="D11" i="47"/>
  <c r="D6" i="47"/>
  <c r="C6" i="47"/>
  <c r="D64" i="29"/>
  <c r="D63" i="29"/>
  <c r="D62" i="29"/>
  <c r="D61" i="29"/>
  <c r="H167" i="29"/>
  <c r="D12" i="42"/>
  <c r="D41" i="42"/>
  <c r="D34" i="42"/>
  <c r="D35" i="42"/>
  <c r="D36" i="42"/>
  <c r="D37" i="42"/>
  <c r="D38" i="42"/>
  <c r="D39" i="42"/>
  <c r="D40" i="42"/>
  <c r="D33" i="42"/>
  <c r="D32" i="42"/>
  <c r="D31" i="42"/>
  <c r="D30" i="42"/>
  <c r="D29" i="42"/>
  <c r="D24" i="42"/>
  <c r="D23" i="42"/>
  <c r="D22" i="42"/>
  <c r="D21" i="42"/>
  <c r="D20" i="42"/>
  <c r="D19" i="42"/>
  <c r="D13" i="42"/>
  <c r="D11" i="42"/>
  <c r="B13" i="27"/>
  <c r="D10" i="27"/>
  <c r="B10" i="27"/>
  <c r="B9" i="27"/>
  <c r="B8" i="45"/>
  <c r="B23" i="45"/>
  <c r="B2" i="37"/>
  <c r="B2" i="35"/>
  <c r="B2" i="45"/>
  <c r="B3" i="27"/>
  <c r="B3" i="32" s="1"/>
  <c r="B2" i="30"/>
  <c r="B2" i="1"/>
  <c r="B2" i="39"/>
  <c r="B2" i="42"/>
  <c r="K3" i="30"/>
  <c r="M3" i="30"/>
  <c r="A32" i="29"/>
  <c r="B3" i="39"/>
  <c r="B3" i="42"/>
  <c r="C4" i="42"/>
  <c r="B4" i="1"/>
  <c r="C3" i="37"/>
  <c r="B3" i="37"/>
  <c r="B3" i="30"/>
  <c r="B6" i="27"/>
  <c r="C4" i="30"/>
  <c r="C4" i="35"/>
  <c r="C4" i="37"/>
  <c r="C4" i="39"/>
  <c r="D60" i="29"/>
  <c r="C38" i="29"/>
  <c r="B38" i="29"/>
  <c r="B9" i="45"/>
  <c r="K3" i="35"/>
  <c r="M3" i="35"/>
  <c r="I11" i="27"/>
  <c r="B12" i="27"/>
  <c r="C3" i="35"/>
  <c r="B3" i="35"/>
  <c r="B4" i="35"/>
  <c r="E4" i="35"/>
  <c r="K4" i="35"/>
  <c r="M4" i="35"/>
  <c r="D5" i="35"/>
  <c r="L5" i="35"/>
  <c r="M5" i="35"/>
  <c r="B39" i="35"/>
  <c r="J3" i="39"/>
  <c r="L3" i="39"/>
  <c r="B4" i="39"/>
  <c r="E4" i="39"/>
  <c r="J4" i="39"/>
  <c r="L4" i="39"/>
  <c r="K5" i="39"/>
  <c r="L5" i="39"/>
  <c r="L3" i="42"/>
  <c r="M3" i="42"/>
  <c r="B4" i="42"/>
  <c r="E4" i="42"/>
  <c r="L4" i="42"/>
  <c r="M4" i="42"/>
  <c r="L5" i="42"/>
  <c r="M5" i="42"/>
  <c r="D14" i="42"/>
  <c r="O3" i="37"/>
  <c r="Q3" i="37"/>
  <c r="B4" i="37"/>
  <c r="E4" i="37"/>
  <c r="P4" i="37"/>
  <c r="Q4" i="37"/>
  <c r="D5" i="37"/>
  <c r="P5" i="37"/>
  <c r="Q5" i="37"/>
  <c r="B36" i="37"/>
  <c r="F36" i="37"/>
  <c r="L36" i="37"/>
  <c r="T51" i="37"/>
  <c r="U51" i="37"/>
  <c r="T52" i="37"/>
  <c r="U52"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F35" i="29"/>
  <c r="H35" i="29"/>
  <c r="Q59" i="29"/>
  <c r="K35" i="29"/>
  <c r="M35" i="29"/>
  <c r="B10" i="45"/>
  <c r="B11" i="45"/>
  <c r="B19" i="45"/>
  <c r="B20" i="45"/>
  <c r="B21" i="45"/>
  <c r="B22" i="45"/>
  <c r="B25" i="45"/>
  <c r="H4" i="1"/>
  <c r="I35" i="29"/>
  <c r="G35" i="29"/>
  <c r="Q35" i="29"/>
  <c r="J35" i="29"/>
  <c r="Q33" i="29"/>
  <c r="Q34" i="29"/>
  <c r="Q58" i="29"/>
  <c r="L35" i="29"/>
  <c r="P60" i="29"/>
  <c r="D14" i="47"/>
  <c r="F22" i="47" s="1"/>
  <c r="AF25" i="37"/>
  <c r="AC25" i="37"/>
  <c r="AB25" i="37"/>
  <c r="AE25" i="37"/>
  <c r="AD25" i="37"/>
  <c r="AE26" i="37"/>
  <c r="AD26" i="37"/>
  <c r="AF26" i="37"/>
  <c r="AC26" i="37"/>
  <c r="AB26" i="37"/>
  <c r="E33" i="29"/>
  <c r="Q32" i="29" s="1"/>
  <c r="Q29" i="29" l="1"/>
  <c r="C33" i="29"/>
  <c r="E35" i="29"/>
  <c r="B8" i="30"/>
  <c r="B18" i="35"/>
  <c r="J8" i="30"/>
  <c r="C35" i="29"/>
  <c r="I28" i="35"/>
  <c r="B7" i="35"/>
  <c r="J22" i="30"/>
  <c r="I18" i="35"/>
  <c r="B22" i="30"/>
  <c r="I7" i="35"/>
  <c r="Q30" i="29" l="1"/>
  <c r="D33" i="29"/>
  <c r="D35" i="29" l="1"/>
  <c r="Q31" i="29"/>
</calcChain>
</file>

<file path=xl/comments1.xml><?xml version="1.0" encoding="utf-8"?>
<comments xmlns="http://schemas.openxmlformats.org/spreadsheetml/2006/main">
  <authors>
    <author>mgleixner</author>
    <author>molszak</author>
  </authors>
  <commentList>
    <comment ref="A30" authorId="0" shapeId="0">
      <text>
        <r>
          <rPr>
            <sz val="8"/>
            <color indexed="81"/>
            <rFont val="Tahoma"/>
            <family val="2"/>
          </rPr>
          <t>To define your periods (eg. P1, P2, P3 etc or P9, P10, P11 etc) you need to unprotect the cells.</t>
        </r>
      </text>
    </comment>
    <comment ref="A81" authorId="1" shapeId="0">
      <text>
        <r>
          <rPr>
            <b/>
            <sz val="8"/>
            <color indexed="81"/>
            <rFont val="Tahoma"/>
            <family val="2"/>
          </rPr>
          <t xml:space="preserve">If data are not available, do not enter zeros; rather, leave the cells in the table blank. </t>
        </r>
      </text>
    </comment>
    <comment ref="A82" authorId="1" shapeId="0">
      <text>
        <r>
          <rPr>
            <b/>
            <sz val="8"/>
            <color indexed="81"/>
            <rFont val="Tahoma"/>
            <family val="2"/>
          </rPr>
          <t>If data are not available, do not enter zeros; rather, leave the cells in this table blank.</t>
        </r>
      </text>
    </comment>
    <comment ref="A83" authorId="1" shapeId="0">
      <text>
        <r>
          <rPr>
            <b/>
            <sz val="8"/>
            <color indexed="81"/>
            <rFont val="Tahoma"/>
            <family val="2"/>
          </rPr>
          <t xml:space="preserve">If data are not available, do not enter zeros; rather, leave the cells in the table blank. </t>
        </r>
      </text>
    </comment>
    <comment ref="A84" authorId="1" shapeId="0">
      <text>
        <r>
          <rPr>
            <b/>
            <sz val="8"/>
            <color indexed="81"/>
            <rFont val="Tahoma"/>
            <family val="2"/>
          </rPr>
          <t>If data are not available, do not enter zeros; rather, leave the cells in this table blank.</t>
        </r>
      </text>
    </comment>
    <comment ref="A91" authorId="0" shapeId="0">
      <text>
        <r>
          <rPr>
            <sz val="8"/>
            <color indexed="81"/>
            <rFont val="Tahoma"/>
            <family val="2"/>
          </rPr>
          <t xml:space="preserve">If data are not available, do not enter zeros; rather, leave the cells in this table blank. </t>
        </r>
      </text>
    </comment>
    <comment ref="A92" authorId="0" shapeId="0">
      <text>
        <r>
          <rPr>
            <sz val="8"/>
            <color indexed="81"/>
            <rFont val="Tahoma"/>
            <family val="2"/>
          </rPr>
          <t xml:space="preserve">If data are not available, do not enter zeros; rather, leave the cells in this table blank. </t>
        </r>
      </text>
    </comment>
    <comment ref="A110" authorId="0" shapeId="0">
      <text>
        <r>
          <rPr>
            <sz val="8"/>
            <color indexed="81"/>
            <rFont val="Tahoma"/>
            <family val="2"/>
          </rPr>
          <t>To define your periods (eg. P1, P2, P3 etc or P9, P10, P11 etc) you need to unprotect the cells.</t>
        </r>
      </text>
    </comment>
  </commentList>
</comments>
</file>

<file path=xl/comments2.xml><?xml version="1.0" encoding="utf-8"?>
<comments xmlns="http://schemas.openxmlformats.org/spreadsheetml/2006/main">
  <authors>
    <author>Elena Mikhalchenko</author>
  </authors>
  <commentList>
    <comment ref="D6"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 ref="D14"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List>
</comments>
</file>

<file path=xl/sharedStrings.xml><?xml version="1.0" encoding="utf-8"?>
<sst xmlns="http://schemas.openxmlformats.org/spreadsheetml/2006/main" count="1065" uniqueCount="721">
  <si>
    <t>V1.0</t>
  </si>
  <si>
    <t>Финансирование</t>
  </si>
  <si>
    <t>Наименование:</t>
  </si>
  <si>
    <t>Определение</t>
  </si>
  <si>
    <t>Измерение</t>
  </si>
  <si>
    <t>Источник данных</t>
  </si>
  <si>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</si>
  <si>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</si>
  <si>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Банковская или бухгалтерская информация ОР; уведомления ГФ о выплате средств; ОПР/ЗПС; веб-сайт ГФ.</t>
  </si>
  <si>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</si>
  <si>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</si>
  <si>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</si>
  <si>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</si>
  <si>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rPr>
        <sz val="11"/>
        <rFont val="Arial"/>
        <family val="2"/>
      </rPr>
      <t>ОПР/ЗПС</t>
    </r>
    <r>
      <rPr>
        <sz val="11"/>
        <color indexed="8"/>
        <rFont val="Arial"/>
        <family val="2"/>
      </rPr>
      <t>; данные ОР; отчеты СР  основному реципиенту.</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</si>
  <si>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</si>
  <si>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</si>
  <si>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</si>
  <si>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Управление</t>
  </si>
  <si>
    <t>Источники Данных</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</si>
  <si>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</si>
  <si>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</si>
  <si>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</si>
  <si>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</si>
  <si>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t>Количество в текущем отчетном периоде.</t>
  </si>
  <si>
    <t xml:space="preserve">Документация ОР. </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</si>
  <si>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</si>
  <si>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</si>
  <si>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Документация ОР; соглашения с субреципиентами/ меморандум о взаимопонимании (МоВ); документация СКК.</t>
  </si>
  <si>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</si>
  <si>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Количество  полученных отчетов. Эта цифра отражает только отчетный период; она не является совокупной.</t>
  </si>
  <si>
    <t>Документация ОР и СР.</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</si>
  <si>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</si>
  <si>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Валюта финансирования гранта (долл. США или евро).</t>
  </si>
  <si>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</si>
  <si>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</si>
  <si>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</si>
  <si>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Количество месяцев.</t>
  </si>
  <si>
    <t>Документация ОР: складские данные</t>
  </si>
  <si>
    <t>Программные показатели (Система оценки результатов реализации)</t>
  </si>
  <si>
    <t>Показатель по ВИЧ /СПИД</t>
  </si>
  <si>
    <t>Определение (на основании Плана мониторинга и оценки)</t>
  </si>
  <si>
    <t>Процент ЛУИН, охваченных программами по профилактике ВИЧ</t>
  </si>
  <si>
    <t>Индикатор  отражает процент ЛУИН, которые получили минимальный пакет услуг (шприцы, иглы, салфетки), презервативы и информационный материал (в виде информационных брошюр или информационных сессий) хотя бы один раз в течение отчетного периода из оценочного числа ЛУИН.</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</si>
  <si>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за отчетный период, включая заключенных ЛУИН; знаменатель: оценочное количество ЛУИН за 2013 г. </t>
  </si>
  <si>
    <t>Отчетная документация организаций - СР (ежеквартально), БД МИС.</t>
  </si>
  <si>
    <t>Процент взрослых и детей, получающих в настоящее время антиретровирусную терапию, от оценочного числа всех взрослых и детей, живущих с ВИЧ</t>
  </si>
  <si>
    <t>Все лица с известным статусом на конец отчетного периода получающие АРТ в соответствии с утвержденным национальным протоколом лечения из оценочного числа ЛЖВ. </t>
  </si>
  <si>
    <t>Индикатор не кумулятивный, состоит из двух частей. Числитель: Число людей, находящихся на АРТ в данный момент (на конец отчетного периода), знаменатель: оценочное число ЛЖВ по Спектруму. </t>
  </si>
  <si>
    <t>Данные РЦ СПИД, ЭС.</t>
  </si>
  <si>
    <t>Процент ЛЖВ, получающих АРТ и достигших неопределяемую вирусную нагрузку (т.е. ≤1000 копий)</t>
  </si>
  <si>
    <t>Индикатор отражает процент ЛЖВ, получающих АРТ и достигших неопределяемую вирусную нагрузку из общего числа ЛЖВ, находящихся на АРТ на конец отчетного периода. </t>
  </si>
  <si>
    <t xml:space="preserve">Индикатор кумулятивный за год, состоит их двух частей. Числитель: Число ЛЖВ, получающих АРТ и достигших неопределяемую вирусную нагрузку, знаменатель: общее число ЛЖВ, находящихся на АРТ на конец отчетного периода. </t>
  </si>
  <si>
    <t>Процент ЛУИН получающих ОЗТ, которые находятся на лечении не менее 6 месяцев после начала лечения </t>
  </si>
  <si>
    <t>Индикатор отражает приверженность/удержание на опиоидной заместительной терапии и охватывает и гражданский, пенитенциарный системы (по стране). </t>
  </si>
  <si>
    <t>Измеряется в процентах, количество людей вступивших в программу ОЗТ в период предыдущий отчетному на  количество людей продолживших терапию в течении 6 месяцев после ее начала. Не кумулятивный.</t>
  </si>
  <si>
    <t>Данные РЦН, ЭРЗПТ</t>
  </si>
  <si>
    <t>Процент ЛУИН, протестированных на ВИЧ и знающих свой результат</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</si>
  <si>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</si>
  <si>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</si>
  <si>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заключенных, протестированных на ВИЧ и знающих свой результат</t>
  </si>
  <si>
    <t>Процент заключенных,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</si>
  <si>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 Числитель: Число заключенных, прошедших тестирование на ВИЧ в течение отчетного периода и знающих их результаты.
Знаменатель: фактическое число заключенных. </t>
  </si>
  <si>
    <t>Источником данных являются отчеты суб-получателей.</t>
  </si>
  <si>
    <t>Процент СР охваченных, программами по профилактике ВИЧ</t>
  </si>
  <si>
    <t>Процент СР, которые получили хотя бы один раз минимальный пакет услуг в течение отчетного периода из оценочного числа.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</si>
  <si>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СР за 2013 г. </t>
  </si>
  <si>
    <t>Отчетная документация организаций - СР (ежеквартально), БД МИС</t>
  </si>
  <si>
    <t>Процент СР, протестированных на ВИЧ и знающих свой результат</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</si>
  <si>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</si>
  <si>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</si>
  <si>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охваченных, программами по профилактике ВИЧ</t>
  </si>
  <si>
    <t>Процент МСМ, которые получили хотя бы один раз минимальный пакет услуг в течение отчетного периода.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</si>
  <si>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МСМ за 2013 г. </t>
  </si>
  <si>
    <t>Процент МСМ, протестированных на ВИЧ и знающих свой результат</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</si>
  <si>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</si>
  <si>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МСМ за 2013 г. </t>
  </si>
  <si>
    <t>Процент ЛЖВ (включая ППМР), у которых ТБ статус  оценивался в отчетном периоде, из числа доступных</t>
  </si>
  <si>
    <t>Процент ЛЖВ, которым была проведена оценка ТБ статуса в соответствии с национальным клиническим протоколом за отчетный период.</t>
  </si>
  <si>
    <t>Не кумулятивный. Числитель: количество ЛЖВ, которым была проведена оценка ТБ статуса, знаменатель: количество ЛЖВ, вовлеченных в уход по ВИЧ (доступных)</t>
  </si>
  <si>
    <t>Процент ВИЧ-положительных новых и рецидивирующих больных туберкулезом, получающих АРТ во время лечения ТБ</t>
  </si>
  <si>
    <t xml:space="preserve">Процент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t>
  </si>
  <si>
    <t xml:space="preserve">Не кумулятивный. Числитель: Число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Знаменатель: Число ВИЧ-положительных новых и рецидивирующих больных туберкулезом, зарегистрированных за отчетный период. </t>
  </si>
  <si>
    <t>Данные РЦ СПИД, программа ЭС.</t>
  </si>
  <si>
    <t>Процент ВИЧ-положительных беременных женщин, получивших АРТ во время беременности</t>
  </si>
  <si>
    <t>Индикатор отражает процент беременных женщин с положительным статусом ВИЧ, которые родили и получили АРТ в период риска ПМР среди общего числа ВИЧ- положительных беременных, родивших за отчетный период.</t>
  </si>
  <si>
    <t>Кумулятивно за год. 
Числитель: Число ВИЧ-положительных беременных женщин, которые родили и получили АРТ в период риска ПМР.
Знаменатель: Число ВИЧ-положительных беременных, фактически родивших в течение отчетного периода.</t>
  </si>
  <si>
    <t>Данные РЦ СПИД, программа ЭС, Спектрум.</t>
  </si>
  <si>
    <t>Показатель по ТБ</t>
  </si>
  <si>
    <t>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t>
  </si>
  <si>
    <t xml:space="preserve">Количество всех форм ТБ случаев (бактериологически подтвержденных и клинически диагностированных) зарегистрированных национальными организациями здравоохранения в течение отчетного периода. Включает новые случаи и рецидивы. </t>
  </si>
  <si>
    <t>Измеряется в абсолютных числах  на основании ежеквартальных статистических данных РЦИиЭ НЦФ.</t>
  </si>
  <si>
    <t>Отчетный инструмент  относится к форме ТБ 06, табл. 1. </t>
  </si>
  <si>
    <t>MDR TB-2: Количество бактериологически подтвержденных зарегистрированных ЛУ-ТБ случаев (РУ-ТБ и/или МЛУ-ТБ)</t>
  </si>
  <si>
    <t xml:space="preserve">    Абсолютное количество бактериологически подтвержденных случаев ЛУ РУ ТБ и/или МЛУ/ШЛУ, зарегистрированных за отчетный период.                                      
</t>
  </si>
  <si>
    <t>Отчетный инструмент  относится к форме ТБ 06 У, табл. 1. </t>
  </si>
  <si>
    <t>MDR TB-3: Количество случаев с РУ/МЛУ ТБ, начавших лечение препаратами второго ряда</t>
  </si>
  <si>
    <t>Индикатор включает абсолютное число лабораторно-подтвержденных случаев РУ/МЛУ/ШЛУ ТБ, взятых на лечение преапаратами второго ряда в отчетный период</t>
  </si>
  <si>
    <t>База данных МЛУ-ТБ НЦФ РЦИиЭ</t>
  </si>
  <si>
    <t>MDR TB-7: Процент подтвержденных МЛУ-ТБ случаев, протестированных на чувствительность к фторхинолонам и инъекционным препаратам второго ряда</t>
  </si>
  <si>
    <t>Измеряется количество подтвержденных РУ/МЛУ ТБ случаев, протестированных на чувствительность к любым фторхинолонам и любым инъекционным препаратам второго ряда в отчетный период любым методом (Хайн-тест 2го ряда или фенотипический ТЛЧ). </t>
  </si>
  <si>
    <t>Числитель: Количество подтвержденных РУ/МЛУ ТБ случаев протестированных на чувствительность к фторхинолонам и инъекционным препаратам второго ряда в отчетный период. Знаменатель: Общее количество подтвержденных случаев РУ/МЛУ, зарегистрированных в отчетный период. </t>
  </si>
  <si>
    <t>Отчетный инструмент  относится к форме ТБ 06, табл. 3а и 3б. </t>
  </si>
  <si>
    <t>MDR TB-8: Количество случаев ШЛУ ТБ, взятых на лечение</t>
  </si>
  <si>
    <t>Количество зарегистрипрованных  подтвержденных случаев ШЛУ ТБ, которые начали  назначенное ШЛУ лечение в течение отчетного периода.</t>
  </si>
  <si>
    <t>Измеряется в абсолютных числах  на основании ежеквартальных статистических данных РЦИиЭ НЦФ.</t>
  </si>
  <si>
    <t>TB/HIV-5: Процент зарегистрированных пациентов  (новых случаев и рецидивов), которые имеют задокументированный статус ВИЧ</t>
  </si>
  <si>
    <t>Количество новых случаев и рецидивов, зарегистрированный в отченный период, у которых имеется задокументированный ВИЧ статус</t>
  </si>
  <si>
    <t xml:space="preserve">Числитель: Количество пациентов (новые случаи и рецидивы), зарегистрированные в отчетный период, у которых имеется результат теста на ВМЧ (положительный или отрицательный), записанный в ТБ регистре. Знаменатель: Количество пациентов (новые случаи и рецидивы), зарегистированные в ТБ регистре в течение отчетного периода.  </t>
  </si>
  <si>
    <t>Отчетный инструмент  относится к форме ТБ 06 У, табл. 4. </t>
  </si>
  <si>
    <t>Номер показателя: название (№ в Системе оценки результатов реализации)</t>
  </si>
  <si>
    <t>Показатели должны быть выбраны ОР и членами СКК или Техническим комитетом СКК, см. Систему оценки результатов реализации</t>
  </si>
  <si>
    <t>Система оценки результатов реализации</t>
  </si>
  <si>
    <t>Информация о гранте</t>
  </si>
  <si>
    <t>Страна:</t>
  </si>
  <si>
    <t>Кыргызстан</t>
  </si>
  <si>
    <t>Название гранта:</t>
  </si>
  <si>
    <t>«Эффективный контроль за ВИЧ-инфекцией и туберкулезом в Кыргызской Республике»</t>
  </si>
  <si>
    <t>Грант №</t>
  </si>
  <si>
    <t>KGZ-C-UNDP</t>
  </si>
  <si>
    <t>Компонент:</t>
  </si>
  <si>
    <t>ВИЧ/СПИД/ТБ</t>
  </si>
  <si>
    <t>Общая сумма:</t>
  </si>
  <si>
    <t>Основной реципиент:</t>
  </si>
  <si>
    <t>ПРООН</t>
  </si>
  <si>
    <t>Раунд:</t>
  </si>
  <si>
    <t>Фаза:</t>
  </si>
  <si>
    <t>Дата начала (дд/ммм/гг):</t>
  </si>
  <si>
    <t>Местный агент Фонда:</t>
  </si>
  <si>
    <t>UNOPS</t>
  </si>
  <si>
    <t>Последняя оценка:</t>
  </si>
  <si>
    <t>A2</t>
  </si>
  <si>
    <t>Менеджер портфолио Фонда:</t>
  </si>
  <si>
    <t>Алексей Бобрик</t>
  </si>
  <si>
    <t>Период предоставления отчетной информации</t>
  </si>
  <si>
    <t>Отчетный период</t>
  </si>
  <si>
    <t>P3</t>
  </si>
  <si>
    <t>с:</t>
  </si>
  <si>
    <t>до:</t>
  </si>
  <si>
    <t>Дата ввода информации:</t>
  </si>
  <si>
    <t>Кем подготовлено:</t>
  </si>
  <si>
    <t>Информация об индикаторах</t>
  </si>
  <si>
    <t>Введите данные в ячейки соответствующего цвета</t>
  </si>
  <si>
    <t xml:space="preserve">Информация о финансировании: </t>
  </si>
  <si>
    <t xml:space="preserve">Информация об управлении: </t>
  </si>
  <si>
    <t xml:space="preserve">Информация о программе: </t>
  </si>
  <si>
    <t xml:space="preserve">     Введите финансовые данные в каждую ячейку оранжевого цвета.</t>
  </si>
  <si>
    <t>Валюта финансирования гранта</t>
  </si>
  <si>
    <t>$</t>
  </si>
  <si>
    <t>F1: Бюджет и выплаты Глобальным фондом</t>
  </si>
  <si>
    <t>Выплаты</t>
  </si>
  <si>
    <t>P1</t>
  </si>
  <si>
    <t>P2</t>
  </si>
  <si>
    <t>P4</t>
  </si>
  <si>
    <t>P5</t>
  </si>
  <si>
    <t>P6</t>
  </si>
  <si>
    <t>P7</t>
  </si>
  <si>
    <t>P8</t>
  </si>
  <si>
    <t>P9</t>
  </si>
  <si>
    <t>P10</t>
  </si>
  <si>
    <t>P11</t>
  </si>
  <si>
    <t>P12</t>
  </si>
  <si>
    <t>% Общего объема</t>
  </si>
  <si>
    <t>Бюджет (в $)</t>
  </si>
  <si>
    <t>Общий бюджет</t>
  </si>
  <si>
    <t>Общая сумма выплат</t>
  </si>
  <si>
    <t>F2: Бюджет и фактические расходы согласно задачам гранта</t>
  </si>
  <si>
    <t>Комментарии</t>
  </si>
  <si>
    <t>Профилактика - Работники секс-бизнеса и их клиенты</t>
  </si>
  <si>
    <t>Данная задача включает бюджет на: закупки  женских и мужских презервативов, любрикантов, тестов, антисептических салфеток, а также соответствующие затраты на управление поставками,  целевые расходы СП: 7 ПОУ на базе НПО, работающие в данном направлении, включая з/п социальных и аутрич работников.  За отчетный период было израсходовано 28% выделенного бюджета согласно фактическим потребностям.  При этом имеются обязательства на 102 472$ на 31 декабря 2019 г., которые будут оплачены в 2020. С учетом обязательств процент освоения бюджета равен 95%.</t>
  </si>
  <si>
    <t>Профилактика - ПИН и их партнеры</t>
  </si>
  <si>
    <t>Данная задача включает бюджет на: закупки метадона, налоксона, шприцов, мужских презервативов, тестов, антисептических салфеток, пластиковых стаканов,  а также соответствующие затраты на управление поставками, ремонт ОЗТ,  целевые расходы СП (РЦН и НПО, работающие в данном направлении), включая з/п социальных и аутрич работников. За весь период было израсходовано 32% выделенного бюджета согласно фактическим потребностям. При этом имеются обязательства на 360 864$ на 31 декабря 2019 г., которые будут оплачены в 2020. С учетом обязательств процент освоения бюджета равен 86%.</t>
  </si>
  <si>
    <t>Профилактика - Другие уязвимые группы населения </t>
  </si>
  <si>
    <t xml:space="preserve"> -   </t>
  </si>
  <si>
    <t xml:space="preserve"> -     </t>
  </si>
  <si>
    <t>N/A</t>
  </si>
  <si>
    <t>ППМР</t>
  </si>
  <si>
    <t>Данная задача включает бюджет на: закупки антиретровирусных препаратов,  тест-наборы,  а также, соответствующие затраты на управление поставками. За отчетный период было израсходовано 13% выделенного бюджета согласно фактическим потребностям.  При этом имеются обязательства на 1 111$ на 31 декабря 2019 г., которые будут оплачены в 2020. С учетом обязательств процент освоения бюджета равен 72%.</t>
  </si>
  <si>
    <t xml:space="preserve">Лечение, уход и поддержка </t>
  </si>
  <si>
    <t xml:space="preserve">Данная задача включает бюджет на: закупки антиретровирусных препаратов, тестирование на ВИЧ, CD4, расходные материалы / тест-наборы,  а также соответствующие затраты на управление поставками,  целевые расходы СП (РЦ «СПИД» и региональные центры по борьбе со СПИДом, 7 НПО, включая з/п социальных и аутрич работников и мед.технического персонала, транспортировку биологических образцов, мотвационные выплаты ЛЖВ за приверженность к АРТ). За отчетный период было израсходовано 33% выделенного бюджета согласно фактическим потребностям. При этом на конец отчетного периода имеются финансовые обязательства, в основном, по закупкам на 449 257$, с учетом которых освоение будет 60% в рамках данной задачи. </t>
  </si>
  <si>
    <t>ТБ/ВИЧ</t>
  </si>
  <si>
    <t>Данная задача включает бюджет на: закупки  пиридоксина,  а также соответствующие затраты на управление поставками. Освоение бюджета 100%</t>
  </si>
  <si>
    <t>МЛУ-ТБ</t>
  </si>
  <si>
    <t xml:space="preserve">Данная задача включает бюджет на: закупки на  ПТП, лабораторные реагенты, шприцы, респираторы, картриджы для Xpert, GeneXpert,  а также соответствующие затраты на управление поставками, услуги томографии и диагностика больных туберкулезом, ежегодный операционный взнос в комитет Green Light, з/п  по транспортировке мокроты, з/п психологов для пациентов, целевые расходы СП на базе НПО, транпсортировку мокроты, моивационные выплаты пациентам, соблюдающим лечение, МиО визиты. За отчетный период было израсходовано 41% выделенного бюджета согласно фактическим потребностям. При этом на конец отчетного периода имеются финансовые обязательства, в основном, по закупкам на 2 826 986$, с учетом которых освоение будет 94% в рамках данной задачи. </t>
  </si>
  <si>
    <t>Укрепление систем сообществ</t>
  </si>
  <si>
    <t>Данная задача включает бюджет на  целевые расходы СП- 5-х национальных сетей по ТБ и ВИЧ:  транспортные расходы, связанные с МиО визитами,  зарплата сотрудникам. За отчетный период было израсходовано 84% выделенного бюджета согласно фактическим потребностям суб-получателей для реализации проектных мероприятий.</t>
  </si>
  <si>
    <t>УC3 - Информационные системы здравоохранения и МиО</t>
  </si>
  <si>
    <t xml:space="preserve">Данная задача включает бюджет на: целевые расходы СП ( РЦН, центров по борьбе со СПИДом, ТБ центры), включая оплату специалистов по контролю качества лабораторных услуг, технических специалистов НТП по реализации гранта ГФ, специалистов по мониторингу и оценке, МиО визиты центров по борьбе со СПИДом. За отчетный период было израсходовано 82% выделенного бюджета согласно фактическим потребностям суб-получателей для реализации проектных мероприятий. При этом на конец отчетного периода имеются финансовые обязательства на 7 005$, с учетом которых освоение будет 99% в рамках данной задачи. </t>
  </si>
  <si>
    <t>Управление программой</t>
  </si>
  <si>
    <t xml:space="preserve">Данная задача включает бюджет в основном на административные расходы СП и ОП в рамках реализации проекта, ежегодный аудит СП,  техническую поддержку СП в виде наемных консультантов,  содержание камер наблюдения для РЦН, ежегодные встречи СП по компоненту ТБ, тренинги по адвокации и правам человека, МиО визиты СП, а также административные расходы в рамках Matching Funds (MF). За отчетный период было израсходовано 64% выделенного бюджета. При этом на конец отчетного периода имеются финансовые обязательства на 469 699$, с учетом которых освоение будет 92% в рамках данной задачи. </t>
  </si>
  <si>
    <t xml:space="preserve">Профилактика - заключенные </t>
  </si>
  <si>
    <t xml:space="preserve">Данная задача включает бюджет на: закупки  тестов, антисептических салфеток, а также соответствующие затраты на управление поставками, целевые расходы РЦН, включая з/п социальных и аутрич работников  ПОШ в тюрьмах,  МиО визиты. За отчетный период было израсходовано 17% выделенного бюджета согласно фактическим потребностям. При этом на конец отчетного периода имеются финансовые обязательства, в основном, по закупкам на 55 802$, с учетом которых освоение будет 88% в рамках данной задачи. </t>
  </si>
  <si>
    <t>Профилактика - МСМ и трансгендерные лица</t>
  </si>
  <si>
    <t xml:space="preserve">Данная задача включает бюджет на: закупки  мужских презервативов, любрикантов, тестов, антисептических салфеток, а также соответствующие затраты на управление поставками, целевые расходы СП - 7 ПОУ на базе НПО, работающие в данном направлении, включая з/п социальных и аутрич работников.  За весь период было израсходовано 34% выделенного бюджета согласно фактическим потребностям. При этом на конец отчетного периода имеются финансовые обязательства, в основном, по закупкам на 114 598$, с учетом которых освоение будет 92% в рамках данной задачи. </t>
  </si>
  <si>
    <t>Устранение правовых барьеров к доступу</t>
  </si>
  <si>
    <t>Данная задача включает бюджет на: мероприятия по Matching Funds, в том числе, которые были перенесы на отчетный период, целевые расходы по Проекту «Уличные юристы»,  форумы  для общин.  За отчетный период было израсходовано 113% выделенного бюджета согласно фактическим потребностям. При этом на конец отчетного периода имеются финансовые обязательства на 16 853$, с учетом которых освоение будет 120% в рамках данной задачи. Небольшой перерасход текущего бюджета связан с проведением дополнительных мероприятий в конце года в рамках MF.</t>
  </si>
  <si>
    <t>Всего:</t>
  </si>
  <si>
    <t>F3: Выплаты и расходы</t>
  </si>
  <si>
    <t>До отчетного периода</t>
  </si>
  <si>
    <t>Текущий отчетный период</t>
  </si>
  <si>
    <t>Выплачено Глобальным фондом</t>
  </si>
  <si>
    <t>Расходы и платежи ОР</t>
  </si>
  <si>
    <t>Выплачено субреципиентам</t>
  </si>
  <si>
    <t>Расходы субреципиентов</t>
  </si>
  <si>
    <t>F4: Последний отчетный и платежный цикл ОР</t>
  </si>
  <si>
    <t>Последняя выплата средств: количество календарных дней</t>
  </si>
  <si>
    <t>Расчетные (дни)</t>
  </si>
  <si>
    <t>Фактические (дни)</t>
  </si>
  <si>
    <t xml:space="preserve">Сколько дней понадобилось для подачи ИОР/ЗПС в офис МАФ </t>
  </si>
  <si>
    <t xml:space="preserve">Спустя сколько дней ОР получил платеж </t>
  </si>
  <si>
    <t>н/п</t>
  </si>
  <si>
    <t>Спустя сколько дней суб-реципиенты получили платежи</t>
  </si>
  <si>
    <t>Информация об управлении:</t>
  </si>
  <si>
    <t>Введите данные об управлении в каждую ячейку голубого цвета.</t>
  </si>
  <si>
    <t>M1: Статус Предварительных условий (ПУ) и Действий с установленным сроком исполнения (ДУС)</t>
  </si>
  <si>
    <t>Выполненные</t>
  </si>
  <si>
    <t>Невыполненные, но непросроченные</t>
  </si>
  <si>
    <t>Невыполненные и просроченные</t>
  </si>
  <si>
    <t>Всего</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</si>
  <si>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</si>
  <si>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</si>
  <si>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</si>
  <si>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</si>
  <si>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M2: Статус ключевых руководящих должностей в структуре ОР</t>
  </si>
  <si>
    <t>Отдел управления проектом</t>
  </si>
  <si>
    <t>Запланировано</t>
  </si>
  <si>
    <t>Заполнено</t>
  </si>
  <si>
    <t>Вакантно</t>
  </si>
  <si>
    <t>ВИЧ/СПИД</t>
  </si>
  <si>
    <t>ТБ</t>
  </si>
  <si>
    <t>Общее (оба компонента)</t>
  </si>
  <si>
    <t xml:space="preserve">M3: Контрактные соглашения (СР) </t>
  </si>
  <si>
    <t>Определеные</t>
  </si>
  <si>
    <t>Прошедшие оценку</t>
  </si>
  <si>
    <t>Одобренные</t>
  </si>
  <si>
    <t>Подписавшие соглашение</t>
  </si>
  <si>
    <t>Получающие финансирование</t>
  </si>
  <si>
    <t>СР ВИЧ/СПИД</t>
  </si>
  <si>
    <t>СР ТБ</t>
  </si>
  <si>
    <t>M4: Количество полных отчетов, полученных к установленному сроку</t>
  </si>
  <si>
    <t>Ожидаемое кол-во</t>
  </si>
  <si>
    <t>Полученное кол-во</t>
  </si>
  <si>
    <t>Незавершенные</t>
  </si>
  <si>
    <t>Отчеты ССР для СР ВИЧ/СПИД</t>
  </si>
  <si>
    <t>Отчеты СР для ОР ВИЧ СПИД</t>
  </si>
  <si>
    <t>Отчеты ССР для СР ТБ</t>
  </si>
  <si>
    <t>Отчеты СР для ОР ТБ</t>
  </si>
  <si>
    <t>M5: Бюджет и закупки товаров медицинского назначения, медицинского оборудования,  лекарственных средств и фармацевтических препаратов</t>
  </si>
  <si>
    <t>Утвержденный бюджет*</t>
  </si>
  <si>
    <t>Финансовые обязательства</t>
  </si>
  <si>
    <t>Расходы</t>
  </si>
  <si>
    <t>Совокупный утвердженный бюджет*</t>
  </si>
  <si>
    <t>Общий объем финансовых обязательств</t>
  </si>
  <si>
    <t>Общий объем расходов</t>
  </si>
  <si>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</si>
  <si>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M6: Разница между текущим и резервным запасами</t>
  </si>
  <si>
    <t>Компонент</t>
  </si>
  <si>
    <t>Продукция</t>
  </si>
  <si>
    <t>(1)
Кол-во таблеток на 1 пациента в день
(см. Национальный протокол по лечению)</t>
  </si>
  <si>
    <t>(2 = 1 x 30)
Месячный курс лечения 
(кол-во таблеток на 1 пациента на 30 дней)</t>
  </si>
  <si>
    <t>(3)
Общее кол-во пациентов, получающих лечение</t>
  </si>
  <si>
    <t>(4 = 2 x 3)
Общее кол-во таблеток, необходимое для всех пациентов на 1месяц</t>
  </si>
  <si>
    <t>(5)
Текущие запасы на центральном складе (с действительным сроком годности на ближайшие 3 месяца)</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</si>
  <si>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</si>
  <si>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</si>
  <si>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</si>
  <si>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РЦ СПИД\НЦФ</t>
  </si>
  <si>
    <t>ВИЧ / СПИД</t>
  </si>
  <si>
    <t>3TC 150 mg</t>
  </si>
  <si>
    <t>ABC 300 mg</t>
  </si>
  <si>
    <t>FDC (AZT+3TC) 300/150 mg</t>
  </si>
  <si>
    <t>EFV 200</t>
  </si>
  <si>
    <t>EFV 600</t>
  </si>
  <si>
    <t>LPV/r 200/50 mg</t>
  </si>
  <si>
    <t>NVP 200</t>
  </si>
  <si>
    <t>TDF 300 mg</t>
  </si>
  <si>
    <t>FDC (TDF/FTC) 300/200 mg</t>
  </si>
  <si>
    <t>FDC  (TDF/FTC/EFV) 300/200/600 mg</t>
  </si>
  <si>
    <t>FDC (ABC/3TC) 600/300 mg</t>
  </si>
  <si>
    <t>FDC (ABC/3TC) 60/30 mg</t>
  </si>
  <si>
    <t>NVP 50</t>
  </si>
  <si>
    <t>LPV/r_сироп_80</t>
  </si>
  <si>
    <t>LPV/r 40/10 mg</t>
  </si>
  <si>
    <t>FDC (AZT+3TC) 60/30</t>
  </si>
  <si>
    <t>DTG 50 mg</t>
  </si>
  <si>
    <t>DRV 600mg</t>
  </si>
  <si>
    <t>FDC (TDF/FTC/DTG) 300/200/50 mg</t>
  </si>
  <si>
    <t>ATV/r 300mg</t>
  </si>
  <si>
    <t>Capreomycin  1000mg  Порошок для инъекций</t>
  </si>
  <si>
    <t>Kanamycin  1000mg  Порошок для инъекций</t>
  </si>
  <si>
    <t>Amikacin 500 mg/2 ml инъекции</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</si>
  <si>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</si>
  <si>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</si>
  <si>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</si>
  <si>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</si>
  <si>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</si>
  <si>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</si>
  <si>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</si>
  <si>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</si>
  <si>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Rifampicin  150mg  Таблетки в оболочке</t>
  </si>
  <si>
    <t>Pyrazinamide  400mg  Таблетки без оболочки</t>
  </si>
  <si>
    <t>Клофаземин 100 мг</t>
  </si>
  <si>
    <t>Имипенем500/Циластатин 500</t>
  </si>
  <si>
    <t>Линезолид 600 мг</t>
  </si>
  <si>
    <t>Бедаквилин 100 мг</t>
  </si>
  <si>
    <t>Деламанид 50 мг</t>
  </si>
  <si>
    <t>Информация о программе: ВИЧ/СПИД</t>
  </si>
  <si>
    <t xml:space="preserve">     Введите данные о реализации программы в каждую ячейку желтого цвета.</t>
  </si>
  <si>
    <t>Код</t>
  </si>
  <si>
    <t>Связаны напрямую?</t>
  </si>
  <si>
    <t>Топ 10</t>
  </si>
  <si>
    <t>с текущим грантом</t>
  </si>
  <si>
    <t>Целевой показатель</t>
  </si>
  <si>
    <t>Достигнуто </t>
  </si>
  <si>
    <t>Процент ЛЖВ, получающих АРТ и достигших неопределяемую вирусную нагрузку (т.е. ≤1000 копий)</t>
  </si>
  <si>
    <t>Ч:150
З:250
%:60</t>
  </si>
  <si>
    <t>Ч:160
З:255
%:62,7</t>
  </si>
  <si>
    <t>Ч:169
З:260
%:65</t>
  </si>
  <si>
    <t>Ч:77
З:140
%:55</t>
  </si>
  <si>
    <t>Ч:56
З:99
%:56,6</t>
  </si>
  <si>
    <t>Ч:58
З:107
%:54,2</t>
  </si>
  <si>
    <t>Ч: 2800
З: 8300
%: 33.7</t>
  </si>
  <si>
    <t>Ч: 2975
З: 8300
%: 35,8</t>
  </si>
  <si>
    <t>Ч: 2865
З: 8690
%: 32.9</t>
  </si>
  <si>
    <t>Ч: 2404
З: 7592
%: 31,7</t>
  </si>
  <si>
    <t>Ч: 2892
З: 7079
%: 40,9</t>
  </si>
  <si>
    <t>Ч:4970
З: 7103
%: 69.9</t>
  </si>
  <si>
    <t>Ч:5148
З: 7103
%: 72,4</t>
  </si>
  <si>
    <t>Ч:5325
З: 7103
%: 74,9</t>
  </si>
  <si>
    <t>Ч:4359
З: 7103
%: 61.4</t>
  </si>
  <si>
    <t>Ч:3604
З: 7103
%: 50,7</t>
  </si>
  <si>
    <t>Ч:3782
З: 7103
%: 53,2</t>
  </si>
  <si>
    <t xml:space="preserve"> Топ 10</t>
  </si>
  <si>
    <t>Ч: 6700
З: 11692
%: 57.3</t>
  </si>
  <si>
    <t>Ч: 7980
З: 11692
%: 68,2</t>
  </si>
  <si>
    <t>Ч: 9260
З: 11692
%: 79</t>
  </si>
  <si>
    <t>Ч: 8503
З: 11692
%:72.7</t>
  </si>
  <si>
    <t>Ч: 9606
З: 11692
%:82,1</t>
  </si>
  <si>
    <t>Ч: 9565
З: 11692
%:81,8</t>
  </si>
  <si>
    <t>Ч: 7313
З: 25000
%: 29.2</t>
  </si>
  <si>
    <t>Ч: 7875
З: 25000
%: 31,5</t>
  </si>
  <si>
    <t>Ч: 8576
З: 25000
%: 34.3</t>
  </si>
  <si>
    <t>Ч: 8464
З: 25000
%: 33,9</t>
  </si>
  <si>
    <t>Ч: 8171
З: 25000
%: 32,7</t>
  </si>
  <si>
    <t>Ч:2237
З: 7103
%: 31.5</t>
  </si>
  <si>
    <t>Ч:2395
З: 7103
%: 33.7</t>
  </si>
  <si>
    <t>Ч:2395
З: 7103
%: 33,7</t>
  </si>
  <si>
    <t>Ч:2218
З: 7103
%: 31.2</t>
  </si>
  <si>
    <t>Ч:1969
З: 7103
%: 27,7</t>
  </si>
  <si>
    <t>Ч:1433
З: 7103
%: 20,2</t>
  </si>
  <si>
    <t>Процент ЛЖВ (включая ППМР), у которых ТБ статус оценивался в отчетном периоде, из числа доступных</t>
  </si>
  <si>
    <t>Ч: 2793
З: 11692
%: 23.8</t>
  </si>
  <si>
    <t>Ч: 4165
З: 11692
%: 35,6</t>
  </si>
  <si>
    <t>Ч: 3419
З: 11692
%: 29.2</t>
  </si>
  <si>
    <t>Ч: 4420
З: 11692
%: 37,8</t>
  </si>
  <si>
    <t>Ч: 3972
З: 11692
%: 33,9</t>
  </si>
  <si>
    <t xml:space="preserve"> с текущим грантом</t>
  </si>
  <si>
    <t>Таблица обновляется автоматически. Данные в эти ячейки не вводятся</t>
  </si>
  <si>
    <t>Информация о программе: ТБ</t>
  </si>
  <si>
    <t>Р1</t>
  </si>
  <si>
    <t>Р2</t>
  </si>
  <si>
    <t xml:space="preserve">MDR TB-2: Количество бактериологически подтвержденных зарегистрированных ЛУ-ТБ случаев (РУ-ТБ и/или МЛУ-ТБ)		</t>
  </si>
  <si>
    <t>да</t>
  </si>
  <si>
    <t>Достигнуто</t>
  </si>
  <si>
    <t xml:space="preserve">MDR TB-3: Количество случаев с РУ/МЛУ ТБ, начавших лечение препаратами второго ряда		</t>
  </si>
  <si>
    <t xml:space="preserve">MDR TB-8: Количество случаев ШЛУ ТБ, взятых на лечение		</t>
  </si>
  <si>
    <t xml:space="preserve">Процент и количество пациентов с симптомами или подозрениями на ТБ, обследованных методом Xpert MTB/RIF и подтвержденным активным ТБ  </t>
  </si>
  <si>
    <t>Грант №:</t>
  </si>
  <si>
    <t>Дата начала:</t>
  </si>
  <si>
    <t>Общ. финансирование:</t>
  </si>
  <si>
    <t>Отчетный период:</t>
  </si>
  <si>
    <t>дo:</t>
  </si>
  <si>
    <t>Последняя оценка</t>
  </si>
  <si>
    <t>Портфолио Менеджер  Фонда:</t>
  </si>
  <si>
    <t>Кем подготовлен:</t>
  </si>
  <si>
    <t>Дата подготовки отчета:</t>
  </si>
  <si>
    <t>Финансовые показатели</t>
  </si>
  <si>
    <t>Комментарии:</t>
  </si>
  <si>
    <t>ГФ в сентябре и октябре 2019 г. произвел выплату двумя траншами на общую сумму 2 778 709$. При этом транш в октябре включает 50 000, которые были оплачены ГФ напрямую в КЗС (GLC). Также в августе 2019 на счет действующего проекта был переведен остаток неиспользованных средств с прошлого гранта после одобрения ГФ в размере 2 415 600$.</t>
  </si>
  <si>
    <t xml:space="preserve">В отчетном периоде ГФ произвел выплату согласно утвержденного годового графика выплат.
Расходы ОП составили 7 919 246$, включая сумму финансовых обязательств, в основном, по закупкам товаров медицинского назначения и медицинского оборудования, лекарственных средств и фармацевтических препаратов  на 31 декабря 2019 в  4 404 652$. Итого за весь период гранта было освоено 93% выделенных средств на ОП. В текущем периоде ПРООН произвел выплаты 33 СП  в срок на общую сумму в 988 697$ по запросу от СП в рамках 39 подписанных Соглашений и бюджетов. </t>
  </si>
  <si>
    <t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t>
  </si>
  <si>
    <t>В отчетном периоде ОП подготовил и направил ИОР/ЗПС в ГФ и офис МАФ в установленные сроки с задержкой финансового отчета на 4 дня в виду загруженности финансового отдела из-за нехватки кадров.</t>
  </si>
  <si>
    <t>Совокупный бюджет</t>
  </si>
  <si>
    <t>Совокупные расходы</t>
  </si>
  <si>
    <t>Показатели по управлению</t>
  </si>
  <si>
    <t xml:space="preserve">По обоим компонентам предварительных условий (ПУ) нет согласно письму от ГФ по результатам работы за 1-е полугодие 2018 года.  </t>
  </si>
  <si>
    <t xml:space="preserve">По ВИЧ\ТБ  гранту всего 22  штатных позиции, из них 4 - по компоненту ВИЧ,  2 - по компоненту ТБ.,  оставшиеся  16   относятся к обоим компонентам, из них было заполнено 13, таким образом,  19 штатных позиций было заполнено, 3 вакантно (2 финансовых специалиста, 1 позиция менеджера по закупкам) </t>
  </si>
  <si>
    <t>По компоненту ВИЧ -  реализацию программы осуществляли всего 22 Суб-получателя в рамках 28 СП-Соглашений, по всем Соглашениям СП получали финансирование. 
По компоненту ТБ: По грантовому соглашению в рамках ТБ компонента планировалось три СП: НЦФ, под управлением которого должны были  работать все ОЦБТ и ГСИН, 1 НПО по предоставлению лечения на дому и 1 Национальная Сеть по ТБ. По запросу НЦФ,  было принято решение заключить прямые соглашения со всеми областными центрами по борьбе с туберкулезом, таким образом вместо 1 СР фактически вовлечены 9 центров по борьбе с ТБ.В отчетном периоде  в реализацию гранта были вовлечены 2 неправительственные организации.  По всем 11 Соглашениям СП получали финансирование.</t>
  </si>
  <si>
    <t>Комментарии по ВИЧ:</t>
  </si>
  <si>
    <t>По компоненту ВИЧ -  28 из 28 ожидаемых программных отчетов СП были получены своевременно,  они  были проверены, доработаны СП и приняты в установленные сроки.
По компоненту   ТБ: Все 11 СП представили программные отчеты согласно установленным срокам,были проверены, доработаны СП и приняты в установленные сроки. </t>
  </si>
  <si>
    <t>Медикаменты и ИМН закуплены согласно потребности на 2019 год. В расчетах потребности учтены текущий запас, ожидаемые поставки и наличие бюджета</t>
  </si>
  <si>
    <t>Комментарии по ТБ:</t>
  </si>
  <si>
    <t>Лекарственные средства и продукты медицинского назначения</t>
  </si>
  <si>
    <t>Уровень запасов, выраженный в месяцах лечения для всех имеющихся пациентов</t>
  </si>
  <si>
    <t xml:space="preserve">Уровень резервных запасов в месяцах </t>
  </si>
  <si>
    <t>Разница между имеющимся и безопасным уровнем запасов</t>
  </si>
  <si>
    <t>ATV 300mg</t>
  </si>
  <si>
    <t>Метадон</t>
  </si>
  <si>
    <t>Картриджи (CD 4)</t>
  </si>
  <si>
    <t>Картриджи (Вирусная нагрузка)</t>
  </si>
  <si>
    <t>Экспресс тестирование (по околодесновой жидкости)</t>
  </si>
  <si>
    <t>Genexpert картриджи</t>
  </si>
  <si>
    <t>Raiting</t>
  </si>
  <si>
    <t>Valor</t>
  </si>
  <si>
    <t>Программные показатели по ВИЧ/СПИД</t>
  </si>
  <si>
    <t>Процент ЛУИН, охваченных программами по  профилактике ВИЧ</t>
  </si>
  <si>
    <t>Комментрии:</t>
  </si>
  <si>
    <t xml:space="preserve">В отчетный период услуги получили  16 195 ЛУИН, из них 1 227 в ГСИН. Из общего числа охваченных клиентов – 2 067 женщины. В начале 2019 г. вступил в силу Закон о пробации, в силу которого 158 клиентов ПОШ  были освобождены из мест лишения свободы за отчетный период. Всего за отчетный период было роздано 2 178 709 шприцев и 335 385 презервативов, что в среднем соcтавляет 135 шприцев и 21 презерватив на одного клиента. </t>
  </si>
  <si>
    <t>В соответствии с официальными данными, представленными Центром СПИД Республики на 31 декабря 2019 г., 4 058 ЛЖВ получают АРВ лечение. В это число входят 3 632 взрослых (из них: мужчин - 1949, женщин – 1683) и 426 детей (из них: дев. -171, мал. -255).</t>
  </si>
  <si>
    <t xml:space="preserve">Данный показатель является годовым. На 31 декабря 2019 года процент взрослых и детей, получавших антиретровирусную терапию в отчетный период, у которых отмечено подавление вирусной нагрузки (т.е. ≤1000 копий) составляет 79,7 % (3235/4058).      </t>
  </si>
  <si>
    <t>Показатели</t>
  </si>
  <si>
    <t>0% - 59%</t>
  </si>
  <si>
    <t>60% - 89%</t>
  </si>
  <si>
    <t>&gt; 90%</t>
  </si>
  <si>
    <t>Замечания</t>
  </si>
  <si>
    <t>min</t>
  </si>
  <si>
    <t>Ч: 17500
З: 25 000
%: 70</t>
  </si>
  <si>
    <t>Ч: 16195
З: 25 000
%: 64,8</t>
  </si>
  <si>
    <t xml:space="preserve">В отчетный период услуги получили  16 195 ЛУИН, из них 1 227 в ГСИН. Из общего числа охваченных клиентов – 2 067 женщины. В начале 2019 г. вступил в силу Закон о пробации, в силу которого 158 клиентов ПОШ  были освобождены из мест лишения свободы за отчетный период. Всего за отчетный период было роздано 2 178 709 шприцев и 335 385 презервативов, что в среднем сотавляет 135 шприцев и 21 презерватив на одного клиента. </t>
  </si>
  <si>
    <t>max</t>
  </si>
  <si>
    <t>Ч: 5873
З: 9276
%: 63,3</t>
  </si>
  <si>
    <t>Ч: 4058
З: 8500
%: 47,7</t>
  </si>
  <si>
    <t>Rating</t>
  </si>
  <si>
    <t>Ч: 3935
З: 5873
%: 67</t>
  </si>
  <si>
    <t>Ч: 3235
З: 4058
%: 79,7</t>
  </si>
  <si>
    <t>Данный показатель является годовым. На 31 декабря 2019 года процент взрослых и детей, получавших антиретровирусную терапию в отчетный период, у которых отмечено подавление вирусной нагрузки (т.е. ≤1000 копий) составляет 79,7 % (3235/4058). Данные предварительные, окончательные будут представлены после принятия годовых отчетов за 2019 год, представленных областными центрами профилактики и борьбы с ВИЧ/СПИДом.</t>
  </si>
  <si>
    <t xml:space="preserve">За предыдущий отчетный период (январь-июнь 2019) 107 ЛУИН вошли в программу и из них 58 находились на лечении не менее 6 месяцев после начала лечения, что составило 54,2%. 
Из тех, кто не смог удержаться в течение 6 месяцев: умер -3; перешел на другой сайт и не дошел- 3;  добровольное досрочное завершение – 42, выехал из страны - 1.
Согласно данным, полученным из ЭРЗПТ, в отчетном периоде получали ОЗТ- 1 123 ЛУИН, а по состоянию на 31 декабря 2019 г. - 980 ЛУИН фактически получали ОЗТ (сайты РЦН, ГСИН и CDC). Одним из значительных достижений программы ОЗТ в текущем отчетном периоде является то, что 26% стабильных клиентов ОЗТ (256 клиент из 980 по состоянию на 31 декабря 2019 года) получали метадон на руки на  3-5 дней.
</t>
  </si>
  <si>
    <t>За отчетный период 2 892 заключенных (из них женщин- 172), прошли тестирование на ВИЧ и знают свои результаты из общего количества 7 079 заключенных, что составило 40,9%. За 2019 год были протестированы и знают свои результаты 4 657 заключенных.</t>
  </si>
  <si>
    <t xml:space="preserve">Пять НПО  в г.  Бишкек, Ош, Джалал-Абад,  Кызыл-Кия, Чолпон-Ата, Каракол, Талас, Балыкчы и в Джалал-Абадской, Ошской, Чуйской, Иссык-Кульской, Нарынской и Таласской областях реализуют программы профилактики ВИЧ среди данной группы. В этот период 3 782 СР получили минимальный пакет услуг: предоставление презервативов, тематических информационных материалов виде брошюр или бесед/консультирования, и направление на тестирование ВИЧ и/или ИППП и/или прошли экспресс-тестирование на ВИЧ.  Из них 19 СР идентифицировали себя как ТГ.   525 526 презерватива было роздано СР, таким образом каждый клиент получил 139 презервативов в отчетном периоде.
Милицейские рейды по-прежнему являются основным препятствием для деятельности профилактических программ г. Бишкек и Ош, где работают две большие организации с большим охватом.  Несмотря на проводимые обучающие и адвокационные мероприятия, ситуация не улучшается. Сотрудники милиции являются основными виновниками насилия и нарушений прав человека, продолжается дискриминационное применение административных статей (например, о «мелком хулиганстве») к секс-работникам, что представляет собой фактическую криминализацию секс-работы. В результате, доступ к СР ограничен в этих двух больших городах.
</t>
  </si>
  <si>
    <t>Три НПО осуществляли программы профилактики ВИЧ среди МСМ в г. Бишкек, Ош, Джалал-Абад, Талас и в Чуйской, Ошской и Иссык-Кульской областях. 9 565 МСМ были охвачены минимальным пакетом услуг. 368 418 презервативов было распространено, таким образом каждый клиент получил 39 презервативов за отчетный период.</t>
  </si>
  <si>
    <t xml:space="preserve">За отчетный период 8171 ЛУИН, включая ЛУИН заключенных и ОЗТ клиентов прошли тестирование на ВИЧ и знают свои результаты. Из них 96,4% (7879/8171) прошли экспресс тестирование. За 2019 год прошли тестирование и знают свои результаты 14 728 клиентов. 
</t>
  </si>
  <si>
    <t xml:space="preserve">За отчетный период 1433 СР прошли тестирование на ВИЧ и знают свои результаты. Все прошли экспресс тестирование. Экспресс тестирование проводится на "точках". Милицейские рейды по-прежнему являются основным препятствием для деятельности профилактических программ г. Бишкек и Ош, где работают две большие организации с большим охватом. Из-за этого сотрудники организаций в некоторых случаях предоставляли только МПУ и не успевали проводить ЭТ. За 2019 год прошли тестирование и знают свои результаты 3275 СР. 
</t>
  </si>
  <si>
    <t xml:space="preserve">За отчетный период 3972 МСМ прошли тестирование на ВИЧ и знают свои результаты. Все клиенты (100 %) прошли экспресс тестирование на базе НПО. За 2019 год прошли тестирование и знают свои результаты 7884 МСМ. </t>
  </si>
  <si>
    <t>Из 4031 ЛЖВ (3612 взрослых и 419 детей), вовлеченных в уход по ВИЧ , ТБ статус был оценен у 3888 ЛЖВ (3472 взрослых и 416 детей)  во время отчетного периода, согласно национальному протоколу по ВИЧ. Данные предоставлены РЦ СПИД.</t>
  </si>
  <si>
    <t xml:space="preserve">Из 58 ВИЧ-инфицированных больных ТБ, 55 пациентов получали комбинированную антиретровирусную терапию в соответствии с национально утвержденными протоколами лечения, и которые начали получать лечение ТБ (в соответствии с руководящими принципами национальной программы по ТБ) в течение отчетного периода. </t>
  </si>
  <si>
    <t>Данный показатель является годовым. Cогласно данным РЦ СПИД в 2019 году общее число беременных женщин с ВИЧ, родивших -127. Из них 121 женщин получили АРТ в целях профилактики вертикальной передачи ВИЧ. Данные предварительные, окончательные будут представлены после принятия годовых отчетов за 2019 год, представленных областными центрами профилактики и борьбы с ВИЧ/СПИДом.</t>
  </si>
  <si>
    <t>Программные показатели по ТБ</t>
  </si>
  <si>
    <t xml:space="preserve">В течение последних лет наблюдается устойчивое снижение числа зарегистрированных случаев ТБ. При этом следует отметить, что несоблюдение диагностического алгоритма и отсутсвие мероприятий по активному выявлению случаев на ПМСП, приводит не только к снижению числа зарегистрированных случаев, но и к снижению числа обследованных на ТБ  </t>
  </si>
  <si>
    <t xml:space="preserve">В течение отчетного периода выявление и регистрация РУ/МЛУ ТБ проводилась на рутинной основе, дополнительные мероприятия по активному выявлению случаев не проводились. </t>
  </si>
  <si>
    <t xml:space="preserve">Охват лечением среди РУ/МЛУ больных составил 95%, что является хорошим показателем. Некоторые пациенты с РУ/МЛУ/ШЛУ, имевшие неудачные эпизоды лечения в прошлом, отказываются от лечения. С ними проводится мотивационная работа со стороны врачей и кейс-менеджеров, которые с июля 2019 года финансируются за счет средств ПРООН.  </t>
  </si>
  <si>
    <t>Замечания и комментарии</t>
  </si>
  <si>
    <t>3241</t>
  </si>
  <si>
    <t>731</t>
  </si>
  <si>
    <t>В период 2-3 кв. 2019 г., Национальная Противотуберкулезная Программа зарегистрировала 731 РУ/МЛУ/ШЛУ случаев по сравнению с запланированными  720. Индикатор выполнен на 102%. 23 случая  были выявлены в пенитенциарной системе и 708 - в гражданском секторе.</t>
  </si>
  <si>
    <t>66</t>
  </si>
  <si>
    <t>48</t>
  </si>
  <si>
    <t xml:space="preserve">Доступность новых препаратов и индивидуальных режимов вносит вклад в улучшение охвата ШЛУ пациентов лечением ТБ. Общее число зарегистрированных случаев ШЛУ ТБ в отчетный период – 53, 48 из них начали лечение в отчетный период. Индикатор выполнен на 91%. Как отмечалось выше, некоторые из пациентов отказываются от лечения, кроме того, отдельные больные, имеющие несколько эпизодов лечения, в т.ч. с новыми и перепрофилированными ТБ препаратами, перенаправляются на паллиативное лечение.  </t>
  </si>
  <si>
    <t>92%</t>
  </si>
  <si>
    <t>95%</t>
  </si>
  <si>
    <t>Тестирование на ВИЧ доступно по всей стране. В течение отчетного периода 95% зарегистрированных пациентов были протестированы на ВИЧ (3065 из 3241 новых случаев и рецидивов). 5.4% среди всех зарегистрированных ТБ случаев не имеют задокументированного ВИЧ статуса. Согласно НТП, основной причиной является некорректное заполнение учетно-отчетной документации (на местах не уточняется результат тестирования и данные не вносятся в ТБ регистр).   Согласно клиническому руководству, все ТБ пациенты должны быть протестированы на ВИЧ.</t>
  </si>
  <si>
    <t>Рекомендации</t>
  </si>
  <si>
    <t>Осваиваются ли все средства и расходуются ли они согласно бюджету?</t>
  </si>
  <si>
    <t>Заключительные комментарии</t>
  </si>
  <si>
    <t>F1</t>
  </si>
  <si>
    <t>F2</t>
  </si>
  <si>
    <t>F3</t>
  </si>
  <si>
    <t>F4</t>
  </si>
  <si>
    <t>Осуществляются ли закупки и набор персонала согласно графику?</t>
  </si>
  <si>
    <t>M1</t>
  </si>
  <si>
    <t>M2</t>
  </si>
  <si>
    <t>M3</t>
  </si>
  <si>
    <t>M4</t>
  </si>
  <si>
    <t>M5</t>
  </si>
  <si>
    <t>M6</t>
  </si>
  <si>
    <t>Достигаются ли технические целевые показатели?</t>
  </si>
  <si>
    <t>Программа</t>
  </si>
  <si>
    <t>P1 - тенденция</t>
  </si>
  <si>
    <t>P2 - тенденция</t>
  </si>
  <si>
    <t>P3 - тенденция</t>
  </si>
  <si>
    <t>Решения и действия</t>
  </si>
  <si>
    <t>Какой общий статус реализации этого гранта?</t>
  </si>
  <si>
    <t>Основные рекомендации Комитета по надзору</t>
  </si>
  <si>
    <t>Решение СКК</t>
  </si>
  <si>
    <t>Срок</t>
  </si>
  <si>
    <t>Ответственное лицо</t>
  </si>
  <si>
    <t>Запланированные действия/Предыдущий период</t>
  </si>
  <si>
    <t>Каково общее состояние действий, осуществленных за предыдущий период?</t>
  </si>
  <si>
    <t>Предпринятые действия</t>
  </si>
  <si>
    <t>Дата</t>
  </si>
  <si>
    <t>Предыдущий отчетный период</t>
  </si>
  <si>
    <t>Set-up = List of validation for Grant Detail page</t>
  </si>
  <si>
    <t>Component</t>
  </si>
  <si>
    <t>Currency</t>
  </si>
  <si>
    <t>Round</t>
  </si>
  <si>
    <t>Phase</t>
  </si>
  <si>
    <t>Period</t>
  </si>
  <si>
    <t>LFA</t>
  </si>
  <si>
    <t>Medicaments</t>
  </si>
  <si>
    <t>Countries</t>
  </si>
  <si>
    <t>Пожалуйста выберите</t>
  </si>
  <si>
    <t>Раунд 1</t>
  </si>
  <si>
    <t>Фаза 1</t>
  </si>
  <si>
    <t>A1</t>
  </si>
  <si>
    <t>CA (Crown Agents)</t>
  </si>
  <si>
    <t>Изониазид</t>
  </si>
  <si>
    <t>Афганистан</t>
  </si>
  <si>
    <t>МАЛЯРИЯ</t>
  </si>
  <si>
    <t>€</t>
  </si>
  <si>
    <t>Раунд 2</t>
  </si>
  <si>
    <t>Фаза 2</t>
  </si>
  <si>
    <t>DEL (Deloitte)</t>
  </si>
  <si>
    <t>Этамбутол</t>
  </si>
  <si>
    <t>Албания</t>
  </si>
  <si>
    <t>Раунд 3</t>
  </si>
  <si>
    <t>RCC</t>
  </si>
  <si>
    <t>B1</t>
  </si>
  <si>
    <t>DTT (DTT Emerging Markets)</t>
  </si>
  <si>
    <t>Рифампицин</t>
  </si>
  <si>
    <t>Алжир</t>
  </si>
  <si>
    <t>Раунд 4</t>
  </si>
  <si>
    <t>B2</t>
  </si>
  <si>
    <t>FIN (Finconsult)</t>
  </si>
  <si>
    <t>Пиразинамид</t>
  </si>
  <si>
    <t>Ангола</t>
  </si>
  <si>
    <t>УСЗ</t>
  </si>
  <si>
    <t>Раунд 5</t>
  </si>
  <si>
    <t>C</t>
  </si>
  <si>
    <t>GT (Grant Thornton)</t>
  </si>
  <si>
    <t>RDT</t>
  </si>
  <si>
    <t>Аргентина</t>
  </si>
  <si>
    <t>Раунд 6</t>
  </si>
  <si>
    <t>H-C (Hodar-Conseil)</t>
  </si>
  <si>
    <t>NVP</t>
  </si>
  <si>
    <t>Армения</t>
  </si>
  <si>
    <t>Раунд 7</t>
  </si>
  <si>
    <t>KPMG (KPMG)</t>
  </si>
  <si>
    <t>3TC</t>
  </si>
  <si>
    <t>Азербайджан</t>
  </si>
  <si>
    <t>Раунд 8</t>
  </si>
  <si>
    <t>MSCI (MSCI)</t>
  </si>
  <si>
    <t>D4T</t>
  </si>
  <si>
    <t>Бангладеш</t>
  </si>
  <si>
    <t>Раунд 9</t>
  </si>
  <si>
    <t>PwC (PricewaterhouseCoopers)</t>
  </si>
  <si>
    <t>AZT</t>
  </si>
  <si>
    <t>Беларусь</t>
  </si>
  <si>
    <t>Раунд 10</t>
  </si>
  <si>
    <t xml:space="preserve">STI (Swiss Tropical Institute), </t>
  </si>
  <si>
    <t>DDI</t>
  </si>
  <si>
    <t>Белиз</t>
  </si>
  <si>
    <t>EFV</t>
  </si>
  <si>
    <t>Бенин</t>
  </si>
  <si>
    <t>AS/LF</t>
  </si>
  <si>
    <t>Бутан</t>
  </si>
  <si>
    <t>AS/AQ</t>
  </si>
  <si>
    <t>Боливия</t>
  </si>
  <si>
    <t>AS/MQ</t>
  </si>
  <si>
    <t>Босния и Герцеговина</t>
  </si>
  <si>
    <t>Al/Lum</t>
  </si>
  <si>
    <t>Ботсвана</t>
  </si>
  <si>
    <t>Бразилия</t>
  </si>
  <si>
    <t>Пищевые добавки для ТБ</t>
  </si>
  <si>
    <t>Болгария</t>
  </si>
  <si>
    <t>E-PAP</t>
  </si>
  <si>
    <t>Буркина Фасо</t>
  </si>
  <si>
    <t>ZDV/3TC/NVP</t>
  </si>
  <si>
    <t>Бурунди</t>
  </si>
  <si>
    <t>ZDV/3TC</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</si>
  <si>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</si>
  <si>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</si>
  <si>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</si>
  <si>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</si>
  <si>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</si>
  <si>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</si>
  <si>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</si>
  <si>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</si>
  <si>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</si>
  <si>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</si>
  <si>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</si>
  <si>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</si>
  <si>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</si>
  <si>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</si>
  <si>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</si>
  <si>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</si>
  <si>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</si>
  <si>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</si>
  <si>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</si>
  <si>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</si>
  <si>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</si>
  <si>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</si>
  <si>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</si>
  <si>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</si>
  <si>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</si>
  <si>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</si>
  <si>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</si>
  <si>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</si>
  <si>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</si>
  <si>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Глобальный (LWF)</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</si>
  <si>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</si>
  <si>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</si>
  <si>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</si>
  <si>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</si>
  <si>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</si>
  <si>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</si>
  <si>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</si>
  <si>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</si>
  <si>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</si>
  <si>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</si>
  <si>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</si>
  <si>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</si>
  <si>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</si>
  <si>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</si>
  <si>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</si>
  <si>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</si>
  <si>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</si>
  <si>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</si>
  <si>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</si>
  <si>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</si>
  <si>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</si>
  <si>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</si>
  <si>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</si>
  <si>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</si>
  <si>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</si>
  <si>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</si>
  <si>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</si>
  <si>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</si>
  <si>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</si>
  <si>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</si>
  <si>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</si>
  <si>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</si>
  <si>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</si>
  <si>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</si>
  <si>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</si>
  <si>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</si>
  <si>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</si>
  <si>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</si>
  <si>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</si>
  <si>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</si>
  <si>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</si>
  <si>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</si>
  <si>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</si>
  <si>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</si>
  <si>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</si>
  <si>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</si>
  <si>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</si>
  <si>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</si>
  <si>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</si>
  <si>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</si>
  <si>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</si>
  <si>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</si>
  <si>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</si>
  <si>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</si>
  <si>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</si>
  <si>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</si>
  <si>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</si>
  <si>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</si>
  <si>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</si>
  <si>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</si>
  <si>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</si>
  <si>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</si>
  <si>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</si>
  <si>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</si>
  <si>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</si>
  <si>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</si>
  <si>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</si>
  <si>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</si>
  <si>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</si>
  <si>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</si>
  <si>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</si>
  <si>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</si>
  <si>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</si>
  <si>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</si>
  <si>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</si>
  <si>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</si>
  <si>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</si>
  <si>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</si>
  <si>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</si>
  <si>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</si>
  <si>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</si>
  <si>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</si>
  <si>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</si>
  <si>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АРВ</t>
  </si>
  <si>
    <t>Анти-ретровирусные препараты</t>
  </si>
  <si>
    <t>ВИЧ</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</si>
  <si>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</si>
  <si>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</si>
  <si>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</si>
  <si>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</si>
  <si>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</si>
  <si>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</si>
  <si>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</si>
  <si>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</si>
  <si>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</si>
  <si>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</si>
  <si>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</si>
  <si>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</si>
  <si>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</si>
  <si>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</si>
  <si>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Принципиальный Реципиент</t>
  </si>
  <si>
    <t>ПУ</t>
  </si>
  <si>
    <t>Предварительное условие</t>
  </si>
  <si>
    <t>СКМ</t>
  </si>
  <si>
    <t>Страновой Координационный Механизм</t>
  </si>
  <si>
    <t>СР</t>
  </si>
  <si>
    <t>Суб-реципиент</t>
  </si>
  <si>
    <t>ССР</t>
  </si>
  <si>
    <t>Суб-суб-реципиент</t>
  </si>
  <si>
    <t>УЗС</t>
  </si>
  <si>
    <t>Управление Закупками и Снабжением</t>
  </si>
  <si>
    <t>УФО</t>
  </si>
  <si>
    <t>Улучшенный Финансовый Отчет</t>
  </si>
  <si>
    <t>Улучшение выявления и диагностики ТБ и качественное лечение ТБ случаев</t>
  </si>
  <si>
    <t>Расширение доступа к диагностике и лечению лекарственно-устойчивого туберкулеза</t>
  </si>
  <si>
    <t>Управление проектом</t>
  </si>
  <si>
    <t>To consolidate DOTS framework through strengthening programme management, improving TB case detection and diagnosis and quality treatment of TB cases</t>
  </si>
  <si>
    <t xml:space="preserve"> To expand access to diagnosis and treatment of drug-resistant tuberculosis</t>
  </si>
  <si>
    <t>Program management</t>
  </si>
  <si>
    <t>1 Budget</t>
  </si>
  <si>
    <t>1 Expenditures</t>
  </si>
  <si>
    <t>Budget</t>
  </si>
  <si>
    <t>Expenditures</t>
  </si>
  <si>
    <t>PR</t>
  </si>
  <si>
    <t>SR</t>
  </si>
  <si>
    <t>Общий итог</t>
  </si>
  <si>
    <t>Cummulative/EFR</t>
  </si>
  <si>
    <t>Last/DB</t>
  </si>
  <si>
    <t>PUDR</t>
  </si>
  <si>
    <t>Запас ПТП 2-го ряда составляет от 3 до 53 месяцев, для всех препаратов срок годности соответствует срокам использования препаратов.  Для некоторых препаратов,  (канамицин, протионамид, ПАСК и т.д.),   входящих в группу С, по новой классификации ВОЗ, в связи с переходом на новые режимы лечения, расход меньше, чем планируемый, однако сроки годности приемлемы.   Минимальный запас рифампицина связан с тем, что после завершения использования рифампицина закупленного по линии ПРООН/ГФ, последующие поставки для ПЛУ-ТБ больных будут осуществляться из государственного бюджета.</t>
  </si>
  <si>
    <r>
      <t xml:space="preserve"> Запасы АРВП и тестов отслеживаются, критических ситуаций с запасами не наблюдается. Принимая во внимание изменение клинического протокола на основании последних рекомендации ВОЗ, будут преобладать схемы на основе Долутегравира (в основном на TLD) и схемы с монопрепаратами отдельными постепенно не будут использоваться. У препаратов с запасом  свыше 10 месяцев срок годности приемлемый и будет использован до истечения срока годности. АРВ препараты закупаются за счет бюджетных средств (TLD закуплен, FDC (TDF/FTC) 300/200 mg закуплен и поставлен в январе 2020 г.).</t>
    </r>
    <r>
      <rPr>
        <sz val="8"/>
        <rFont val="Calibri"/>
        <family val="2"/>
        <charset val="204"/>
      </rPr>
      <t xml:space="preserve"> Касательно препаратов и тест систем  с уровнем запаса менее 3х месяцев, плановые поставки прибудут в страну своевременно и  покроют потребность на 2020 год.</t>
    </r>
    <r>
      <rPr>
        <sz val="8"/>
        <color indexed="8"/>
        <rFont val="Calibri"/>
        <family val="2"/>
      </rPr>
      <t xml:space="preserve"> Относительно экспресс тестирования, тест исследования покроют потребности на 2020 с увеличением количества  протестированных среди ключевых групп по сравнению с 2018 годом.</t>
    </r>
  </si>
  <si>
    <r>
      <t>Данные получены от Национальной Противотуберкулезной Программы и включают данные пенитенциарной системы. Общее число зарегистрированных случаев (новых и рецидивов) во 2-3 кв. 2019 года составило 3241, включая 2750  новых случаев (85%) и 491 (15%) рецидивов.   Из них 72 случая зарегистрированы в пенитенциарном секторе, и 3169 - в гражданском секторе. Целевой показатель выполнен на 94%. Количество зарегистрированных ТБ случаев постоянно снижается в последние годы несмотря на усилия, предпринимаемые страной: расширение доступа к методам быстрой диагностики ТБ, сети лабораторий, осуществляющих исследование мокроты методом микроскопии по всей стране, внедрения системы транспортировки патологического материала. Тем не менее, отчет Миссии ВОЗ (2019), говорит о том, что снижение заболеваемости ТБ в КР отражает тенденцию, отмечающуюся в странах с высокой распространённостью ТБ,</t>
    </r>
    <r>
      <rPr>
        <sz val="11"/>
        <rFont val="Calibri"/>
        <family val="2"/>
        <charset val="204"/>
      </rPr>
      <t xml:space="preserve"> не входящих в состав ЕС/ЕЭЗ.</t>
    </r>
  </si>
  <si>
    <t xml:space="preserve">485 из 731 бактериологически подтвержденных РУ/МЛУ ТБ случаев были протестированы на чувствительность к препаратам второго ряда (фторхинолоны и инъекционные препараты), что составило 66%.  Индикатор выполнен на 102%. Согласно рекомендациям ПРООН, НЦФ улучшил качество записей в ТБ-регистре: перекрестная сверка  между лабораторным регистром и записей в картах пациентов проводится на ежеквартальной основе. Тогда как в Таласской, Чуйской и Ошской областях охват ТЛЧ к ПВР является выше целевого, в других областях (Джалал-Абадская, Иссык-Кульская, Нарынская и Баткенская области) не достигают целевого показателя. Основной  причиной, влияющий на выполнение этого индикатора, является нарушение диагностического алгоритма на уровне ПМСП. ПРООН использует всесторонний подход при внедрении системы транспортировки патологического материала: обучение специалистов, мониторинг и координацию) с целью улучшения к качественной и своевременной диагностике ТБ. </t>
  </si>
  <si>
    <r>
      <rPr>
        <sz val="11"/>
        <rFont val="Calibri"/>
        <family val="2"/>
        <charset val="204"/>
      </rPr>
      <t>В течение отчетного периода 698 РУ/МЛУ случаев были взяты на лечение, включая 665 бактериологически подтвержденных и 24 клинически диагностированных. Так</t>
    </r>
    <r>
      <rPr>
        <sz val="11"/>
        <color indexed="8"/>
        <rFont val="Calibri"/>
        <family val="2"/>
      </rPr>
      <t xml:space="preserve">им образом, целевой показатель достигнут на 92%. Это число включает 12 случаев из пенитенциарной системы и 653 случая из гражданского сектора. Охват лечением в отчетном периоде составил 91% (665 из 731 бактериологически подтвержденных случаев).  Согласно НТП, есть две основные причины, влияющие на этот показатель: (1) Часть ранее леченных больных, которые имели неблагоприятные эпизоды лечения в прошлом (потеря для наблюдения, неэффективное лечение), отказываются от лечения. С этой целью 10 кейс-менеджеров в областях и 1 специалист НОКП в г.Бишкек работают с больными и их родными, предоставляя информацию и проводя мотивационные беседы. (2)  Система GX-Alert, внедренная одним из проектов USAID, работала с перебоями в отчетный период, что повлияло на своевременность взятия больных с РУ ТБ на лечение. Не смотря на большое внимание со стороны </t>
    </r>
    <r>
      <rPr>
        <sz val="11"/>
        <rFont val="Calibri"/>
        <family val="2"/>
        <charset val="204"/>
      </rPr>
      <t xml:space="preserve">ПРООН, сверка лабораторного регистра с целью своевременного принятия клинических решений в отношении пациентов с РУ/МЛУ ТБ,  продолжает осуществляться на ежеквартальной основе, а не на ежемесячной.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</si>
</sst>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 _₽_-;\-* #,##0.00\ _₽_-;_-* &quot;-&quot;??\ _₽_-;_-@_-"/>
    <numFmt numFmtId="164" formatCode="_(* #,##0.00_);_(* \(#,##0.00\);_(* &quot;-&quot;??_);_(@_)"/>
    <numFmt numFmtId="165" formatCode="_-* #,##0.00_-;\-* #,##0.00_-;_-* &quot;-&quot;??_-;_-@_-"/>
    <numFmt numFmtId="166" formatCode="_-* #,##0.00_р_._-;\-* #,##0.00_р_._-;_-* &quot;-&quot;??_р_._-;_-@_-"/>
    <numFmt numFmtId="167" formatCode="&quot;Q&quot;#,##0_);[Red]\(&quot;Q&quot;#,##0\)"/>
    <numFmt numFmtId="168" formatCode="_(* #,##0_);_(* \(#,##0\);_(* &quot;-&quot;??_);_(@_)"/>
    <numFmt numFmtId="169" formatCode=";;;"/>
    <numFmt numFmtId="170" formatCode="0.0"/>
    <numFmt numFmtId="171" formatCode=";;;&quot;Financial Variance in %&quot;"/>
    <numFmt numFmtId="172" formatCode="_([$€]* #,##0.00_);_([$€]* \(#,##0.00\);_([$€]* &quot;-&quot;??_);_(@_)"/>
    <numFmt numFmtId="173" formatCode="[$$-409]#,##0"/>
    <numFmt numFmtId="174" formatCode="[$-409]d/mmm/yyyy;@"/>
    <numFmt numFmtId="175" formatCode="[$$-409]#,##0_);\([$$-409]#,##0\)"/>
    <numFmt numFmtId="176" formatCode="0.0%"/>
    <numFmt numFmtId="177" formatCode="#,##0.0"/>
    <numFmt numFmtId="178" formatCode="_-&quot;$&quot;* #,##0_-;\-&quot;$&quot;* #,##0_-;_-&quot;$&quot;* &quot;-&quot;_-;_-@_-"/>
    <numFmt numFmtId="179" formatCode="_ [$€-413]\ * #,##0.00_ ;_ [$€-413]\ * \-#,##0.00_ ;_ [$€-413]\ * &quot;-&quot;_ ;_ @_ "/>
    <numFmt numFmtId="180" formatCode="_-* #,##0.00\ &quot;€&quot;_-;\-* #,##0.00\ &quot;€&quot;_-;_-* &quot;-&quot;??\ &quot;€&quot;_-;_-@_-"/>
    <numFmt numFmtId="181" formatCode="_-[$€-2]\ * #,##0.00_-;\-[$€-2]\ * #,##0.00_-;_-[$€-2]\ * &quot;-&quot;??_-;_-@_-"/>
  </numFmts>
  <fonts count="181">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4"/>
      <color indexed="52"/>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i/>
      <sz val="11"/>
      <color indexed="8"/>
      <name val="Calibri"/>
      <family val="2"/>
    </font>
    <font>
      <b/>
      <sz val="11"/>
      <color indexed="60"/>
      <name val="Calibri"/>
      <family val="2"/>
    </font>
    <font>
      <sz val="10"/>
      <color indexed="60"/>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8"/>
      <name val="Arial"/>
      <family val="2"/>
    </font>
    <font>
      <b/>
      <sz val="8"/>
      <color indexed="81"/>
      <name val="Tahoma"/>
      <family val="2"/>
    </font>
    <font>
      <sz val="8"/>
      <color indexed="81"/>
      <name val="Tahoma"/>
      <family val="2"/>
    </font>
    <font>
      <b/>
      <sz val="20"/>
      <color indexed="8"/>
      <name val="Calibri"/>
      <family val="2"/>
    </font>
    <font>
      <sz val="20"/>
      <color indexed="8"/>
      <name val="Calibri"/>
      <family val="2"/>
    </font>
    <font>
      <b/>
      <sz val="11"/>
      <color indexed="53"/>
      <name val="Arial"/>
      <family val="2"/>
    </font>
    <font>
      <sz val="9"/>
      <color indexed="8"/>
      <name val="Calibri"/>
      <family val="2"/>
    </font>
    <font>
      <sz val="11"/>
      <color indexed="8"/>
      <name val="Symbol"/>
      <family val="1"/>
      <charset val="2"/>
    </font>
    <font>
      <b/>
      <sz val="11"/>
      <color indexed="8"/>
      <name val="Arial"/>
      <family val="2"/>
      <charset val="204"/>
    </font>
    <font>
      <b/>
      <sz val="22"/>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b/>
      <sz val="9"/>
      <color indexed="81"/>
      <name val="Tahoma"/>
      <family val="2"/>
      <charset val="204"/>
    </font>
    <font>
      <sz val="9"/>
      <color indexed="81"/>
      <name val="Tahoma"/>
      <family val="2"/>
      <charset val="204"/>
    </font>
    <font>
      <sz val="11"/>
      <color theme="1"/>
      <name val="Calibri"/>
      <family val="2"/>
    </font>
    <font>
      <sz val="10"/>
      <color indexed="16"/>
      <name val="Calibri"/>
      <family val="2"/>
    </font>
    <font>
      <b/>
      <sz val="8"/>
      <color indexed="8"/>
      <name val="Calibri"/>
      <family val="2"/>
      <charset val="204"/>
    </font>
    <font>
      <sz val="11"/>
      <color indexed="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4"/>
      <color rgb="FFFF0000"/>
      <name val="Calibri"/>
      <family val="2"/>
    </font>
    <font>
      <b/>
      <sz val="11"/>
      <color indexed="8"/>
      <name val="Calibri"/>
      <family val="2"/>
      <charset val="204"/>
    </font>
    <font>
      <sz val="10"/>
      <name val="Arial Cyr"/>
      <charset val="204"/>
    </font>
    <font>
      <sz val="10"/>
      <name val="Arial"/>
      <family val="2"/>
      <charset val="238"/>
    </font>
    <font>
      <sz val="8"/>
      <name val="Arial"/>
      <family val="2"/>
      <charset val="238"/>
    </font>
    <font>
      <sz val="8"/>
      <color indexed="12"/>
      <name val="Arial"/>
      <family val="2"/>
      <charset val="238"/>
    </font>
    <font>
      <b/>
      <i/>
      <sz val="8"/>
      <name val="Arial"/>
      <family val="2"/>
      <charset val="238"/>
    </font>
    <font>
      <u/>
      <sz val="10"/>
      <color indexed="12"/>
      <name val="Arial"/>
      <family val="2"/>
    </font>
    <font>
      <sz val="8"/>
      <name val="Verdana"/>
      <family val="2"/>
      <charset val="238"/>
    </font>
    <font>
      <sz val="11"/>
      <color theme="1"/>
      <name val="Calibri"/>
      <family val="2"/>
      <charset val="238"/>
      <scheme val="minor"/>
    </font>
    <font>
      <b/>
      <sz val="10"/>
      <name val="Arial"/>
      <family val="2"/>
      <charset val="204"/>
    </font>
    <font>
      <u/>
      <sz val="10"/>
      <color indexed="12"/>
      <name val="Arial Cyr"/>
      <charset val="204"/>
    </font>
    <font>
      <sz val="12"/>
      <name val="Times New Roman"/>
      <family val="1"/>
    </font>
    <font>
      <b/>
      <sz val="12"/>
      <name val="Arial"/>
      <family val="2"/>
      <charset val="204"/>
    </font>
    <font>
      <sz val="8"/>
      <color indexed="8"/>
      <name val="Arial"/>
      <family val="2"/>
    </font>
    <font>
      <u/>
      <sz val="7.5"/>
      <color indexed="12"/>
      <name val="Arial Cyr"/>
    </font>
    <font>
      <u/>
      <sz val="7.5"/>
      <color indexed="36"/>
      <name val="Arial Cyr"/>
    </font>
    <font>
      <sz val="11"/>
      <color indexed="9"/>
      <name val="Calibri"/>
      <family val="2"/>
      <charset val="204"/>
    </font>
    <font>
      <i/>
      <sz val="8"/>
      <color indexed="55"/>
      <name val="Arial"/>
      <family val="2"/>
    </font>
    <font>
      <u/>
      <sz val="10"/>
      <color indexed="36"/>
      <name val="Arial Cyr"/>
    </font>
    <font>
      <sz val="11"/>
      <color theme="1"/>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3"/>
      <color theme="1" tint="0.24994659260841701"/>
      <name val="Cambria"/>
      <family val="2"/>
      <scheme val="major"/>
    </font>
    <font>
      <sz val="12"/>
      <name val="Georgia"/>
      <family val="1"/>
    </font>
    <font>
      <sz val="10"/>
      <color indexed="8"/>
      <name val="Calibri"/>
      <family val="2"/>
      <charset val="204"/>
    </font>
    <font>
      <sz val="8"/>
      <color rgb="FF000000"/>
      <name val="Calibri"/>
      <family val="2"/>
    </font>
    <font>
      <sz val="10"/>
      <color rgb="FF0D0D0D"/>
      <name val="Calibri"/>
      <family val="2"/>
    </font>
    <font>
      <sz val="8"/>
      <color rgb="FFFF0000"/>
      <name val="Calibri"/>
      <family val="2"/>
    </font>
    <font>
      <sz val="8"/>
      <color rgb="FF000000"/>
      <name val="Calibri"/>
      <family val="2"/>
      <charset val="204"/>
    </font>
    <font>
      <sz val="8"/>
      <name val="Calibri"/>
      <family val="2"/>
      <charset val="204"/>
    </font>
  </fonts>
  <fills count="56">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rgb="FF00B050"/>
        <bgColor indexed="64"/>
      </patternFill>
    </fill>
    <fill>
      <patternFill patternType="solid">
        <fgColor indexed="43"/>
        <bgColor indexed="51"/>
      </patternFill>
    </fill>
    <fill>
      <patternFill patternType="solid">
        <fgColor theme="9" tint="-0.249977111117893"/>
        <bgColor indexed="64"/>
      </patternFill>
    </fill>
    <fill>
      <patternFill patternType="solid">
        <fgColor indexed="3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24"/>
      </patternFill>
    </fill>
    <fill>
      <patternFill patternType="solid">
        <fgColor indexed="62"/>
      </patternFill>
    </fill>
    <fill>
      <patternFill patternType="solid">
        <fgColor theme="4" tint="0.79998168889431442"/>
        <bgColor indexed="64"/>
      </patternFill>
    </fill>
    <fill>
      <patternFill patternType="solid">
        <fgColor rgb="FFFFF2CC"/>
        <bgColor indexed="64"/>
      </patternFill>
    </fill>
  </fills>
  <borders count="2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medium">
        <color indexed="51"/>
      </left>
      <right style="hair">
        <color indexed="64"/>
      </right>
      <top style="hair">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0"/>
      </right>
      <top style="dotted">
        <color indexed="64"/>
      </top>
      <bottom style="dotted">
        <color indexed="64"/>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right style="medium">
        <color indexed="60"/>
      </right>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style="medium">
        <color indexed="60"/>
      </right>
      <top/>
      <bottom style="medium">
        <color indexed="60"/>
      </bottom>
      <diagonal/>
    </border>
    <border>
      <left style="dotted">
        <color indexed="64"/>
      </left>
      <right/>
      <top style="medium">
        <color indexed="60"/>
      </top>
      <bottom style="dotted">
        <color indexed="64"/>
      </bottom>
      <diagonal/>
    </border>
    <border>
      <left/>
      <right/>
      <top style="medium">
        <color indexed="60"/>
      </top>
      <bottom style="dotted">
        <color indexed="64"/>
      </bottom>
      <diagonal/>
    </border>
    <border>
      <left/>
      <right style="medium">
        <color indexed="60"/>
      </right>
      <top style="medium">
        <color indexed="60"/>
      </top>
      <bottom style="dotted">
        <color indexed="64"/>
      </bottom>
      <diagonal/>
    </border>
    <border>
      <left style="medium">
        <color indexed="60"/>
      </left>
      <right/>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top style="medium">
        <color indexed="18"/>
      </top>
      <bottom style="medium">
        <color indexed="62"/>
      </bottom>
      <diagonal/>
    </border>
    <border>
      <left/>
      <right/>
      <top style="medium">
        <color indexed="18"/>
      </top>
      <bottom style="medium">
        <color indexed="62"/>
      </bottom>
      <diagonal/>
    </border>
    <border>
      <left/>
      <right style="medium">
        <color indexed="18"/>
      </right>
      <top style="medium">
        <color indexed="18"/>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dotted">
        <color indexed="64"/>
      </left>
      <right/>
      <top style="medium">
        <color indexed="62"/>
      </top>
      <bottom/>
      <diagonal/>
    </border>
    <border>
      <left/>
      <right/>
      <top style="medium">
        <color indexed="62"/>
      </top>
      <bottom/>
      <diagonal/>
    </border>
    <border>
      <left/>
      <right style="medium">
        <color indexed="18"/>
      </right>
      <top style="medium">
        <color indexed="62"/>
      </top>
      <bottom/>
      <diagonal/>
    </border>
    <border>
      <left/>
      <right style="medium">
        <color indexed="18"/>
      </right>
      <top style="dotted">
        <color indexed="64"/>
      </top>
      <bottom style="dotted">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style="medium">
        <color indexed="52"/>
      </right>
      <top/>
      <bottom style="medium">
        <color indexed="52"/>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dotted">
        <color indexed="64"/>
      </left>
      <right/>
      <top style="dotted">
        <color indexed="64"/>
      </top>
      <bottom style="medium">
        <color indexed="18"/>
      </bottom>
      <diagonal/>
    </border>
    <border>
      <left/>
      <right/>
      <top style="dotted">
        <color indexed="64"/>
      </top>
      <bottom style="medium">
        <color indexed="18"/>
      </bottom>
      <diagonal/>
    </border>
    <border>
      <left/>
      <right style="medium">
        <color indexed="18"/>
      </right>
      <top style="dotted">
        <color indexed="64"/>
      </top>
      <bottom style="medium">
        <color indexed="18"/>
      </bottom>
      <diagonal/>
    </border>
    <border>
      <left style="hair">
        <color indexed="64"/>
      </left>
      <right/>
      <top style="hair">
        <color indexed="64"/>
      </top>
      <bottom style="medium">
        <color indexed="51"/>
      </bottom>
      <diagonal/>
    </border>
    <border>
      <left/>
      <right/>
      <top style="hair">
        <color indexed="64"/>
      </top>
      <bottom style="medium">
        <color indexed="51"/>
      </bottom>
      <diagonal/>
    </border>
    <border>
      <left/>
      <right style="medium">
        <color indexed="51"/>
      </right>
      <top style="hair">
        <color indexed="64"/>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hair">
        <color indexed="64"/>
      </right>
      <top style="medium">
        <color indexed="57"/>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57"/>
      </left>
      <right style="hair">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57"/>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hair">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57"/>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style="medium">
        <color indexed="57"/>
      </top>
      <bottom/>
      <diagonal/>
    </border>
    <border>
      <left style="hair">
        <color indexed="57"/>
      </left>
      <right/>
      <top style="medium">
        <color indexed="57"/>
      </top>
      <bottom style="medium">
        <color indexed="57"/>
      </bottom>
      <diagonal/>
    </border>
    <border>
      <left style="hair">
        <color indexed="64"/>
      </left>
      <right/>
      <top/>
      <bottom style="medium">
        <color indexed="64"/>
      </bottom>
      <diagonal/>
    </border>
    <border>
      <left/>
      <right style="medium">
        <color indexed="64"/>
      </right>
      <top/>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bottom style="thin">
        <color indexed="64"/>
      </bottom>
      <diagonal/>
    </border>
    <border>
      <left/>
      <right style="medium">
        <color indexed="51"/>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style="medium">
        <color indexed="51"/>
      </bottom>
      <diagonal/>
    </border>
    <border>
      <left/>
      <right style="medium">
        <color indexed="51"/>
      </right>
      <top/>
      <bottom style="medium">
        <color indexed="51"/>
      </bottom>
      <diagonal/>
    </border>
    <border>
      <left style="thin">
        <color indexed="16"/>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diagonal/>
    </border>
    <border>
      <left/>
      <right/>
      <top/>
      <bottom style="thick">
        <color indexed="62"/>
      </bottom>
      <diagonal/>
    </border>
    <border>
      <left/>
      <right/>
      <top style="thin">
        <color indexed="62"/>
      </top>
      <bottom style="double">
        <color indexed="62"/>
      </bottom>
      <diagonal/>
    </border>
    <border>
      <left style="hair">
        <color theme="8"/>
      </left>
      <right style="hair">
        <color theme="8"/>
      </right>
      <top style="hair">
        <color theme="8"/>
      </top>
      <bottom style="hair">
        <color theme="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7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72"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2" fillId="0" borderId="4" applyNumberFormat="0" applyFill="0" applyAlignment="0" applyProtection="0"/>
    <xf numFmtId="0" fontId="73"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17" fillId="0" borderId="0"/>
    <xf numFmtId="164" fontId="117" fillId="0" borderId="0"/>
    <xf numFmtId="164" fontId="117" fillId="0" borderId="0"/>
    <xf numFmtId="164" fontId="117" fillId="0" borderId="0"/>
    <xf numFmtId="0" fontId="66" fillId="0" borderId="0"/>
    <xf numFmtId="0" fontId="2" fillId="4" borderId="7" applyNumberFormat="0" applyFont="0" applyAlignment="0" applyProtection="0"/>
    <xf numFmtId="0" fontId="8" fillId="2" borderId="8" applyNumberFormat="0" applyAlignment="0" applyProtection="0"/>
    <xf numFmtId="0" fontId="41" fillId="0" borderId="0" applyNumberFormat="0" applyFill="0" applyBorder="0" applyAlignment="0" applyProtection="0"/>
    <xf numFmtId="164" fontId="117"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17" fillId="0" borderId="9" applyNumberFormat="0" applyFill="0" applyAlignment="0" applyProtection="0"/>
    <xf numFmtId="0" fontId="74"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117" fillId="0" borderId="0"/>
    <xf numFmtId="0" fontId="139" fillId="0" borderId="0"/>
    <xf numFmtId="0" fontId="140" fillId="0" borderId="0"/>
    <xf numFmtId="9" fontId="2" fillId="0" borderId="0" applyFont="0" applyFill="0" applyBorder="0" applyAlignment="0" applyProtection="0"/>
    <xf numFmtId="9" fontId="140" fillId="0" borderId="0" applyFont="0" applyFill="0" applyBorder="0" applyAlignment="0" applyProtection="0"/>
    <xf numFmtId="165" fontId="140" fillId="0" borderId="0" applyFont="0" applyFill="0" applyBorder="0" applyAlignment="0" applyProtection="0"/>
    <xf numFmtId="3" fontId="141" fillId="44" borderId="0">
      <alignment horizontal="center"/>
    </xf>
    <xf numFmtId="9" fontId="141" fillId="44" borderId="0">
      <alignment horizontal="center"/>
    </xf>
    <xf numFmtId="3" fontId="142" fillId="0" borderId="0">
      <alignment horizontal="center" vertical="center"/>
      <protection locked="0"/>
    </xf>
    <xf numFmtId="176" fontId="142" fillId="0" borderId="0">
      <alignment horizontal="center" vertical="center"/>
      <protection locked="0"/>
    </xf>
    <xf numFmtId="49" fontId="143" fillId="0" borderId="0">
      <alignment horizontal="left"/>
    </xf>
    <xf numFmtId="0" fontId="144" fillId="0" borderId="0" applyNumberFormat="0" applyFill="0" applyBorder="0" applyAlignment="0" applyProtection="0"/>
    <xf numFmtId="0" fontId="2" fillId="0" borderId="0"/>
    <xf numFmtId="0" fontId="145" fillId="0" borderId="0"/>
    <xf numFmtId="0" fontId="140" fillId="0" borderId="0"/>
    <xf numFmtId="0" fontId="140" fillId="0" borderId="0"/>
    <xf numFmtId="0" fontId="140" fillId="0" borderId="0"/>
    <xf numFmtId="0" fontId="134" fillId="0" borderId="0"/>
    <xf numFmtId="0" fontId="134" fillId="0" borderId="0"/>
    <xf numFmtId="166" fontId="146" fillId="0" borderId="0" applyFont="0" applyFill="0" applyBorder="0" applyAlignment="0" applyProtection="0"/>
    <xf numFmtId="9" fontId="146" fillId="0" borderId="0" applyFont="0" applyFill="0" applyBorder="0" applyAlignment="0" applyProtection="0"/>
    <xf numFmtId="0" fontId="149" fillId="0" borderId="0"/>
    <xf numFmtId="43" fontId="149" fillId="0" borderId="0" applyFont="0" applyFill="0" applyBorder="0" applyAlignment="0" applyProtection="0"/>
    <xf numFmtId="165" fontId="146" fillId="0" borderId="0" applyFont="0" applyFill="0" applyBorder="0" applyAlignment="0" applyProtection="0"/>
    <xf numFmtId="43" fontId="140" fillId="0" borderId="0" applyFont="0" applyFill="0" applyBorder="0" applyAlignment="0" applyProtection="0"/>
    <xf numFmtId="9" fontId="146" fillId="0" borderId="0" applyFont="0" applyFill="0" applyBorder="0" applyAlignment="0" applyProtection="0"/>
    <xf numFmtId="178" fontId="141" fillId="0" borderId="259">
      <alignment horizontal="center" vertical="center"/>
    </xf>
    <xf numFmtId="179" fontId="151" fillId="0" borderId="0">
      <protection locked="0"/>
    </xf>
    <xf numFmtId="179" fontId="107" fillId="0" borderId="0">
      <alignment horizontal="center" vertical="center"/>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9" fontId="129" fillId="45" borderId="0" applyNumberFormat="0" applyBorder="0" applyAlignment="0" applyProtection="0"/>
    <xf numFmtId="179" fontId="129" fillId="6" borderId="0" applyNumberFormat="0" applyBorder="0" applyAlignment="0" applyProtection="0"/>
    <xf numFmtId="179" fontId="129" fillId="7" borderId="0" applyNumberFormat="0" applyBorder="0" applyAlignment="0" applyProtection="0"/>
    <xf numFmtId="179" fontId="129" fillId="46" borderId="0" applyNumberFormat="0" applyBorder="0" applyAlignment="0" applyProtection="0"/>
    <xf numFmtId="179" fontId="129" fillId="5" borderId="0" applyNumberFormat="0" applyBorder="0" applyAlignment="0" applyProtection="0"/>
    <xf numFmtId="179" fontId="129" fillId="3" borderId="0" applyNumberFormat="0" applyBorder="0" applyAlignment="0" applyProtection="0"/>
    <xf numFmtId="179" fontId="129" fillId="11" borderId="0" applyNumberFormat="0" applyBorder="0" applyAlignment="0" applyProtection="0"/>
    <xf numFmtId="179" fontId="129" fillId="9" borderId="0" applyNumberFormat="0" applyBorder="0" applyAlignment="0" applyProtection="0"/>
    <xf numFmtId="179" fontId="129" fillId="47" borderId="0" applyNumberFormat="0" applyBorder="0" applyAlignment="0" applyProtection="0"/>
    <xf numFmtId="179" fontId="129" fillId="46" borderId="0" applyNumberFormat="0" applyBorder="0" applyAlignment="0" applyProtection="0"/>
    <xf numFmtId="179" fontId="129" fillId="11" borderId="0" applyNumberFormat="0" applyBorder="0" applyAlignment="0" applyProtection="0"/>
    <xf numFmtId="179" fontId="129" fillId="48" borderId="0" applyNumberFormat="0" applyBorder="0" applyAlignment="0" applyProtection="0"/>
    <xf numFmtId="179" fontId="154" fillId="49" borderId="0" applyNumberFormat="0" applyBorder="0" applyAlignment="0" applyProtection="0"/>
    <xf numFmtId="179" fontId="154" fillId="9" borderId="0" applyNumberFormat="0" applyBorder="0" applyAlignment="0" applyProtection="0"/>
    <xf numFmtId="179" fontId="154" fillId="47" borderId="0" applyNumberFormat="0" applyBorder="0" applyAlignment="0" applyProtection="0"/>
    <xf numFmtId="179" fontId="154" fillId="50" borderId="0" applyNumberFormat="0" applyBorder="0" applyAlignment="0" applyProtection="0"/>
    <xf numFmtId="179" fontId="154" fillId="12" borderId="0" applyNumberFormat="0" applyBorder="0" applyAlignment="0" applyProtection="0"/>
    <xf numFmtId="179" fontId="154" fillId="51" borderId="0" applyNumberFormat="0" applyBorder="0" applyAlignment="0" applyProtection="0"/>
    <xf numFmtId="0" fontId="148" fillId="0" borderId="0" applyNumberFormat="0" applyFill="0" applyBorder="0" applyAlignment="0" applyProtection="0">
      <alignment vertical="top"/>
      <protection locked="0"/>
    </xf>
    <xf numFmtId="165" fontId="140" fillId="0" borderId="0" applyFont="0" applyFill="0" applyBorder="0" applyAlignment="0" applyProtection="0"/>
    <xf numFmtId="43" fontId="129" fillId="0" borderId="0" applyFont="0" applyFill="0" applyBorder="0" applyAlignment="0" applyProtection="0"/>
    <xf numFmtId="180" fontId="140" fillId="0" borderId="0" applyFont="0" applyFill="0" applyBorder="0" applyAlignment="0" applyProtection="0"/>
    <xf numFmtId="179" fontId="144" fillId="0" borderId="0" applyNumberFormat="0" applyFill="0" applyBorder="0" applyAlignment="0" applyProtection="0">
      <alignment vertical="top"/>
      <protection locked="0"/>
    </xf>
    <xf numFmtId="0" fontId="155" fillId="0" borderId="0"/>
    <xf numFmtId="0" fontId="156" fillId="0" borderId="0" applyNumberFormat="0" applyFill="0" applyBorder="0" applyAlignment="0" applyProtection="0">
      <alignment vertical="top"/>
      <protection locked="0"/>
    </xf>
    <xf numFmtId="0" fontId="140" fillId="7" borderId="10" applyBorder="0">
      <alignment vertical="top"/>
    </xf>
    <xf numFmtId="179" fontId="141" fillId="0" borderId="0"/>
    <xf numFmtId="0" fontId="146" fillId="0" borderId="0"/>
    <xf numFmtId="0" fontId="140" fillId="0" borderId="0"/>
    <xf numFmtId="0" fontId="146" fillId="0" borderId="0"/>
    <xf numFmtId="179" fontId="140" fillId="0" borderId="0"/>
    <xf numFmtId="0" fontId="146" fillId="0" borderId="0"/>
    <xf numFmtId="9" fontId="146"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57" fillId="0" borderId="0" applyFont="0" applyFill="0" applyBorder="0" applyAlignment="0" applyProtection="0"/>
    <xf numFmtId="0" fontId="150" fillId="8" borderId="41">
      <alignment horizontal="centerContinuous"/>
    </xf>
    <xf numFmtId="49" fontId="147" fillId="52" borderId="10">
      <alignment horizontal="center" vertical="center" wrapText="1"/>
    </xf>
    <xf numFmtId="179" fontId="154" fillId="53" borderId="0" applyNumberFormat="0" applyBorder="0" applyAlignment="0" applyProtection="0"/>
    <xf numFmtId="179" fontId="154" fillId="13" borderId="0" applyNumberFormat="0" applyBorder="0" applyAlignment="0" applyProtection="0"/>
    <xf numFmtId="179" fontId="154" fillId="15" borderId="0" applyNumberFormat="0" applyBorder="0" applyAlignment="0" applyProtection="0"/>
    <xf numFmtId="179" fontId="154" fillId="50" borderId="0" applyNumberFormat="0" applyBorder="0" applyAlignment="0" applyProtection="0"/>
    <xf numFmtId="179" fontId="154" fillId="12" borderId="0" applyNumberFormat="0" applyBorder="0" applyAlignment="0" applyProtection="0"/>
    <xf numFmtId="179" fontId="154" fillId="14" borderId="0" applyNumberFormat="0" applyBorder="0" applyAlignment="0" applyProtection="0"/>
    <xf numFmtId="179" fontId="158" fillId="3" borderId="1" applyNumberFormat="0" applyAlignment="0" applyProtection="0"/>
    <xf numFmtId="179" fontId="159" fillId="8" borderId="8" applyNumberFormat="0" applyAlignment="0" applyProtection="0"/>
    <xf numFmtId="179" fontId="160" fillId="8" borderId="1" applyNumberFormat="0" applyAlignment="0" applyProtection="0"/>
    <xf numFmtId="0" fontId="144"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79" fontId="162" fillId="0" borderId="260" applyNumberFormat="0" applyFill="0" applyAlignment="0" applyProtection="0"/>
    <xf numFmtId="179" fontId="163" fillId="0" borderId="5" applyNumberFormat="0" applyFill="0" applyAlignment="0" applyProtection="0"/>
    <xf numFmtId="179" fontId="164" fillId="0" borderId="9" applyNumberFormat="0" applyFill="0" applyAlignment="0" applyProtection="0"/>
    <xf numFmtId="179" fontId="164" fillId="0" borderId="0" applyNumberFormat="0" applyFill="0" applyBorder="0" applyAlignment="0" applyProtection="0"/>
    <xf numFmtId="179" fontId="138" fillId="0" borderId="261" applyNumberFormat="0" applyFill="0" applyAlignment="0" applyProtection="0"/>
    <xf numFmtId="179" fontId="165" fillId="18" borderId="2" applyNumberFormat="0" applyAlignment="0" applyProtection="0"/>
    <xf numFmtId="179" fontId="166" fillId="0" borderId="0" applyNumberFormat="0" applyFill="0" applyBorder="0" applyAlignment="0" applyProtection="0"/>
    <xf numFmtId="179" fontId="167" fillId="10" borderId="0" applyNumberFormat="0" applyBorder="0" applyAlignment="0" applyProtection="0"/>
    <xf numFmtId="0" fontId="139" fillId="0" borderId="0"/>
    <xf numFmtId="0" fontId="146" fillId="0" borderId="0"/>
    <xf numFmtId="0" fontId="140" fillId="0" borderId="0"/>
    <xf numFmtId="0" fontId="129" fillId="0" borderId="0"/>
    <xf numFmtId="0" fontId="129" fillId="0" borderId="0"/>
    <xf numFmtId="0" fontId="140" fillId="0" borderId="0"/>
    <xf numFmtId="0" fontId="139" fillId="0" borderId="0"/>
    <xf numFmtId="179" fontId="168" fillId="6" borderId="0" applyNumberFormat="0" applyBorder="0" applyAlignment="0" applyProtection="0"/>
    <xf numFmtId="179" fontId="169" fillId="0" borderId="0" applyNumberFormat="0" applyFill="0" applyBorder="0" applyAlignment="0" applyProtection="0"/>
    <xf numFmtId="179" fontId="140" fillId="4" borderId="7" applyNumberFormat="0" applyFont="0" applyAlignment="0" applyProtection="0"/>
    <xf numFmtId="9" fontId="139" fillId="0" borderId="0" applyFont="0" applyFill="0" applyBorder="0" applyAlignment="0" applyProtection="0"/>
    <xf numFmtId="179" fontId="170" fillId="0" borderId="3" applyNumberFormat="0" applyFill="0" applyAlignment="0" applyProtection="0"/>
    <xf numFmtId="179" fontId="171" fillId="0" borderId="0" applyNumberFormat="0" applyFill="0" applyBorder="0" applyAlignment="0" applyProtection="0"/>
    <xf numFmtId="43" fontId="140" fillId="0" borderId="0" applyFont="0" applyFill="0" applyBorder="0" applyAlignment="0" applyProtection="0"/>
    <xf numFmtId="43" fontId="146" fillId="0" borderId="0" applyFont="0" applyFill="0" applyBorder="0" applyAlignment="0" applyProtection="0"/>
    <xf numFmtId="177" fontId="140" fillId="0" borderId="0" applyFont="0" applyFill="0" applyBorder="0" applyAlignment="0" applyProtection="0"/>
    <xf numFmtId="170" fontId="140" fillId="0" borderId="0" applyFont="0" applyFill="0" applyBorder="0" applyAlignment="0" applyProtection="0"/>
    <xf numFmtId="166" fontId="139" fillId="0" borderId="0" applyFont="0" applyFill="0" applyBorder="0" applyAlignment="0" applyProtection="0"/>
    <xf numFmtId="166" fontId="140" fillId="0" borderId="0" applyFont="0" applyFill="0" applyBorder="0" applyAlignment="0" applyProtection="0"/>
    <xf numFmtId="179" fontId="172" fillId="7" borderId="0" applyNumberFormat="0" applyBorder="0" applyAlignment="0" applyProtection="0"/>
    <xf numFmtId="181" fontId="172" fillId="7" borderId="0" applyNumberFormat="0" applyBorder="0" applyAlignment="0" applyProtection="0"/>
    <xf numFmtId="0" fontId="20" fillId="0" borderId="0"/>
    <xf numFmtId="0" fontId="173" fillId="0" borderId="0" applyFill="0" applyBorder="0" applyProtection="0">
      <alignment horizontal="left"/>
    </xf>
  </cellStyleXfs>
  <cellXfs count="1263">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17" fillId="0" borderId="0" xfId="48" applyProtection="1"/>
    <xf numFmtId="164" fontId="15" fillId="0" borderId="0" xfId="48" applyFont="1" applyProtection="1"/>
    <xf numFmtId="0" fontId="18" fillId="0" borderId="0" xfId="48" applyNumberFormat="1" applyFont="1" applyBorder="1" applyProtection="1"/>
    <xf numFmtId="164" fontId="117" fillId="0" borderId="0" xfId="50" applyProtection="1"/>
    <xf numFmtId="164" fontId="117" fillId="0" borderId="0" xfId="50" applyFill="1" applyBorder="1" applyAlignment="1" applyProtection="1">
      <alignment horizontal="left"/>
    </xf>
    <xf numFmtId="0" fontId="0" fillId="0" borderId="0" xfId="0" applyFill="1" applyBorder="1" applyProtection="1"/>
    <xf numFmtId="164" fontId="117"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8"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 fillId="0" borderId="0" xfId="0" applyFont="1" applyBorder="1" applyAlignment="1"/>
    <xf numFmtId="0" fontId="1" fillId="0" borderId="0" xfId="0" applyFont="1" applyFill="1" applyBorder="1" applyAlignment="1"/>
    <xf numFmtId="0" fontId="42" fillId="0" borderId="0" xfId="0" applyFont="1"/>
    <xf numFmtId="0" fontId="42" fillId="0" borderId="0" xfId="0" applyFont="1" applyAlignment="1">
      <alignment horizontal="right"/>
    </xf>
    <xf numFmtId="0" fontId="42" fillId="0" borderId="0" xfId="0" applyFont="1" applyBorder="1"/>
    <xf numFmtId="0" fontId="45" fillId="0" borderId="0" xfId="0" applyFont="1"/>
    <xf numFmtId="0" fontId="42"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17" fillId="0" borderId="0" xfId="59" applyFill="1" applyBorder="1" applyAlignment="1" applyProtection="1">
      <alignment vertical="center"/>
      <protection locked="0"/>
    </xf>
    <xf numFmtId="167"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8"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17"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8" fillId="0" borderId="0" xfId="48" applyFont="1" applyProtection="1"/>
    <xf numFmtId="164" fontId="68" fillId="0" borderId="0" xfId="50" applyFont="1" applyProtection="1"/>
    <xf numFmtId="0" fontId="68" fillId="0" borderId="10" xfId="0" applyFont="1" applyFill="1" applyBorder="1" applyAlignment="1" applyProtection="1">
      <alignment horizontal="center"/>
    </xf>
    <xf numFmtId="0" fontId="68" fillId="0" borderId="10" xfId="0" applyFont="1" applyFill="1" applyBorder="1" applyProtection="1"/>
    <xf numFmtId="164" fontId="68" fillId="0" borderId="10" xfId="50" applyFont="1" applyBorder="1" applyProtection="1"/>
    <xf numFmtId="0" fontId="69" fillId="0" borderId="10" xfId="0" applyFont="1" applyBorder="1" applyAlignment="1" applyProtection="1">
      <alignment horizontal="left" indent="1"/>
    </xf>
    <xf numFmtId="0" fontId="70" fillId="19" borderId="10" xfId="0" applyFont="1" applyFill="1" applyBorder="1" applyAlignment="1" applyProtection="1">
      <alignment horizontal="center"/>
    </xf>
    <xf numFmtId="0" fontId="70"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14" fillId="0" borderId="0" xfId="0" applyFont="1"/>
    <xf numFmtId="0" fontId="45" fillId="0" borderId="0" xfId="0" applyFont="1" applyFill="1"/>
    <xf numFmtId="0" fontId="77" fillId="19" borderId="12" xfId="0" applyFont="1" applyFill="1" applyBorder="1" applyAlignment="1">
      <alignment vertical="center"/>
    </xf>
    <xf numFmtId="0" fontId="75" fillId="0" borderId="0"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0" fillId="20" borderId="0" xfId="0" applyNumberFormat="1" applyFont="1" applyFill="1" applyBorder="1" applyAlignment="1">
      <alignment horizontal="center"/>
    </xf>
    <xf numFmtId="0" fontId="80" fillId="0" borderId="0" xfId="0" applyFont="1" applyFill="1" applyBorder="1" applyAlignment="1" applyProtection="1">
      <alignment horizontal="left"/>
    </xf>
    <xf numFmtId="0" fontId="81" fillId="0" borderId="0" xfId="0" applyFont="1"/>
    <xf numFmtId="164" fontId="38" fillId="0" borderId="0" xfId="59" applyFont="1" applyFill="1" applyBorder="1" applyAlignment="1" applyProtection="1">
      <alignment horizontal="center" vertical="center"/>
      <protection locked="0"/>
    </xf>
    <xf numFmtId="15" fontId="0" fillId="0" borderId="0" xfId="0" applyNumberFormat="1"/>
    <xf numFmtId="164" fontId="31" fillId="0" borderId="14" xfId="59" applyFont="1" applyBorder="1" applyAlignment="1" applyProtection="1"/>
    <xf numFmtId="164" fontId="117" fillId="0" borderId="14" xfId="59" applyFill="1" applyBorder="1" applyAlignment="1" applyProtection="1">
      <alignment vertical="center"/>
    </xf>
    <xf numFmtId="164" fontId="31" fillId="0" borderId="0" xfId="59" applyFont="1" applyBorder="1" applyAlignment="1" applyProtection="1"/>
    <xf numFmtId="164" fontId="117" fillId="0" borderId="0" xfId="59"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8"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64" fontId="37" fillId="0" borderId="18" xfId="59" applyFont="1" applyBorder="1" applyAlignment="1" applyProtection="1"/>
    <xf numFmtId="164" fontId="38" fillId="0" borderId="18" xfId="59" applyFont="1" applyFill="1" applyBorder="1" applyAlignment="1" applyProtection="1">
      <alignment vertical="center"/>
    </xf>
    <xf numFmtId="164" fontId="38" fillId="0" borderId="0" xfId="59" applyFont="1" applyFill="1" applyBorder="1" applyAlignment="1" applyProtection="1">
      <alignment vertical="center"/>
    </xf>
    <xf numFmtId="164" fontId="37" fillId="0" borderId="0" xfId="59" applyFont="1" applyBorder="1" applyAlignment="1" applyProtection="1"/>
    <xf numFmtId="164" fontId="39"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19" xfId="0" applyFont="1" applyBorder="1" applyAlignment="1" applyProtection="1">
      <alignment horizontal="center"/>
    </xf>
    <xf numFmtId="0" fontId="14" fillId="0" borderId="19" xfId="0" applyFont="1" applyBorder="1" applyAlignment="1" applyProtection="1">
      <alignment horizontal="center" wrapText="1"/>
    </xf>
    <xf numFmtId="1" fontId="21" fillId="20" borderId="20" xfId="0" applyNumberFormat="1" applyFont="1" applyFill="1" applyBorder="1" applyAlignment="1" applyProtection="1">
      <alignment horizontal="center"/>
    </xf>
    <xf numFmtId="1" fontId="21" fillId="20" borderId="22" xfId="0" applyNumberFormat="1" applyFont="1" applyFill="1" applyBorder="1" applyAlignment="1" applyProtection="1">
      <alignment horizontal="center"/>
    </xf>
    <xf numFmtId="0" fontId="0" fillId="0" borderId="24" xfId="0" applyBorder="1" applyAlignment="1" applyProtection="1">
      <alignment horizontal="center"/>
    </xf>
    <xf numFmtId="0" fontId="0" fillId="0" borderId="0" xfId="0" applyFill="1" applyBorder="1" applyAlignment="1" applyProtection="1">
      <alignment horizontal="center" wrapText="1"/>
    </xf>
    <xf numFmtId="164" fontId="0" fillId="0" borderId="0" xfId="0" applyNumberFormat="1" applyFill="1" applyBorder="1" applyProtection="1"/>
    <xf numFmtId="164" fontId="67" fillId="0" borderId="25" xfId="59" applyFont="1" applyFill="1" applyBorder="1" applyAlignment="1" applyProtection="1"/>
    <xf numFmtId="164" fontId="38" fillId="0" borderId="25" xfId="59" applyFont="1" applyFill="1" applyBorder="1" applyAlignment="1" applyProtection="1">
      <alignment vertical="center"/>
    </xf>
    <xf numFmtId="168" fontId="28" fillId="0" borderId="0" xfId="62" applyNumberFormat="1" applyFont="1" applyAlignment="1" applyProtection="1">
      <alignment horizontal="left"/>
    </xf>
    <xf numFmtId="15" fontId="28" fillId="0" borderId="0" xfId="0" applyNumberFormat="1" applyFont="1" applyAlignment="1" applyProtection="1">
      <alignment horizontal="lef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8"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42" fillId="0" borderId="0" xfId="0" applyFont="1" applyProtection="1"/>
    <xf numFmtId="0" fontId="42" fillId="0" borderId="0" xfId="0" applyFont="1" applyAlignment="1" applyProtection="1">
      <alignment horizontal="right"/>
    </xf>
    <xf numFmtId="0" fontId="42"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9"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71"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2"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70"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52" fillId="0" borderId="29" xfId="0" applyNumberFormat="1" applyFont="1" applyFill="1" applyBorder="1" applyAlignment="1" applyProtection="1">
      <alignment horizontal="right"/>
    </xf>
    <xf numFmtId="0" fontId="61"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2" fillId="0" borderId="0" xfId="0" applyFont="1" applyFill="1" applyBorder="1" applyAlignment="1" applyProtection="1">
      <alignment horizontal="center" vertical="center"/>
    </xf>
    <xf numFmtId="9" fontId="65" fillId="0" borderId="0" xfId="0" applyNumberFormat="1" applyFont="1" applyFill="1" applyBorder="1" applyAlignment="1" applyProtection="1"/>
    <xf numFmtId="9" fontId="65" fillId="0" borderId="0" xfId="0" applyNumberFormat="1" applyFont="1" applyFill="1" applyBorder="1" applyAlignment="1" applyProtection="1">
      <alignment horizontal="center"/>
    </xf>
    <xf numFmtId="0" fontId="52" fillId="0" borderId="30" xfId="0" applyNumberFormat="1" applyFont="1" applyFill="1" applyBorder="1" applyAlignment="1" applyProtection="1">
      <alignment horizontal="right"/>
    </xf>
    <xf numFmtId="9" fontId="54" fillId="0" borderId="0" xfId="0" applyNumberFormat="1" applyFont="1" applyFill="1" applyBorder="1" applyProtection="1"/>
    <xf numFmtId="0" fontId="52" fillId="0" borderId="31" xfId="0" applyNumberFormat="1" applyFont="1" applyFill="1" applyBorder="1" applyAlignment="1" applyProtection="1">
      <alignment horizontal="right"/>
    </xf>
    <xf numFmtId="0" fontId="52" fillId="0" borderId="32" xfId="0" applyNumberFormat="1" applyFont="1" applyFill="1" applyBorder="1" applyAlignment="1" applyProtection="1">
      <alignment horizontal="right"/>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34" fillId="0" borderId="35" xfId="0" applyNumberFormat="1" applyFont="1" applyFill="1" applyBorder="1" applyAlignment="1" applyProtection="1">
      <alignment vertical="center"/>
    </xf>
    <xf numFmtId="0" fontId="43" fillId="0" borderId="0" xfId="0" applyFont="1" applyProtection="1"/>
    <xf numFmtId="0" fontId="64" fillId="0" borderId="0" xfId="0" applyFont="1" applyProtection="1"/>
    <xf numFmtId="0" fontId="58" fillId="0" borderId="0" xfId="0" applyFont="1" applyProtection="1"/>
    <xf numFmtId="0" fontId="71" fillId="0" borderId="0" xfId="0" applyFont="1" applyBorder="1" applyAlignment="1" applyProtection="1">
      <alignment wrapText="1"/>
    </xf>
    <xf numFmtId="0" fontId="68"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6" fillId="0" borderId="0" xfId="0" applyNumberFormat="1" applyFont="1" applyBorder="1" applyProtection="1"/>
    <xf numFmtId="164" fontId="36" fillId="0" borderId="0" xfId="0" applyNumberFormat="1" applyFont="1" applyProtection="1"/>
    <xf numFmtId="168" fontId="6" fillId="0" borderId="0" xfId="62" applyNumberFormat="1" applyFont="1" applyFill="1" applyBorder="1" applyAlignment="1" applyProtection="1">
      <protection locked="0"/>
    </xf>
    <xf numFmtId="168" fontId="6" fillId="0" borderId="0" xfId="62" applyNumberFormat="1" applyFont="1" applyFill="1" applyBorder="1" applyProtection="1">
      <protection locked="0"/>
    </xf>
    <xf numFmtId="0" fontId="15" fillId="20" borderId="0" xfId="0" applyFont="1" applyFill="1"/>
    <xf numFmtId="167" fontId="15" fillId="20" borderId="0" xfId="0" applyNumberFormat="1" applyFont="1" applyFill="1"/>
    <xf numFmtId="168" fontId="15" fillId="20" borderId="0" xfId="0" applyNumberFormat="1" applyFont="1" applyFill="1"/>
    <xf numFmtId="3" fontId="15" fillId="20" borderId="0" xfId="0" applyNumberFormat="1" applyFont="1" applyFill="1" applyProtection="1"/>
    <xf numFmtId="167"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2" fillId="0" borderId="0" xfId="0" applyFont="1"/>
    <xf numFmtId="164" fontId="20" fillId="0" borderId="38" xfId="56" applyFont="1" applyBorder="1" applyAlignment="1" applyProtection="1">
      <alignment horizontal="right"/>
    </xf>
    <xf numFmtId="0" fontId="12" fillId="0" borderId="0" xfId="0" applyFont="1"/>
    <xf numFmtId="0" fontId="0" fillId="20" borderId="0" xfId="0" applyFill="1" applyProtection="1"/>
    <xf numFmtId="0" fontId="0" fillId="20" borderId="39" xfId="0" applyFill="1" applyBorder="1" applyProtection="1"/>
    <xf numFmtId="164" fontId="88" fillId="0" borderId="0" xfId="0" applyNumberFormat="1" applyFont="1"/>
    <xf numFmtId="0" fontId="88" fillId="0" borderId="0" xfId="0" applyFont="1"/>
    <xf numFmtId="164" fontId="0" fillId="0" borderId="0" xfId="0" quotePrefix="1" applyNumberFormat="1"/>
    <xf numFmtId="164" fontId="0" fillId="0" borderId="0" xfId="0" applyNumberFormat="1"/>
    <xf numFmtId="0" fontId="34" fillId="0" borderId="40" xfId="0" applyNumberFormat="1" applyFont="1" applyFill="1" applyBorder="1" applyAlignment="1" applyProtection="1">
      <alignment vertical="center"/>
    </xf>
    <xf numFmtId="164" fontId="117" fillId="0" borderId="0" xfId="51" applyFill="1" applyBorder="1" applyAlignment="1" applyProtection="1">
      <alignment horizontal="center"/>
    </xf>
    <xf numFmtId="0" fontId="34" fillId="0" borderId="0" xfId="0" quotePrefix="1" applyFont="1" applyProtection="1"/>
    <xf numFmtId="0" fontId="62" fillId="0" borderId="41" xfId="0" applyFont="1" applyBorder="1" applyAlignment="1">
      <alignment horizontal="justify" vertical="center" wrapText="1"/>
    </xf>
    <xf numFmtId="0" fontId="62" fillId="0" borderId="42" xfId="0" applyFont="1" applyBorder="1" applyAlignment="1">
      <alignment horizontal="justify" vertical="center" wrapText="1"/>
    </xf>
    <xf numFmtId="0" fontId="62" fillId="0" borderId="43" xfId="0" applyFont="1" applyBorder="1" applyAlignment="1">
      <alignment horizontal="justify" vertical="center" wrapText="1"/>
    </xf>
    <xf numFmtId="0" fontId="87" fillId="0" borderId="42" xfId="0" applyFont="1" applyBorder="1" applyAlignment="1">
      <alignment horizontal="justify" vertical="center" wrapText="1"/>
    </xf>
    <xf numFmtId="164" fontId="89" fillId="0" borderId="25" xfId="59" applyFont="1" applyFill="1" applyBorder="1" applyAlignment="1" applyProtection="1"/>
    <xf numFmtId="164" fontId="9" fillId="0" borderId="25" xfId="59" applyFont="1" applyFill="1" applyBorder="1" applyAlignment="1" applyProtection="1">
      <alignment vertical="center"/>
    </xf>
    <xf numFmtId="0" fontId="86" fillId="0" borderId="41" xfId="0" applyFont="1" applyBorder="1" applyAlignment="1">
      <alignment vertical="center" wrapText="1"/>
    </xf>
    <xf numFmtId="0" fontId="2" fillId="0" borderId="44" xfId="0" applyFont="1" applyFill="1" applyBorder="1" applyAlignment="1" applyProtection="1">
      <alignment horizontal="center"/>
    </xf>
    <xf numFmtId="0" fontId="1" fillId="0" borderId="0" xfId="0" applyFont="1"/>
    <xf numFmtId="164" fontId="91" fillId="0" borderId="25" xfId="59" applyFont="1" applyFill="1" applyBorder="1" applyAlignment="1" applyProtection="1">
      <alignment vertical="center"/>
    </xf>
    <xf numFmtId="0" fontId="90"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 fontId="21" fillId="25" borderId="10" xfId="0" applyNumberFormat="1" applyFont="1" applyFill="1" applyBorder="1" applyAlignment="1" applyProtection="1">
      <alignment horizontal="center"/>
      <protection locked="0"/>
    </xf>
    <xf numFmtId="1" fontId="21" fillId="25" borderId="45" xfId="0" applyNumberFormat="1" applyFont="1" applyFill="1" applyBorder="1" applyAlignment="1" applyProtection="1">
      <alignment horizontal="center"/>
      <protection locked="0"/>
    </xf>
    <xf numFmtId="1" fontId="0" fillId="25" borderId="10" xfId="0" applyNumberFormat="1" applyFill="1" applyBorder="1" applyAlignment="1" applyProtection="1">
      <alignment horizontal="center"/>
      <protection locked="0"/>
    </xf>
    <xf numFmtId="168" fontId="0" fillId="0" borderId="0" xfId="0" applyNumberFormat="1" applyProtection="1"/>
    <xf numFmtId="0" fontId="94" fillId="0" borderId="0" xfId="0" applyFont="1" applyFill="1" applyBorder="1" applyAlignment="1" applyProtection="1">
      <alignment horizontal="right"/>
    </xf>
    <xf numFmtId="164" fontId="95" fillId="0" borderId="14" xfId="59" applyFont="1" applyFill="1" applyBorder="1" applyAlignment="1" applyProtection="1">
      <alignment horizontal="left" vertical="center"/>
    </xf>
    <xf numFmtId="0" fontId="94" fillId="0" borderId="0" xfId="0" applyFont="1" applyBorder="1" applyProtection="1"/>
    <xf numFmtId="3" fontId="6" fillId="0" borderId="0" xfId="0" applyNumberFormat="1" applyFont="1" applyAlignment="1" applyProtection="1">
      <alignment horizontal="right"/>
    </xf>
    <xf numFmtId="0" fontId="97" fillId="0" borderId="0" xfId="0" applyFont="1" applyFill="1" applyBorder="1" applyAlignment="1" applyProtection="1">
      <alignment horizontal="center" wrapText="1"/>
    </xf>
    <xf numFmtId="0" fontId="94"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15" fontId="32" fillId="0" borderId="46"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164" fontId="101" fillId="0" borderId="0" xfId="38" applyFont="1" applyFill="1" applyAlignment="1" applyProtection="1">
      <alignment vertical="center"/>
    </xf>
    <xf numFmtId="0" fontId="0" fillId="0" borderId="0" xfId="0" applyBorder="1" applyAlignment="1" applyProtection="1"/>
    <xf numFmtId="3" fontId="0" fillId="0" borderId="0" xfId="0" applyNumberFormat="1" applyFill="1" applyProtection="1"/>
    <xf numFmtId="0" fontId="0" fillId="0" borderId="0" xfId="0" applyFill="1" applyBorder="1" applyProtection="1">
      <protection locked="0"/>
    </xf>
    <xf numFmtId="0" fontId="6" fillId="0" borderId="0" xfId="0" applyFont="1" applyFill="1" applyBorder="1" applyAlignment="1" applyProtection="1">
      <protection locked="0"/>
    </xf>
    <xf numFmtId="0" fontId="98" fillId="0" borderId="0" xfId="0" applyFont="1" applyFill="1" applyBorder="1" applyAlignment="1" applyProtection="1">
      <alignment horizontal="left"/>
      <protection locked="0"/>
    </xf>
    <xf numFmtId="0" fontId="96" fillId="0" borderId="0" xfId="0" applyFont="1" applyFill="1" applyBorder="1" applyAlignment="1" applyProtection="1">
      <alignment horizontal="center" vertical="center"/>
    </xf>
    <xf numFmtId="0" fontId="26" fillId="0" borderId="48" xfId="0" applyFont="1" applyFill="1" applyBorder="1" applyAlignment="1" applyProtection="1"/>
    <xf numFmtId="0" fontId="32" fillId="26" borderId="49" xfId="0" applyFont="1" applyFill="1" applyBorder="1" applyAlignment="1" applyProtection="1">
      <alignment horizontal="centerContinuous"/>
    </xf>
    <xf numFmtId="15" fontId="99" fillId="0" borderId="37" xfId="0" applyNumberFormat="1" applyFont="1" applyFill="1" applyBorder="1" applyAlignment="1" applyProtection="1">
      <alignment horizontal="center" wrapText="1"/>
    </xf>
    <xf numFmtId="15" fontId="99" fillId="0" borderId="50" xfId="0" applyNumberFormat="1" applyFont="1" applyFill="1" applyBorder="1" applyAlignment="1" applyProtection="1">
      <alignment horizontal="center" wrapText="1"/>
    </xf>
    <xf numFmtId="0" fontId="36" fillId="0" borderId="48" xfId="0" applyFont="1" applyFill="1" applyBorder="1" applyAlignment="1" applyProtection="1">
      <alignment horizontal="center"/>
    </xf>
    <xf numFmtId="0" fontId="36" fillId="0" borderId="51" xfId="0" applyFont="1" applyFill="1" applyBorder="1" applyAlignment="1" applyProtection="1">
      <alignment horizontal="center"/>
    </xf>
    <xf numFmtId="0" fontId="32" fillId="26" borderId="52"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15" fontId="0" fillId="0" borderId="0"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3" fontId="2" fillId="23" borderId="10" xfId="0" applyNumberFormat="1" applyFont="1" applyFill="1" applyBorder="1" applyAlignment="1" applyProtection="1">
      <alignment horizontal="right" vertical="center"/>
      <protection locked="0"/>
    </xf>
    <xf numFmtId="0" fontId="75" fillId="0" borderId="55" xfId="0" applyFont="1" applyFill="1" applyBorder="1" applyAlignment="1" applyProtection="1">
      <alignment horizontal="center" vertical="center"/>
    </xf>
    <xf numFmtId="0" fontId="24" fillId="0" borderId="0" xfId="0" applyFont="1" applyProtection="1"/>
    <xf numFmtId="164" fontId="99" fillId="0" borderId="0" xfId="0" applyNumberFormat="1" applyFont="1" applyBorder="1" applyAlignment="1" applyProtection="1">
      <alignment vertical="center" wrapText="1"/>
    </xf>
    <xf numFmtId="0" fontId="99" fillId="0" borderId="0" xfId="0" applyFont="1" applyFill="1" applyBorder="1" applyAlignment="1" applyProtection="1">
      <alignment wrapText="1"/>
    </xf>
    <xf numFmtId="164" fontId="20" fillId="0" borderId="38" xfId="56" applyFont="1" applyFill="1" applyBorder="1" applyAlignment="1" applyProtection="1">
      <alignment horizontal="right"/>
    </xf>
    <xf numFmtId="0" fontId="28" fillId="0" borderId="0" xfId="0" applyFont="1" applyFill="1" applyBorder="1" applyAlignment="1" applyProtection="1">
      <alignment wrapText="1"/>
    </xf>
    <xf numFmtId="164" fontId="28" fillId="0" borderId="0" xfId="0" applyNumberFormat="1" applyFont="1" applyAlignment="1" applyProtection="1"/>
    <xf numFmtId="15" fontId="28" fillId="0" borderId="0" xfId="0" applyNumberFormat="1" applyFont="1"/>
    <xf numFmtId="0" fontId="0" fillId="0" borderId="25" xfId="0" applyFill="1" applyBorder="1" applyProtection="1"/>
    <xf numFmtId="9" fontId="15" fillId="0" borderId="0" xfId="61" applyFont="1" applyProtection="1"/>
    <xf numFmtId="164" fontId="24" fillId="25" borderId="38" xfId="56" applyFont="1" applyFill="1" applyBorder="1" applyAlignment="1" applyProtection="1">
      <alignment horizontal="center" vertical="center"/>
    </xf>
    <xf numFmtId="15" fontId="24" fillId="25" borderId="38" xfId="56" applyNumberFormat="1" applyFont="1" applyFill="1" applyBorder="1" applyAlignment="1" applyProtection="1">
      <alignment horizontal="center" vertical="center"/>
    </xf>
    <xf numFmtId="164" fontId="88" fillId="0" borderId="0" xfId="0" applyNumberFormat="1" applyFont="1" applyAlignment="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49" fontId="0" fillId="0" borderId="0" xfId="0" applyNumberFormat="1" applyProtection="1"/>
    <xf numFmtId="3" fontId="0" fillId="25"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3" fontId="21" fillId="20" borderId="0" xfId="0" applyNumberFormat="1" applyFont="1" applyFill="1"/>
    <xf numFmtId="4" fontId="0" fillId="0" borderId="0" xfId="0" applyNumberFormat="1" applyFill="1" applyBorder="1" applyProtection="1">
      <protection locked="0"/>
    </xf>
    <xf numFmtId="4" fontId="0" fillId="0" borderId="0" xfId="0" applyNumberFormat="1" applyProtection="1"/>
    <xf numFmtId="167" fontId="32" fillId="19" borderId="59" xfId="0" applyNumberFormat="1" applyFont="1" applyFill="1" applyBorder="1" applyAlignment="1" applyProtection="1">
      <alignment horizontal="center"/>
      <protection locked="0"/>
    </xf>
    <xf numFmtId="167" fontId="32" fillId="19" borderId="60" xfId="0" applyNumberFormat="1" applyFont="1" applyFill="1" applyBorder="1" applyAlignment="1" applyProtection="1">
      <alignment horizontal="center"/>
      <protection locked="0"/>
    </xf>
    <xf numFmtId="167" fontId="32" fillId="19" borderId="61" xfId="0" applyNumberFormat="1" applyFont="1" applyFill="1" applyBorder="1" applyAlignment="1" applyProtection="1">
      <alignment horizontal="center"/>
      <protection locked="0"/>
    </xf>
    <xf numFmtId="167" fontId="32" fillId="19" borderId="62" xfId="0" applyNumberFormat="1" applyFont="1" applyFill="1" applyBorder="1" applyAlignment="1" applyProtection="1">
      <alignment horizontal="center"/>
      <protection locked="0"/>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3" fontId="28" fillId="26" borderId="59" xfId="0" applyNumberFormat="1" applyFont="1" applyFill="1" applyBorder="1" applyAlignment="1" applyProtection="1">
      <protection locked="0"/>
    </xf>
    <xf numFmtId="3" fontId="28" fillId="26" borderId="64"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58" xfId="0" applyNumberFormat="1" applyFont="1" applyFill="1" applyBorder="1" applyAlignment="1" applyProtection="1"/>
    <xf numFmtId="167" fontId="14" fillId="19" borderId="65" xfId="0" applyNumberFormat="1" applyFont="1" applyFill="1" applyBorder="1" applyAlignment="1" applyProtection="1">
      <alignment horizontal="center"/>
      <protection locked="0"/>
    </xf>
    <xf numFmtId="0" fontId="0" fillId="26" borderId="10" xfId="0" applyFill="1" applyBorder="1" applyProtection="1"/>
    <xf numFmtId="0" fontId="0" fillId="25" borderId="10" xfId="0" applyFill="1" applyBorder="1" applyProtection="1"/>
    <xf numFmtId="3" fontId="1" fillId="26" borderId="66" xfId="62" applyNumberFormat="1" applyFont="1" applyFill="1" applyBorder="1" applyAlignment="1" applyProtection="1">
      <protection locked="0"/>
    </xf>
    <xf numFmtId="3" fontId="1" fillId="26" borderId="66" xfId="62" applyNumberFormat="1" applyFont="1" applyFill="1" applyBorder="1" applyProtection="1">
      <protection locked="0"/>
    </xf>
    <xf numFmtId="49" fontId="26" fillId="0" borderId="67" xfId="0" applyNumberFormat="1" applyFont="1" applyFill="1" applyBorder="1" applyAlignment="1" applyProtection="1">
      <alignment wrapText="1"/>
      <protection locked="0"/>
    </xf>
    <xf numFmtId="3" fontId="1" fillId="26" borderId="68" xfId="62" applyNumberFormat="1" applyFont="1" applyFill="1" applyBorder="1" applyProtection="1">
      <protection locked="0"/>
    </xf>
    <xf numFmtId="49" fontId="26" fillId="0" borderId="67" xfId="0" applyNumberFormat="1" applyFont="1" applyFill="1" applyBorder="1" applyAlignment="1" applyProtection="1">
      <protection locked="0"/>
    </xf>
    <xf numFmtId="0" fontId="0" fillId="0" borderId="69" xfId="0" applyBorder="1" applyAlignment="1" applyProtection="1"/>
    <xf numFmtId="3" fontId="0" fillId="0" borderId="70" xfId="0" applyNumberFormat="1" applyBorder="1" applyProtection="1"/>
    <xf numFmtId="3" fontId="0" fillId="0" borderId="71" xfId="0" applyNumberFormat="1" applyBorder="1" applyProtection="1"/>
    <xf numFmtId="0" fontId="0" fillId="0" borderId="72" xfId="0" applyNumberFormat="1" applyFill="1" applyBorder="1"/>
    <xf numFmtId="49" fontId="82" fillId="0" borderId="10" xfId="0" applyNumberFormat="1" applyFont="1" applyBorder="1" applyAlignment="1" applyProtection="1">
      <alignment horizontal="center"/>
      <protection locked="0"/>
    </xf>
    <xf numFmtId="0" fontId="68" fillId="0" borderId="10" xfId="0" applyFont="1" applyBorder="1" applyAlignment="1" applyProtection="1">
      <alignment horizontal="center"/>
    </xf>
    <xf numFmtId="0" fontId="75" fillId="0" borderId="74" xfId="0" applyFont="1" applyFill="1" applyBorder="1" applyAlignment="1" applyProtection="1">
      <alignment horizontal="center" vertical="center" wrapText="1"/>
    </xf>
    <xf numFmtId="0" fontId="75" fillId="0" borderId="75" xfId="0" applyFont="1" applyFill="1" applyBorder="1" applyAlignment="1" applyProtection="1">
      <alignment horizontal="center"/>
    </xf>
    <xf numFmtId="0" fontId="75" fillId="0" borderId="76" xfId="0" applyFont="1" applyFill="1" applyBorder="1" applyAlignment="1" applyProtection="1">
      <alignment horizontal="center"/>
    </xf>
    <xf numFmtId="0" fontId="75" fillId="0" borderId="77" xfId="0" applyNumberFormat="1" applyFont="1" applyFill="1" applyBorder="1" applyAlignment="1" applyProtection="1">
      <alignment horizontal="center"/>
    </xf>
    <xf numFmtId="0" fontId="75" fillId="0" borderId="78" xfId="0" applyNumberFormat="1" applyFont="1" applyFill="1" applyBorder="1" applyAlignment="1" applyProtection="1">
      <alignment horizontal="center"/>
    </xf>
    <xf numFmtId="0" fontId="75" fillId="0" borderId="78" xfId="0" applyNumberFormat="1" applyFont="1" applyFill="1" applyBorder="1" applyAlignment="1" applyProtection="1">
      <alignment horizontal="center" vertical="center"/>
    </xf>
    <xf numFmtId="0" fontId="75" fillId="0" borderId="79" xfId="0" applyNumberFormat="1" applyFont="1" applyFill="1" applyBorder="1" applyAlignment="1" applyProtection="1">
      <alignment horizontal="center" vertical="center"/>
    </xf>
    <xf numFmtId="0" fontId="79" fillId="0" borderId="80" xfId="0" applyNumberFormat="1" applyFont="1" applyFill="1" applyBorder="1" applyAlignment="1" applyProtection="1">
      <alignment horizontal="center" vertical="center"/>
    </xf>
    <xf numFmtId="0" fontId="79" fillId="0" borderId="81" xfId="0" applyNumberFormat="1" applyFont="1" applyFill="1" applyBorder="1" applyAlignment="1" applyProtection="1">
      <alignment horizontal="center" vertical="center"/>
    </xf>
    <xf numFmtId="0" fontId="79" fillId="0" borderId="82" xfId="0" applyNumberFormat="1" applyFont="1" applyFill="1" applyBorder="1" applyAlignment="1" applyProtection="1">
      <alignment horizontal="center" vertical="center"/>
    </xf>
    <xf numFmtId="0" fontId="0" fillId="0" borderId="19" xfId="0" applyBorder="1" applyAlignment="1" applyProtection="1">
      <alignment horizontal="center"/>
    </xf>
    <xf numFmtId="0" fontId="0" fillId="0" borderId="10" xfId="0" applyNumberFormat="1" applyBorder="1"/>
    <xf numFmtId="0" fontId="0" fillId="0" borderId="10" xfId="0" applyNumberFormat="1" applyBorder="1" applyAlignment="1">
      <alignment horizontal="center"/>
    </xf>
    <xf numFmtId="0" fontId="14" fillId="0" borderId="19" xfId="0" applyFont="1" applyBorder="1" applyAlignment="1" applyProtection="1">
      <alignment horizontal="center" vertical="center" wrapText="1"/>
    </xf>
    <xf numFmtId="0" fontId="14" fillId="0" borderId="24" xfId="0" applyFont="1" applyBorder="1" applyAlignment="1" applyProtection="1">
      <alignment horizontal="center" vertical="center"/>
    </xf>
    <xf numFmtId="0" fontId="75" fillId="0" borderId="83" xfId="0" applyFont="1" applyFill="1" applyBorder="1" applyAlignment="1" applyProtection="1">
      <alignment horizontal="center" vertical="center" wrapText="1"/>
    </xf>
    <xf numFmtId="3" fontId="24" fillId="25" borderId="38" xfId="56" applyNumberFormat="1" applyFont="1" applyFill="1" applyBorder="1" applyAlignment="1" applyProtection="1">
      <alignment horizontal="center" wrapText="1"/>
    </xf>
    <xf numFmtId="14" fontId="24" fillId="25" borderId="38" xfId="56" applyNumberFormat="1" applyFont="1" applyFill="1" applyBorder="1" applyAlignment="1" applyProtection="1">
      <alignment horizontal="center" vertical="center" wrapText="1"/>
    </xf>
    <xf numFmtId="174" fontId="24" fillId="25" borderId="38" xfId="56" applyNumberFormat="1" applyFont="1" applyFill="1" applyBorder="1" applyAlignment="1" applyProtection="1">
      <alignment horizontal="center" wrapText="1"/>
    </xf>
    <xf numFmtId="164" fontId="1" fillId="0" borderId="38" xfId="56" applyFont="1" applyBorder="1" applyAlignment="1" applyProtection="1">
      <alignment horizontal="right" vertical="center"/>
    </xf>
    <xf numFmtId="164" fontId="1" fillId="0" borderId="38" xfId="56" applyFont="1" applyBorder="1" applyAlignment="1" applyProtection="1">
      <alignment horizontal="right" vertical="center" wrapText="1"/>
    </xf>
    <xf numFmtId="164" fontId="28" fillId="0" borderId="0" xfId="0" applyNumberFormat="1" applyFont="1" applyAlignment="1" applyProtection="1">
      <alignment horizontal="right" wrapText="1"/>
    </xf>
    <xf numFmtId="49" fontId="25" fillId="0" borderId="84" xfId="0" applyNumberFormat="1" applyFont="1" applyFill="1" applyBorder="1" applyAlignment="1" applyProtection="1">
      <alignment vertical="center" wrapText="1"/>
    </xf>
    <xf numFmtId="0" fontId="0" fillId="0" borderId="0" xfId="0" applyAlignment="1">
      <alignment vertical="center" wrapText="1"/>
    </xf>
    <xf numFmtId="164" fontId="28" fillId="0" borderId="0" xfId="0" applyNumberFormat="1" applyFont="1" applyAlignment="1">
      <alignment horizontal="right" vertical="center" wrapText="1"/>
    </xf>
    <xf numFmtId="0" fontId="33" fillId="0" borderId="0" xfId="0" applyFont="1" applyAlignment="1"/>
    <xf numFmtId="0" fontId="30" fillId="0" borderId="0" xfId="0" applyFont="1" applyFill="1" applyBorder="1" applyAlignment="1" applyProtection="1">
      <alignment horizontal="left" wrapText="1"/>
      <protection locked="0"/>
    </xf>
    <xf numFmtId="164" fontId="1" fillId="0" borderId="38" xfId="56" applyFont="1" applyBorder="1" applyAlignment="1" applyProtection="1">
      <alignment horizontal="right" wrapText="1"/>
    </xf>
    <xf numFmtId="164" fontId="28" fillId="0" borderId="38" xfId="56" applyFont="1" applyBorder="1" applyAlignment="1" applyProtection="1">
      <alignment horizontal="center"/>
    </xf>
    <xf numFmtId="164" fontId="34" fillId="0" borderId="0" xfId="0" applyNumberFormat="1" applyFont="1" applyAlignment="1" applyProtection="1">
      <alignment horizontal="center" wrapText="1"/>
    </xf>
    <xf numFmtId="164" fontId="113" fillId="0" borderId="0" xfId="0" applyNumberFormat="1" applyFont="1" applyAlignment="1" applyProtection="1">
      <alignment horizontal="right"/>
    </xf>
    <xf numFmtId="164" fontId="113" fillId="0" borderId="0" xfId="0" applyNumberFormat="1" applyFont="1" applyAlignment="1">
      <alignment horizontal="right"/>
    </xf>
    <xf numFmtId="164" fontId="34" fillId="0" borderId="0" xfId="0" applyNumberFormat="1" applyFont="1" applyAlignment="1">
      <alignment horizontal="left" vertical="center" wrapText="1"/>
    </xf>
    <xf numFmtId="164" fontId="34" fillId="0" borderId="0" xfId="0" applyNumberFormat="1" applyFont="1" applyAlignment="1" applyProtection="1">
      <alignment horizontal="left" wrapText="1"/>
    </xf>
    <xf numFmtId="0" fontId="0" fillId="0" borderId="87" xfId="0" applyBorder="1"/>
    <xf numFmtId="0" fontId="0" fillId="0" borderId="0" xfId="0" applyAlignment="1">
      <alignment horizontal="center"/>
    </xf>
    <xf numFmtId="0" fontId="0" fillId="0" borderId="21" xfId="0" applyFill="1" applyBorder="1" applyAlignment="1" applyProtection="1">
      <alignment horizontal="center"/>
    </xf>
    <xf numFmtId="0" fontId="0" fillId="20" borderId="0" xfId="0" applyFill="1"/>
    <xf numFmtId="3" fontId="2" fillId="28"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2" fillId="28" borderId="10" xfId="0" applyNumberFormat="1" applyFont="1" applyFill="1" applyBorder="1" applyAlignment="1" applyProtection="1">
      <alignment horizontal="right" vertical="center"/>
      <protection locked="0"/>
    </xf>
    <xf numFmtId="0" fontId="79" fillId="0" borderId="93" xfId="0" applyNumberFormat="1" applyFont="1" applyFill="1" applyBorder="1" applyAlignment="1" applyProtection="1">
      <alignment horizontal="center" vertical="center"/>
    </xf>
    <xf numFmtId="0" fontId="35" fillId="0" borderId="10" xfId="0" applyFont="1" applyBorder="1" applyAlignment="1" applyProtection="1">
      <alignment horizontal="center" vertical="center" wrapText="1"/>
    </xf>
    <xf numFmtId="3" fontId="118" fillId="0" borderId="41" xfId="0" applyNumberFormat="1" applyFont="1" applyFill="1" applyBorder="1" applyAlignment="1" applyProtection="1">
      <alignment horizontal="center" vertical="center" wrapText="1"/>
      <protection locked="0"/>
    </xf>
    <xf numFmtId="49" fontId="118" fillId="0" borderId="10" xfId="0" applyNumberFormat="1" applyFont="1" applyFill="1" applyBorder="1" applyAlignment="1" applyProtection="1">
      <alignment horizontal="center" vertical="center"/>
      <protection locked="0"/>
    </xf>
    <xf numFmtId="3" fontId="118" fillId="35" borderId="41" xfId="0" applyNumberFormat="1" applyFont="1" applyFill="1" applyBorder="1" applyAlignment="1" applyProtection="1">
      <alignment horizontal="center" vertical="center" wrapText="1"/>
      <protection locked="0"/>
    </xf>
    <xf numFmtId="49" fontId="118" fillId="35" borderId="41" xfId="0" applyNumberFormat="1" applyFont="1" applyFill="1" applyBorder="1" applyAlignment="1" applyProtection="1">
      <alignment horizontal="center" vertical="center" wrapText="1"/>
      <protection locked="0"/>
    </xf>
    <xf numFmtId="49" fontId="118" fillId="35" borderId="10" xfId="0" applyNumberFormat="1" applyFont="1" applyFill="1" applyBorder="1" applyAlignment="1" applyProtection="1">
      <alignment horizontal="center" vertical="center" wrapText="1"/>
      <protection locked="0"/>
    </xf>
    <xf numFmtId="49" fontId="118" fillId="35" borderId="10" xfId="0" applyNumberFormat="1" applyFont="1" applyFill="1" applyBorder="1" applyAlignment="1" applyProtection="1">
      <alignment horizontal="center" vertical="center"/>
      <protection locked="0"/>
    </xf>
    <xf numFmtId="9" fontId="121" fillId="27" borderId="10" xfId="61" applyFont="1" applyFill="1" applyBorder="1" applyAlignment="1" applyProtection="1">
      <alignment horizontal="center" vertical="center" wrapText="1"/>
    </xf>
    <xf numFmtId="14" fontId="0" fillId="0" borderId="10" xfId="56" applyNumberFormat="1" applyFont="1" applyFill="1" applyBorder="1" applyAlignment="1" applyProtection="1">
      <alignment horizontal="center"/>
      <protection locked="0"/>
    </xf>
    <xf numFmtId="15" fontId="26" fillId="0" borderId="88" xfId="0" applyNumberFormat="1" applyFont="1" applyFill="1" applyBorder="1" applyAlignment="1" applyProtection="1">
      <alignment horizontal="center"/>
    </xf>
    <xf numFmtId="0" fontId="0" fillId="0" borderId="0" xfId="0" applyFill="1" applyProtection="1"/>
    <xf numFmtId="49" fontId="103" fillId="0" borderId="67" xfId="0" applyNumberFormat="1" applyFont="1" applyFill="1" applyBorder="1" applyAlignment="1" applyProtection="1">
      <alignment wrapText="1"/>
      <protection locked="0"/>
    </xf>
    <xf numFmtId="49" fontId="103" fillId="0" borderId="67" xfId="0" applyNumberFormat="1" applyFont="1" applyFill="1" applyBorder="1" applyAlignment="1" applyProtection="1">
      <protection locked="0"/>
    </xf>
    <xf numFmtId="0" fontId="34" fillId="0" borderId="69" xfId="0" applyFont="1" applyBorder="1" applyAlignment="1" applyProtection="1"/>
    <xf numFmtId="0" fontId="34" fillId="0" borderId="0" xfId="0" applyFont="1"/>
    <xf numFmtId="0" fontId="0" fillId="0" borderId="0" xfId="0" applyAlignment="1">
      <alignment wrapText="1"/>
    </xf>
    <xf numFmtId="0" fontId="34" fillId="0" borderId="10" xfId="0" applyFont="1" applyBorder="1" applyAlignment="1">
      <alignment wrapText="1"/>
    </xf>
    <xf numFmtId="0" fontId="34" fillId="0" borderId="10" xfId="0" applyFont="1" applyBorder="1"/>
    <xf numFmtId="0" fontId="34" fillId="0" borderId="90" xfId="0" applyFont="1" applyBorder="1" applyAlignment="1">
      <alignment wrapText="1"/>
    </xf>
    <xf numFmtId="0" fontId="34" fillId="0" borderId="90" xfId="0" applyFont="1" applyBorder="1"/>
    <xf numFmtId="0" fontId="34" fillId="0" borderId="37" xfId="0" applyFont="1" applyBorder="1" applyAlignment="1">
      <alignment wrapText="1"/>
    </xf>
    <xf numFmtId="0" fontId="0" fillId="0" borderId="50" xfId="0" applyBorder="1"/>
    <xf numFmtId="0" fontId="34" fillId="0" borderId="48" xfId="0" applyFont="1" applyBorder="1" applyAlignment="1">
      <alignment wrapText="1"/>
    </xf>
    <xf numFmtId="0" fontId="34" fillId="0" borderId="49" xfId="0" applyFont="1" applyBorder="1"/>
    <xf numFmtId="0" fontId="128" fillId="0" borderId="51" xfId="0" applyFont="1" applyBorder="1"/>
    <xf numFmtId="0" fontId="128" fillId="0" borderId="57" xfId="0" applyFont="1" applyBorder="1"/>
    <xf numFmtId="0" fontId="128" fillId="0" borderId="52" xfId="0" applyFont="1" applyBorder="1"/>
    <xf numFmtId="0" fontId="0" fillId="0" borderId="231" xfId="0" applyBorder="1"/>
    <xf numFmtId="3" fontId="0" fillId="0" borderId="0" xfId="0" applyNumberFormat="1"/>
    <xf numFmtId="3" fontId="28" fillId="26" borderId="10" xfId="62" applyNumberFormat="1" applyFont="1" applyFill="1" applyBorder="1" applyAlignment="1" applyProtection="1">
      <protection locked="0"/>
    </xf>
    <xf numFmtId="3" fontId="28" fillId="26" borderId="10" xfId="62" applyNumberFormat="1" applyFont="1" applyFill="1" applyBorder="1" applyProtection="1">
      <protection locked="0"/>
    </xf>
    <xf numFmtId="0" fontId="28" fillId="0" borderId="10" xfId="0" applyFont="1" applyBorder="1"/>
    <xf numFmtId="3" fontId="28" fillId="0" borderId="10" xfId="0" applyNumberFormat="1" applyFont="1" applyBorder="1"/>
    <xf numFmtId="49" fontId="127" fillId="0" borderId="10" xfId="0" applyNumberFormat="1" applyFont="1" applyFill="1" applyBorder="1" applyAlignment="1" applyProtection="1">
      <alignment wrapText="1"/>
      <protection locked="0"/>
    </xf>
    <xf numFmtId="49" fontId="127" fillId="0" borderId="10" xfId="0" applyNumberFormat="1" applyFont="1" applyFill="1" applyBorder="1" applyAlignment="1" applyProtection="1">
      <protection locked="0"/>
    </xf>
    <xf numFmtId="0" fontId="122" fillId="0" borderId="10" xfId="0" applyFont="1" applyBorder="1" applyAlignment="1" applyProtection="1"/>
    <xf numFmtId="3" fontId="122" fillId="0" borderId="10" xfId="0" applyNumberFormat="1" applyFont="1" applyBorder="1" applyProtection="1"/>
    <xf numFmtId="0" fontId="122" fillId="0" borderId="10" xfId="0" applyFont="1" applyBorder="1"/>
    <xf numFmtId="2" fontId="0" fillId="0" borderId="0" xfId="0" applyNumberFormat="1"/>
    <xf numFmtId="3" fontId="0" fillId="0" borderId="0" xfId="0" quotePrefix="1" applyNumberFormat="1" applyProtection="1"/>
    <xf numFmtId="0" fontId="25" fillId="0" borderId="126" xfId="0" applyFont="1" applyBorder="1" applyAlignment="1" applyProtection="1">
      <alignment vertical="distributed"/>
    </xf>
    <xf numFmtId="15" fontId="27" fillId="0" borderId="232" xfId="0" applyNumberFormat="1" applyFont="1" applyFill="1" applyBorder="1" applyAlignment="1" applyProtection="1">
      <alignment horizontal="center" vertical="center" wrapText="1"/>
    </xf>
    <xf numFmtId="15" fontId="27" fillId="0" borderId="233" xfId="0" applyNumberFormat="1" applyFont="1" applyFill="1" applyBorder="1" applyAlignment="1" applyProtection="1">
      <alignment horizontal="center" vertical="center" wrapText="1"/>
    </xf>
    <xf numFmtId="0" fontId="6" fillId="0" borderId="48" xfId="0" applyFont="1" applyBorder="1" applyAlignment="1" applyProtection="1"/>
    <xf numFmtId="0" fontId="6" fillId="0" borderId="51" xfId="0" applyFont="1" applyBorder="1" applyAlignment="1" applyProtection="1"/>
    <xf numFmtId="3" fontId="6" fillId="0" borderId="49" xfId="62" applyNumberFormat="1" applyFont="1" applyFill="1" applyBorder="1" applyAlignment="1" applyProtection="1"/>
    <xf numFmtId="3" fontId="6" fillId="0" borderId="52" xfId="62" applyNumberFormat="1" applyFont="1" applyFill="1" applyBorder="1" applyAlignment="1" applyProtection="1"/>
    <xf numFmtId="0" fontId="0" fillId="0" borderId="37" xfId="0" applyFill="1" applyBorder="1" applyProtection="1"/>
    <xf numFmtId="0" fontId="0" fillId="0" borderId="63" xfId="0" applyFill="1" applyBorder="1" applyAlignment="1" applyProtection="1">
      <alignment horizontal="center"/>
    </xf>
    <xf numFmtId="0" fontId="0" fillId="0" borderId="53" xfId="0" applyFill="1" applyBorder="1" applyAlignment="1" applyProtection="1">
      <alignment horizontal="center"/>
    </xf>
    <xf numFmtId="3" fontId="2" fillId="23" borderId="10" xfId="0" applyNumberFormat="1" applyFont="1" applyFill="1" applyBorder="1" applyAlignment="1" applyProtection="1">
      <alignment vertical="center" wrapText="1"/>
      <protection locked="0"/>
    </xf>
    <xf numFmtId="49" fontId="0" fillId="0" borderId="10" xfId="0" applyNumberFormat="1" applyFill="1" applyBorder="1" applyProtection="1">
      <protection locked="0"/>
    </xf>
    <xf numFmtId="49" fontId="126" fillId="0" borderId="10" xfId="0" applyNumberFormat="1" applyFont="1" applyFill="1" applyBorder="1" applyProtection="1">
      <protection locked="0"/>
    </xf>
    <xf numFmtId="4" fontId="28" fillId="26" borderId="59" xfId="0" applyNumberFormat="1" applyFont="1" applyFill="1" applyBorder="1" applyAlignment="1" applyProtection="1">
      <protection locked="0"/>
    </xf>
    <xf numFmtId="4" fontId="1" fillId="37" borderId="66" xfId="62" applyNumberFormat="1" applyFont="1" applyFill="1" applyBorder="1" applyAlignment="1" applyProtection="1">
      <protection locked="0"/>
    </xf>
    <xf numFmtId="4" fontId="1" fillId="37" borderId="66" xfId="62" applyNumberFormat="1" applyFont="1" applyFill="1" applyBorder="1" applyProtection="1">
      <protection locked="0"/>
    </xf>
    <xf numFmtId="15" fontId="26" fillId="0" borderId="53" xfId="0" applyNumberFormat="1" applyFont="1" applyFill="1" applyBorder="1" applyAlignment="1" applyProtection="1"/>
    <xf numFmtId="15" fontId="26" fillId="0" borderId="212" xfId="0" applyNumberFormat="1" applyFont="1" applyFill="1" applyBorder="1" applyAlignment="1" applyProtection="1">
      <alignment horizontal="center"/>
    </xf>
    <xf numFmtId="0" fontId="26" fillId="0" borderId="48" xfId="0" applyFont="1" applyFill="1" applyBorder="1" applyProtection="1"/>
    <xf numFmtId="0" fontId="26" fillId="0" borderId="51" xfId="0" applyFont="1" applyFill="1" applyBorder="1" applyProtection="1"/>
    <xf numFmtId="0" fontId="0" fillId="0" borderId="57" xfId="0" applyBorder="1"/>
    <xf numFmtId="15" fontId="27" fillId="0" borderId="105" xfId="0" applyNumberFormat="1" applyFont="1" applyFill="1" applyBorder="1" applyAlignment="1" applyProtection="1">
      <alignment horizontal="center" vertical="center" wrapText="1"/>
    </xf>
    <xf numFmtId="3" fontId="0" fillId="26" borderId="68" xfId="62" applyNumberFormat="1" applyFont="1" applyFill="1" applyBorder="1" applyProtection="1">
      <protection locked="0"/>
    </xf>
    <xf numFmtId="49" fontId="130" fillId="38" borderId="41" xfId="0" applyNumberFormat="1" applyFont="1" applyFill="1" applyBorder="1" applyAlignment="1" applyProtection="1">
      <alignment horizontal="center" vertical="center" wrapText="1"/>
    </xf>
    <xf numFmtId="3" fontId="131" fillId="0" borderId="10" xfId="0" applyNumberFormat="1" applyFont="1" applyFill="1" applyBorder="1" applyAlignment="1" applyProtection="1"/>
    <xf numFmtId="3" fontId="131" fillId="0" borderId="58" xfId="0" applyNumberFormat="1" applyFont="1" applyFill="1" applyBorder="1" applyAlignment="1" applyProtection="1"/>
    <xf numFmtId="3" fontId="131" fillId="26" borderId="59" xfId="0" applyNumberFormat="1" applyFont="1" applyFill="1" applyBorder="1" applyAlignment="1" applyProtection="1">
      <protection locked="0"/>
    </xf>
    <xf numFmtId="4" fontId="131" fillId="26" borderId="59" xfId="0" applyNumberFormat="1" applyFont="1" applyFill="1" applyBorder="1" applyAlignment="1" applyProtection="1">
      <protection locked="0"/>
    </xf>
    <xf numFmtId="164" fontId="28" fillId="26" borderId="59" xfId="62" applyFont="1" applyFill="1" applyBorder="1" applyAlignment="1" applyProtection="1">
      <protection locked="0"/>
    </xf>
    <xf numFmtId="164" fontId="28" fillId="0" borderId="10" xfId="62" applyFont="1" applyFill="1" applyBorder="1" applyAlignment="1" applyProtection="1"/>
    <xf numFmtId="164" fontId="28" fillId="0" borderId="58" xfId="62" applyFont="1" applyFill="1" applyBorder="1" applyAlignment="1" applyProtection="1"/>
    <xf numFmtId="9" fontId="118" fillId="0" borderId="41" xfId="0" applyNumberFormat="1" applyFont="1" applyFill="1" applyBorder="1" applyAlignment="1" applyProtection="1">
      <alignment horizontal="center" vertical="center" wrapText="1"/>
      <protection locked="0"/>
    </xf>
    <xf numFmtId="49" fontId="26" fillId="0" borderId="67" xfId="0" applyNumberFormat="1" applyFont="1" applyFill="1" applyBorder="1" applyAlignment="1" applyProtection="1">
      <alignment horizontal="left" wrapText="1"/>
      <protection locked="0"/>
    </xf>
    <xf numFmtId="49" fontId="26" fillId="0" borderId="67" xfId="0" applyNumberFormat="1" applyFont="1" applyFill="1" applyBorder="1" applyAlignment="1" applyProtection="1">
      <alignment vertical="top" wrapText="1"/>
      <protection locked="0"/>
    </xf>
    <xf numFmtId="3" fontId="21" fillId="26" borderId="10" xfId="62" applyNumberFormat="1" applyFont="1" applyFill="1" applyBorder="1" applyAlignment="1" applyProtection="1">
      <protection locked="0"/>
    </xf>
    <xf numFmtId="1" fontId="0" fillId="26" borderId="10" xfId="0" applyNumberFormat="1" applyFill="1" applyBorder="1" applyAlignment="1" applyProtection="1">
      <alignment horizontal="center"/>
      <protection locked="0"/>
    </xf>
    <xf numFmtId="1" fontId="0" fillId="26" borderId="58" xfId="0" applyNumberFormat="1" applyFill="1" applyBorder="1" applyAlignment="1" applyProtection="1">
      <alignment horizontal="center"/>
      <protection locked="0"/>
    </xf>
    <xf numFmtId="164" fontId="132" fillId="0" borderId="25" xfId="59" applyFont="1" applyFill="1" applyBorder="1" applyAlignment="1" applyProtection="1">
      <alignment vertical="center"/>
    </xf>
    <xf numFmtId="164" fontId="133" fillId="0" borderId="25" xfId="59" applyFont="1" applyFill="1" applyBorder="1" applyAlignment="1" applyProtection="1">
      <alignment vertical="center"/>
    </xf>
    <xf numFmtId="0" fontId="133" fillId="0" borderId="25" xfId="0" applyFont="1" applyBorder="1" applyProtection="1"/>
    <xf numFmtId="0" fontId="133" fillId="0" borderId="25" xfId="0" applyFont="1" applyBorder="1"/>
    <xf numFmtId="0" fontId="133" fillId="22" borderId="92" xfId="0" applyFont="1" applyFill="1" applyBorder="1"/>
    <xf numFmtId="0" fontId="134" fillId="0" borderId="10" xfId="0" applyFont="1" applyFill="1" applyBorder="1" applyAlignment="1" applyProtection="1">
      <alignment horizontal="center"/>
    </xf>
    <xf numFmtId="3" fontId="134" fillId="22" borderId="10" xfId="0" applyNumberFormat="1" applyFont="1" applyFill="1" applyBorder="1" applyAlignment="1" applyProtection="1">
      <alignment vertical="center"/>
      <protection locked="0"/>
    </xf>
    <xf numFmtId="3" fontId="134" fillId="22" borderId="10" xfId="0" applyNumberFormat="1" applyFont="1" applyFill="1" applyBorder="1" applyAlignment="1" applyProtection="1">
      <alignment horizontal="right" vertical="center"/>
      <protection locked="0"/>
    </xf>
    <xf numFmtId="3" fontId="134" fillId="22" borderId="10" xfId="0" applyNumberFormat="1" applyFont="1" applyFill="1" applyBorder="1" applyAlignment="1" applyProtection="1">
      <alignment horizontal="right" vertical="center" wrapText="1"/>
      <protection locked="0"/>
    </xf>
    <xf numFmtId="3" fontId="134" fillId="22" borderId="26" xfId="0" applyNumberFormat="1" applyFont="1" applyFill="1" applyBorder="1" applyAlignment="1" applyProtection="1">
      <alignment vertical="center"/>
      <protection locked="0"/>
    </xf>
    <xf numFmtId="0" fontId="134" fillId="24" borderId="10" xfId="0" applyFont="1" applyFill="1" applyBorder="1" applyAlignment="1" applyProtection="1">
      <alignment horizontal="center"/>
    </xf>
    <xf numFmtId="3" fontId="134" fillId="28" borderId="10" xfId="0" applyNumberFormat="1" applyFont="1" applyFill="1" applyBorder="1" applyAlignment="1" applyProtection="1">
      <alignment vertical="center"/>
      <protection locked="0"/>
    </xf>
    <xf numFmtId="3" fontId="134" fillId="23" borderId="10" xfId="0" applyNumberFormat="1" applyFont="1" applyFill="1" applyBorder="1" applyAlignment="1" applyProtection="1">
      <alignment vertical="center"/>
      <protection locked="0"/>
    </xf>
    <xf numFmtId="3" fontId="134" fillId="23" borderId="10" xfId="0" applyNumberFormat="1" applyFont="1" applyFill="1" applyBorder="1" applyAlignment="1" applyProtection="1">
      <alignment horizontal="right" vertical="center"/>
      <protection locked="0"/>
    </xf>
    <xf numFmtId="3" fontId="134" fillId="23" borderId="10" xfId="0" applyNumberFormat="1" applyFont="1" applyFill="1" applyBorder="1" applyAlignment="1" applyProtection="1">
      <alignment horizontal="right" vertical="center" wrapText="1"/>
      <protection locked="0"/>
    </xf>
    <xf numFmtId="3" fontId="134" fillId="23" borderId="26" xfId="0" applyNumberFormat="1" applyFont="1" applyFill="1" applyBorder="1" applyAlignment="1" applyProtection="1">
      <alignment vertical="center"/>
      <protection locked="0"/>
    </xf>
    <xf numFmtId="1" fontId="134" fillId="22" borderId="10" xfId="0" applyNumberFormat="1" applyFont="1" applyFill="1" applyBorder="1" applyAlignment="1" applyProtection="1">
      <alignment vertical="center"/>
      <protection locked="0"/>
    </xf>
    <xf numFmtId="3" fontId="134" fillId="28" borderId="10" xfId="0" applyNumberFormat="1" applyFont="1" applyFill="1" applyBorder="1" applyAlignment="1" applyProtection="1">
      <alignment horizontal="right" vertical="center"/>
      <protection locked="0"/>
    </xf>
    <xf numFmtId="9" fontId="134" fillId="28" borderId="10" xfId="0" applyNumberFormat="1" applyFont="1" applyFill="1" applyBorder="1" applyAlignment="1" applyProtection="1">
      <alignment horizontal="right" vertical="center"/>
      <protection locked="0"/>
    </xf>
    <xf numFmtId="3" fontId="134" fillId="28" borderId="10" xfId="0" applyNumberFormat="1" applyFont="1" applyFill="1" applyBorder="1" applyAlignment="1" applyProtection="1">
      <alignment horizontal="right" vertical="center" wrapText="1"/>
      <protection locked="0"/>
    </xf>
    <xf numFmtId="3" fontId="134" fillId="28" borderId="26" xfId="0" applyNumberFormat="1" applyFont="1" applyFill="1" applyBorder="1" applyAlignment="1" applyProtection="1">
      <alignment vertical="center"/>
      <protection locked="0"/>
    </xf>
    <xf numFmtId="3" fontId="134" fillId="29" borderId="10" xfId="0" applyNumberFormat="1" applyFont="1" applyFill="1" applyBorder="1" applyAlignment="1" applyProtection="1">
      <alignment vertical="center"/>
      <protection locked="0"/>
    </xf>
    <xf numFmtId="3" fontId="134" fillId="29" borderId="10" xfId="0" applyNumberFormat="1" applyFont="1" applyFill="1" applyBorder="1" applyAlignment="1" applyProtection="1">
      <alignment horizontal="right" vertical="center"/>
      <protection locked="0"/>
    </xf>
    <xf numFmtId="3" fontId="134" fillId="29" borderId="10" xfId="0" applyNumberFormat="1" applyFont="1" applyFill="1" applyBorder="1" applyAlignment="1" applyProtection="1">
      <alignment horizontal="right" vertical="center" wrapText="1"/>
      <protection locked="0"/>
    </xf>
    <xf numFmtId="3" fontId="134" fillId="29" borderId="26" xfId="0" applyNumberFormat="1" applyFont="1" applyFill="1" applyBorder="1" applyAlignment="1" applyProtection="1">
      <alignment vertical="center"/>
      <protection locked="0"/>
    </xf>
    <xf numFmtId="3" fontId="134" fillId="28" borderId="26" xfId="0" applyNumberFormat="1" applyFont="1" applyFill="1" applyBorder="1" applyAlignment="1" applyProtection="1">
      <alignment horizontal="right" vertical="center"/>
      <protection locked="0"/>
    </xf>
    <xf numFmtId="9" fontId="134" fillId="29" borderId="10" xfId="0" applyNumberFormat="1" applyFont="1" applyFill="1" applyBorder="1" applyAlignment="1" applyProtection="1">
      <alignment horizontal="right" vertical="center"/>
      <protection locked="0"/>
    </xf>
    <xf numFmtId="3" fontId="134" fillId="0" borderId="10" xfId="0" applyNumberFormat="1" applyFont="1" applyFill="1" applyBorder="1" applyAlignment="1" applyProtection="1">
      <alignment vertical="center"/>
    </xf>
    <xf numFmtId="3" fontId="134" fillId="0" borderId="10" xfId="0" applyNumberFormat="1" applyFont="1" applyFill="1" applyBorder="1" applyAlignment="1" applyProtection="1">
      <alignment horizontal="right" vertical="center"/>
    </xf>
    <xf numFmtId="3" fontId="134" fillId="24" borderId="10" xfId="0" applyNumberFormat="1" applyFont="1" applyFill="1" applyBorder="1" applyAlignment="1" applyProtection="1">
      <alignment vertical="center"/>
    </xf>
    <xf numFmtId="3" fontId="134" fillId="24" borderId="10" xfId="0" applyNumberFormat="1" applyFont="1" applyFill="1" applyBorder="1" applyAlignment="1" applyProtection="1">
      <alignment horizontal="right" vertical="center"/>
    </xf>
    <xf numFmtId="0" fontId="134" fillId="0" borderId="87" xfId="0" applyFont="1" applyFill="1" applyBorder="1" applyAlignment="1" applyProtection="1">
      <alignment horizontal="center"/>
    </xf>
    <xf numFmtId="0" fontId="0" fillId="0" borderId="23" xfId="0" applyBorder="1" applyAlignment="1" applyProtection="1">
      <alignment horizontal="center" vertical="center"/>
    </xf>
    <xf numFmtId="0" fontId="0" fillId="25" borderId="10" xfId="0" applyNumberFormat="1" applyFill="1" applyBorder="1" applyAlignment="1" applyProtection="1">
      <alignment horizontal="center"/>
      <protection locked="0"/>
    </xf>
    <xf numFmtId="0" fontId="0" fillId="25" borderId="57" xfId="0" applyNumberFormat="1" applyFill="1" applyBorder="1" applyAlignment="1" applyProtection="1">
      <alignment horizontal="center"/>
      <protection locked="0"/>
    </xf>
    <xf numFmtId="15" fontId="122" fillId="0" borderId="0" xfId="0" applyNumberFormat="1" applyFont="1" applyAlignment="1" applyProtection="1">
      <alignment horizontal="center"/>
    </xf>
    <xf numFmtId="9" fontId="136" fillId="27" borderId="10" xfId="61" applyFont="1" applyFill="1" applyBorder="1" applyAlignment="1" applyProtection="1">
      <alignment horizontal="center" vertical="center" wrapText="1"/>
    </xf>
    <xf numFmtId="9" fontId="21" fillId="20" borderId="10" xfId="0" applyNumberFormat="1" applyFont="1" applyFill="1" applyBorder="1" applyAlignment="1" applyProtection="1">
      <alignment horizontal="left" vertical="center" wrapText="1"/>
    </xf>
    <xf numFmtId="3" fontId="21" fillId="20" borderId="10" xfId="0" applyNumberFormat="1" applyFont="1" applyFill="1" applyBorder="1" applyAlignment="1" applyProtection="1">
      <alignment vertical="center" wrapText="1"/>
    </xf>
    <xf numFmtId="9" fontId="15" fillId="20" borderId="0" xfId="61" applyFont="1" applyFill="1" applyBorder="1"/>
    <xf numFmtId="3" fontId="21" fillId="20" borderId="10" xfId="0" applyNumberFormat="1" applyFont="1" applyFill="1" applyBorder="1" applyAlignment="1" applyProtection="1">
      <alignment horizontal="left" vertical="center" wrapText="1"/>
    </xf>
    <xf numFmtId="4" fontId="0" fillId="0" borderId="70" xfId="0" applyNumberFormat="1" applyFill="1" applyBorder="1" applyProtection="1"/>
    <xf numFmtId="3" fontId="0" fillId="25" borderId="10" xfId="0" applyNumberFormat="1" applyFill="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xf>
    <xf numFmtId="9" fontId="2" fillId="28" borderId="10" xfId="0" applyNumberFormat="1" applyFont="1" applyFill="1" applyBorder="1" applyAlignment="1" applyProtection="1">
      <alignment horizontal="right" vertical="center"/>
      <protection locked="0"/>
    </xf>
    <xf numFmtId="164" fontId="137" fillId="0" borderId="25" xfId="59" applyFont="1" applyFill="1" applyBorder="1" applyAlignment="1" applyProtection="1"/>
    <xf numFmtId="0" fontId="0" fillId="0" borderId="37" xfId="0" applyBorder="1" applyProtection="1"/>
    <xf numFmtId="0" fontId="32" fillId="0" borderId="36" xfId="0" applyFont="1" applyBorder="1" applyAlignment="1" applyProtection="1">
      <alignment horizontal="center" vertical="center"/>
    </xf>
    <xf numFmtId="0" fontId="32" fillId="0" borderId="50" xfId="0" applyFont="1" applyBorder="1" applyAlignment="1" applyProtection="1">
      <alignment horizontal="center" vertical="center" wrapText="1"/>
    </xf>
    <xf numFmtId="0" fontId="14" fillId="0" borderId="48" xfId="0" applyFont="1" applyBorder="1" applyAlignment="1" applyProtection="1">
      <alignment horizontal="center"/>
    </xf>
    <xf numFmtId="1" fontId="0" fillId="0" borderId="49" xfId="0" applyNumberFormat="1" applyFill="1" applyBorder="1" applyAlignment="1" applyProtection="1">
      <alignment horizontal="center"/>
    </xf>
    <xf numFmtId="0" fontId="14" fillId="0" borderId="51" xfId="0" applyFont="1" applyBorder="1" applyAlignment="1" applyProtection="1">
      <alignment horizontal="center"/>
    </xf>
    <xf numFmtId="1" fontId="21" fillId="0" borderId="57" xfId="0" applyNumberFormat="1" applyFont="1" applyFill="1" applyBorder="1" applyAlignment="1" applyProtection="1">
      <alignment horizontal="center"/>
      <protection locked="0"/>
    </xf>
    <xf numFmtId="1" fontId="0" fillId="0" borderId="57" xfId="0" applyNumberFormat="1" applyFill="1" applyBorder="1" applyAlignment="1" applyProtection="1">
      <alignment horizontal="center"/>
      <protection locked="0"/>
    </xf>
    <xf numFmtId="1" fontId="0" fillId="0" borderId="52" xfId="0" applyNumberFormat="1" applyFill="1" applyBorder="1" applyAlignment="1" applyProtection="1">
      <alignment horizontal="center"/>
    </xf>
    <xf numFmtId="167" fontId="32" fillId="19" borderId="254" xfId="0" applyNumberFormat="1" applyFont="1" applyFill="1" applyBorder="1" applyAlignment="1" applyProtection="1">
      <alignment horizontal="center"/>
      <protection locked="0"/>
    </xf>
    <xf numFmtId="3" fontId="0" fillId="25"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0" fontId="0" fillId="0" borderId="51" xfId="0" applyFill="1" applyBorder="1" applyAlignment="1" applyProtection="1">
      <alignment horizontal="center" wrapText="1"/>
    </xf>
    <xf numFmtId="3" fontId="1" fillId="0" borderId="57" xfId="62" applyNumberFormat="1" applyFont="1" applyFill="1" applyBorder="1" applyAlignment="1" applyProtection="1">
      <alignment horizontal="center" vertical="center"/>
    </xf>
    <xf numFmtId="3" fontId="0" fillId="0" borderId="57" xfId="0" applyNumberFormat="1" applyBorder="1" applyAlignment="1" applyProtection="1">
      <alignment horizontal="right" wrapText="1"/>
    </xf>
    <xf numFmtId="3" fontId="0" fillId="0" borderId="52" xfId="0" applyNumberFormat="1" applyBorder="1" applyAlignment="1" applyProtection="1">
      <alignment horizontal="right" wrapText="1"/>
    </xf>
    <xf numFmtId="0" fontId="0" fillId="0" borderId="36" xfId="0" applyFill="1" applyBorder="1" applyAlignment="1" applyProtection="1">
      <alignment horizontal="center"/>
    </xf>
    <xf numFmtId="0" fontId="0" fillId="0" borderId="36" xfId="0" applyBorder="1" applyAlignment="1" applyProtection="1">
      <alignment horizontal="center"/>
    </xf>
    <xf numFmtId="0" fontId="0" fillId="0" borderId="36" xfId="0" applyBorder="1" applyAlignment="1" applyProtection="1">
      <alignment horizontal="center" wrapText="1"/>
    </xf>
    <xf numFmtId="0" fontId="0" fillId="0" borderId="50" xfId="0" applyBorder="1" applyAlignment="1" applyProtection="1">
      <alignment horizontal="center" wrapText="1"/>
    </xf>
    <xf numFmtId="0" fontId="0" fillId="0" borderId="48" xfId="0" applyBorder="1" applyAlignment="1" applyProtection="1">
      <alignment horizontal="center"/>
    </xf>
    <xf numFmtId="0" fontId="0" fillId="0" borderId="51" xfId="0" applyBorder="1" applyAlignment="1" applyProtection="1">
      <alignment horizontal="center"/>
    </xf>
    <xf numFmtId="0" fontId="0" fillId="25" borderId="52" xfId="0" applyNumberFormat="1" applyFill="1" applyBorder="1" applyAlignment="1" applyProtection="1">
      <alignment horizontal="center"/>
      <protection locked="0"/>
    </xf>
    <xf numFmtId="0" fontId="138" fillId="43" borderId="37" xfId="0" applyFont="1" applyFill="1" applyBorder="1" applyAlignment="1" applyProtection="1">
      <alignment horizontal="center"/>
    </xf>
    <xf numFmtId="0" fontId="138" fillId="0" borderId="36" xfId="0" applyFont="1" applyFill="1" applyBorder="1" applyAlignment="1" applyProtection="1">
      <alignment horizontal="center" wrapText="1"/>
    </xf>
    <xf numFmtId="0" fontId="122" fillId="0" borderId="36" xfId="0" applyFont="1" applyBorder="1" applyAlignment="1">
      <alignment horizontal="center" wrapText="1"/>
    </xf>
    <xf numFmtId="0" fontId="138" fillId="35" borderId="36" xfId="0" applyFont="1" applyFill="1" applyBorder="1" applyAlignment="1">
      <alignment horizontal="center" wrapText="1"/>
    </xf>
    <xf numFmtId="0" fontId="138" fillId="0" borderId="36" xfId="0" applyFont="1" applyBorder="1" applyAlignment="1">
      <alignment horizontal="center" wrapText="1"/>
    </xf>
    <xf numFmtId="0" fontId="138" fillId="0" borderId="50" xfId="0" applyFont="1" applyFill="1" applyBorder="1" applyAlignment="1" applyProtection="1">
      <alignment horizontal="center" wrapText="1"/>
    </xf>
    <xf numFmtId="0" fontId="30" fillId="22" borderId="103" xfId="0" applyFont="1" applyFill="1" applyBorder="1" applyAlignment="1" applyProtection="1">
      <alignment horizontal="left" vertical="top" wrapText="1"/>
      <protection locked="0"/>
    </xf>
    <xf numFmtId="0" fontId="30" fillId="22" borderId="103" xfId="0" applyFont="1" applyFill="1" applyBorder="1" applyAlignment="1" applyProtection="1">
      <alignment horizontal="left" vertical="top"/>
      <protection locked="0"/>
    </xf>
    <xf numFmtId="0" fontId="34" fillId="0" borderId="0" xfId="0" applyFont="1" applyFill="1" applyBorder="1" applyAlignment="1" applyProtection="1">
      <alignment horizontal="left" vertical="top" wrapText="1"/>
      <protection locked="0"/>
    </xf>
    <xf numFmtId="0" fontId="0" fillId="0" borderId="0" xfId="0" applyBorder="1" applyAlignment="1">
      <alignment horizontal="left" vertical="top"/>
    </xf>
    <xf numFmtId="0" fontId="98" fillId="22" borderId="257" xfId="0" applyFont="1" applyFill="1" applyBorder="1" applyAlignment="1" applyProtection="1">
      <alignment horizontal="right" vertical="top"/>
      <protection locked="0"/>
    </xf>
    <xf numFmtId="0" fontId="98" fillId="22" borderId="258" xfId="0" applyFont="1" applyFill="1" applyBorder="1" applyAlignment="1" applyProtection="1">
      <alignment horizontal="right" vertical="top"/>
      <protection locked="0"/>
    </xf>
    <xf numFmtId="49" fontId="0" fillId="0" borderId="87" xfId="0" applyNumberFormat="1" applyFill="1" applyBorder="1" applyProtection="1">
      <protection locked="0"/>
    </xf>
    <xf numFmtId="49" fontId="174" fillId="0" borderId="262" xfId="0" applyNumberFormat="1" applyFont="1" applyFill="1" applyBorder="1" applyAlignment="1" applyProtection="1">
      <alignment horizontal="left" vertical="center" wrapText="1"/>
      <protection locked="0"/>
    </xf>
    <xf numFmtId="3" fontId="0" fillId="0" borderId="10" xfId="0" applyNumberFormat="1" applyFont="1" applyBorder="1" applyAlignment="1" applyProtection="1">
      <alignment vertical="center" wrapText="1"/>
    </xf>
    <xf numFmtId="0" fontId="21" fillId="35" borderId="87" xfId="0" applyNumberFormat="1" applyFont="1" applyFill="1" applyBorder="1" applyAlignment="1" applyProtection="1">
      <alignment horizontal="center" vertical="center"/>
      <protection locked="0"/>
    </xf>
    <xf numFmtId="0" fontId="21" fillId="35" borderId="87" xfId="0" applyNumberFormat="1" applyFont="1" applyFill="1" applyBorder="1" applyAlignment="1" applyProtection="1">
      <alignment horizontal="center" vertical="center"/>
    </xf>
    <xf numFmtId="3" fontId="0" fillId="35" borderId="10" xfId="0" applyNumberFormat="1" applyFill="1" applyBorder="1" applyAlignment="1" applyProtection="1">
      <alignment horizontal="center" vertical="center"/>
      <protection locked="0"/>
    </xf>
    <xf numFmtId="3" fontId="0" fillId="35" borderId="10" xfId="0" applyNumberFormat="1" applyFill="1" applyBorder="1" applyAlignment="1" applyProtection="1">
      <alignment horizontal="center" vertical="center"/>
    </xf>
    <xf numFmtId="1" fontId="21" fillId="35" borderId="10" xfId="0" applyNumberFormat="1" applyFont="1" applyFill="1" applyBorder="1" applyAlignment="1" applyProtection="1">
      <alignment horizontal="center" vertical="center"/>
    </xf>
    <xf numFmtId="0" fontId="0" fillId="35" borderId="10" xfId="0" applyNumberFormat="1" applyFill="1" applyBorder="1" applyAlignment="1" applyProtection="1">
      <alignment horizontal="center" vertical="center"/>
      <protection locked="0"/>
    </xf>
    <xf numFmtId="1" fontId="0" fillId="35" borderId="49" xfId="0" applyNumberFormat="1" applyFill="1" applyBorder="1" applyAlignment="1" applyProtection="1">
      <alignment horizontal="center" vertical="center"/>
    </xf>
    <xf numFmtId="0" fontId="21" fillId="35" borderId="10" xfId="0" applyNumberFormat="1" applyFont="1" applyFill="1" applyBorder="1" applyAlignment="1" applyProtection="1">
      <alignment horizontal="center" vertical="center"/>
      <protection locked="0"/>
    </xf>
    <xf numFmtId="0" fontId="21" fillId="35" borderId="10" xfId="0" applyNumberFormat="1" applyFont="1" applyFill="1" applyBorder="1" applyAlignment="1" applyProtection="1">
      <alignment horizontal="center" vertical="center"/>
    </xf>
    <xf numFmtId="49" fontId="21" fillId="36" borderId="10" xfId="0" applyNumberFormat="1" applyFont="1" applyFill="1" applyBorder="1" applyProtection="1">
      <protection locked="0"/>
    </xf>
    <xf numFmtId="0" fontId="175" fillId="36" borderId="87" xfId="0" applyFont="1" applyFill="1" applyBorder="1" applyAlignment="1">
      <alignment horizontal="center" wrapText="1"/>
    </xf>
    <xf numFmtId="0" fontId="133" fillId="36" borderId="10" xfId="0" applyNumberFormat="1" applyFont="1" applyFill="1" applyBorder="1" applyAlignment="1" applyProtection="1">
      <alignment horizontal="center" vertical="center"/>
      <protection locked="0"/>
    </xf>
    <xf numFmtId="0" fontId="21" fillId="36" borderId="10" xfId="0" applyNumberFormat="1" applyFont="1" applyFill="1" applyBorder="1" applyAlignment="1" applyProtection="1">
      <alignment horizontal="center" vertical="center"/>
    </xf>
    <xf numFmtId="3" fontId="21" fillId="36" borderId="10" xfId="0" applyNumberFormat="1" applyFont="1" applyFill="1" applyBorder="1" applyAlignment="1" applyProtection="1">
      <alignment horizontal="center" vertical="center"/>
    </xf>
    <xf numFmtId="1" fontId="21" fillId="36" borderId="10" xfId="0" applyNumberFormat="1" applyFont="1" applyFill="1" applyBorder="1" applyAlignment="1" applyProtection="1">
      <alignment horizontal="center" vertical="center"/>
    </xf>
    <xf numFmtId="0" fontId="21" fillId="36" borderId="10" xfId="0" applyNumberFormat="1" applyFont="1" applyFill="1" applyBorder="1" applyAlignment="1" applyProtection="1">
      <alignment horizontal="center" vertical="center"/>
      <protection locked="0"/>
    </xf>
    <xf numFmtId="1" fontId="21" fillId="36" borderId="49" xfId="0" applyNumberFormat="1" applyFont="1" applyFill="1" applyBorder="1" applyAlignment="1" applyProtection="1">
      <alignment horizontal="center" vertical="center"/>
    </xf>
    <xf numFmtId="49" fontId="21" fillId="36" borderId="10" xfId="0" applyNumberFormat="1" applyFont="1" applyFill="1" applyBorder="1" applyAlignment="1" applyProtection="1">
      <alignment horizontal="left"/>
      <protection locked="0"/>
    </xf>
    <xf numFmtId="0" fontId="94" fillId="0" borderId="0" xfId="0" applyFont="1" applyProtection="1"/>
    <xf numFmtId="164" fontId="1" fillId="0" borderId="14" xfId="59" applyFont="1" applyFill="1" applyBorder="1" applyAlignment="1" applyProtection="1">
      <alignment vertical="center"/>
    </xf>
    <xf numFmtId="164" fontId="80" fillId="0" borderId="14" xfId="59" applyFont="1" applyFill="1" applyBorder="1" applyAlignment="1" applyProtection="1">
      <alignment horizontal="left" vertical="center"/>
    </xf>
    <xf numFmtId="164" fontId="21" fillId="0" borderId="14" xfId="59" applyFont="1" applyFill="1" applyBorder="1" applyAlignment="1" applyProtection="1">
      <alignment vertical="center"/>
    </xf>
    <xf numFmtId="164" fontId="21" fillId="26" borderId="89" xfId="59" applyFont="1" applyFill="1" applyBorder="1" applyAlignment="1" applyProtection="1">
      <alignment vertical="center"/>
    </xf>
    <xf numFmtId="164" fontId="1" fillId="0" borderId="0" xfId="59" applyFont="1" applyFill="1" applyBorder="1" applyAlignment="1" applyProtection="1">
      <alignment vertical="center"/>
    </xf>
    <xf numFmtId="0" fontId="25" fillId="0" borderId="85" xfId="0" applyNumberFormat="1" applyFont="1" applyFill="1" applyBorder="1" applyAlignment="1" applyProtection="1">
      <alignment horizontal="center" vertical="center" wrapText="1"/>
    </xf>
    <xf numFmtId="0" fontId="25" fillId="0" borderId="86"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164" fontId="80" fillId="0" borderId="18" xfId="59" applyFont="1" applyFill="1" applyBorder="1" applyAlignment="1" applyProtection="1">
      <alignment vertical="center"/>
    </xf>
    <xf numFmtId="164" fontId="21" fillId="0" borderId="18" xfId="59" applyFont="1" applyFill="1" applyBorder="1" applyAlignment="1" applyProtection="1">
      <alignment vertical="center"/>
    </xf>
    <xf numFmtId="164" fontId="21" fillId="0" borderId="18" xfId="59" applyFont="1" applyFill="1" applyBorder="1" applyAlignment="1" applyProtection="1">
      <alignment horizontal="center" vertical="center"/>
    </xf>
    <xf numFmtId="164" fontId="21" fillId="25" borderId="91" xfId="59" applyFont="1" applyFill="1" applyBorder="1" applyAlignment="1" applyProtection="1">
      <alignment horizontal="center" vertical="center"/>
    </xf>
    <xf numFmtId="0" fontId="1" fillId="0" borderId="0" xfId="0" applyFont="1" applyFill="1" applyBorder="1" applyAlignment="1" applyProtection="1">
      <alignment horizontal="center"/>
    </xf>
    <xf numFmtId="0" fontId="38" fillId="0" borderId="0" xfId="0" applyFont="1" applyFill="1" applyBorder="1" applyAlignment="1" applyProtection="1">
      <alignment horizontal="center" vertical="center"/>
    </xf>
    <xf numFmtId="15" fontId="1" fillId="0" borderId="0" xfId="0" applyNumberFormat="1" applyFont="1" applyFill="1" applyBorder="1" applyAlignment="1" applyProtection="1">
      <alignment horizontal="left"/>
    </xf>
    <xf numFmtId="9" fontId="1" fillId="0" borderId="0" xfId="61" applyFont="1" applyBorder="1" applyProtection="1"/>
    <xf numFmtId="164" fontId="1" fillId="0" borderId="0" xfId="62" applyFont="1" applyFill="1" applyBorder="1" applyProtection="1"/>
    <xf numFmtId="164" fontId="80" fillId="0" borderId="25" xfId="59" applyFont="1" applyFill="1" applyBorder="1" applyAlignment="1" applyProtection="1">
      <alignment vertical="center"/>
    </xf>
    <xf numFmtId="164" fontId="21" fillId="0" borderId="25" xfId="59" applyFont="1" applyFill="1" applyBorder="1" applyAlignment="1" applyProtection="1">
      <alignment vertical="center"/>
    </xf>
    <xf numFmtId="0" fontId="21" fillId="0" borderId="25" xfId="0" applyFont="1" applyBorder="1" applyProtection="1"/>
    <xf numFmtId="0" fontId="21" fillId="0" borderId="25" xfId="0" applyFont="1" applyBorder="1"/>
    <xf numFmtId="0" fontId="21" fillId="22" borderId="92" xfId="0" applyFont="1" applyFill="1" applyBorder="1"/>
    <xf numFmtId="0" fontId="2" fillId="0" borderId="10" xfId="0" applyFont="1" applyFill="1" applyBorder="1" applyAlignment="1" applyProtection="1">
      <alignment horizontal="center"/>
    </xf>
    <xf numFmtId="0" fontId="2" fillId="24" borderId="10" xfId="0" applyFont="1" applyFill="1" applyBorder="1" applyAlignment="1" applyProtection="1">
      <alignment horizontal="center"/>
    </xf>
    <xf numFmtId="3" fontId="2" fillId="0" borderId="10" xfId="0" applyNumberFormat="1" applyFont="1" applyFill="1" applyBorder="1" applyAlignment="1" applyProtection="1">
      <alignment vertical="center"/>
    </xf>
    <xf numFmtId="0" fontId="2" fillId="0" borderId="90" xfId="0" applyFont="1" applyFill="1" applyBorder="1" applyAlignment="1" applyProtection="1">
      <alignment horizontal="center"/>
    </xf>
    <xf numFmtId="3" fontId="2" fillId="24" borderId="10" xfId="0" applyNumberFormat="1" applyFont="1" applyFill="1" applyBorder="1" applyAlignment="1" applyProtection="1">
      <alignment vertical="center"/>
    </xf>
    <xf numFmtId="0" fontId="2" fillId="0" borderId="87" xfId="0" applyFont="1" applyFill="1" applyBorder="1" applyAlignment="1" applyProtection="1">
      <alignment horizontal="center"/>
    </xf>
    <xf numFmtId="9" fontId="2" fillId="0" borderId="10" xfId="0" applyNumberFormat="1" applyFont="1" applyFill="1" applyBorder="1" applyAlignment="1" applyProtection="1">
      <alignment vertical="center"/>
    </xf>
    <xf numFmtId="0" fontId="2" fillId="0" borderId="54" xfId="0" applyFont="1" applyFill="1" applyBorder="1" applyAlignment="1" applyProtection="1">
      <alignment horizontal="center"/>
    </xf>
    <xf numFmtId="3" fontId="2" fillId="0" borderId="54" xfId="0" applyNumberFormat="1" applyFont="1" applyFill="1" applyBorder="1" applyAlignment="1" applyProtection="1">
      <alignment vertical="center"/>
    </xf>
    <xf numFmtId="9" fontId="2" fillId="0" borderId="54" xfId="0" applyNumberFormat="1" applyFont="1" applyFill="1" applyBorder="1" applyAlignment="1" applyProtection="1">
      <alignment vertical="center"/>
    </xf>
    <xf numFmtId="0" fontId="81" fillId="0" borderId="0" xfId="0" applyFont="1" applyFill="1" applyBorder="1" applyProtection="1"/>
    <xf numFmtId="164" fontId="34" fillId="0" borderId="0" xfId="50" applyFont="1" applyFill="1" applyBorder="1" applyProtection="1"/>
    <xf numFmtId="0" fontId="100" fillId="0" borderId="0" xfId="0" applyFont="1" applyAlignment="1"/>
    <xf numFmtId="0" fontId="1" fillId="0" borderId="10" xfId="0" applyFont="1" applyBorder="1"/>
    <xf numFmtId="176" fontId="134" fillId="29" borderId="10" xfId="0" applyNumberFormat="1" applyFont="1" applyFill="1" applyBorder="1" applyAlignment="1" applyProtection="1">
      <alignment horizontal="right" vertical="center" wrapText="1"/>
      <protection locked="0"/>
    </xf>
    <xf numFmtId="176" fontId="134" fillId="0" borderId="10" xfId="0" applyNumberFormat="1" applyFont="1" applyFill="1" applyBorder="1" applyAlignment="1" applyProtection="1">
      <alignment vertical="center"/>
    </xf>
    <xf numFmtId="0" fontId="21" fillId="25" borderId="57" xfId="0" applyNumberFormat="1" applyFont="1" applyFill="1" applyBorder="1" applyAlignment="1" applyProtection="1">
      <alignment horizontal="center"/>
      <protection locked="0"/>
    </xf>
    <xf numFmtId="1" fontId="28" fillId="54" borderId="10" xfId="0" applyNumberFormat="1" applyFont="1" applyFill="1" applyBorder="1"/>
    <xf numFmtId="1" fontId="28" fillId="54" borderId="49" xfId="0" applyNumberFormat="1" applyFont="1" applyFill="1" applyBorder="1"/>
    <xf numFmtId="0" fontId="28" fillId="54" borderId="10" xfId="0" applyFont="1" applyFill="1" applyBorder="1"/>
    <xf numFmtId="3" fontId="134" fillId="22" borderId="10" xfId="0" applyNumberFormat="1" applyFont="1" applyFill="1" applyBorder="1" applyAlignment="1" applyProtection="1">
      <alignment vertical="center" wrapText="1"/>
      <protection locked="0"/>
    </xf>
    <xf numFmtId="0" fontId="98" fillId="36" borderId="87" xfId="0" applyFont="1" applyFill="1" applyBorder="1" applyAlignment="1">
      <alignment horizontal="center" wrapText="1"/>
    </xf>
    <xf numFmtId="0" fontId="21" fillId="36" borderId="87" xfId="0" applyFont="1" applyFill="1" applyBorder="1" applyAlignment="1">
      <alignment horizontal="center" wrapText="1"/>
    </xf>
    <xf numFmtId="3" fontId="21" fillId="36" borderId="10" xfId="0" applyNumberFormat="1" applyFont="1" applyFill="1" applyBorder="1" applyAlignment="1">
      <alignment horizontal="center" vertical="center"/>
    </xf>
    <xf numFmtId="0" fontId="21" fillId="0" borderId="0" xfId="0" applyFont="1" applyBorder="1" applyProtection="1"/>
    <xf numFmtId="0" fontId="21" fillId="0" borderId="0" xfId="0" applyFont="1" applyFill="1" applyBorder="1"/>
    <xf numFmtId="0" fontId="21" fillId="0" borderId="0" xfId="0" applyFont="1" applyBorder="1"/>
    <xf numFmtId="0" fontId="21" fillId="0" borderId="0" xfId="0" applyFont="1" applyFill="1"/>
    <xf numFmtId="3" fontId="133" fillId="36" borderId="10" xfId="0" applyNumberFormat="1" applyFont="1" applyFill="1" applyBorder="1" applyAlignment="1" applyProtection="1">
      <alignment horizontal="center" vertical="center"/>
    </xf>
    <xf numFmtId="1" fontId="133" fillId="36" borderId="10" xfId="0" applyNumberFormat="1" applyFont="1" applyFill="1" applyBorder="1" applyAlignment="1" applyProtection="1">
      <alignment horizontal="center" vertical="center"/>
    </xf>
    <xf numFmtId="1" fontId="133" fillId="36" borderId="49" xfId="0" applyNumberFormat="1" applyFont="1" applyFill="1" applyBorder="1" applyAlignment="1" applyProtection="1">
      <alignment horizontal="center" vertical="center"/>
    </xf>
    <xf numFmtId="0" fontId="21" fillId="0" borderId="10"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xf>
    <xf numFmtId="3" fontId="0" fillId="0" borderId="10" xfId="0" applyNumberFormat="1" applyFill="1" applyBorder="1" applyAlignment="1" applyProtection="1">
      <alignment horizontal="center" vertical="center"/>
      <protection locked="0"/>
    </xf>
    <xf numFmtId="3" fontId="0" fillId="0" borderId="10" xfId="0" applyNumberFormat="1" applyFill="1" applyBorder="1" applyAlignment="1" applyProtection="1">
      <alignment horizontal="center" vertical="center"/>
    </xf>
    <xf numFmtId="1" fontId="21" fillId="0" borderId="10" xfId="0" applyNumberFormat="1" applyFont="1" applyFill="1" applyBorder="1" applyAlignment="1" applyProtection="1">
      <alignment horizontal="center" vertical="center"/>
    </xf>
    <xf numFmtId="0" fontId="0" fillId="0" borderId="10" xfId="0" applyNumberFormat="1" applyFill="1" applyBorder="1" applyAlignment="1" applyProtection="1">
      <alignment horizontal="center" vertical="center"/>
      <protection locked="0"/>
    </xf>
    <xf numFmtId="1" fontId="0" fillId="0" borderId="49" xfId="0" applyNumberFormat="1" applyFill="1" applyBorder="1" applyAlignment="1" applyProtection="1">
      <alignment horizontal="center" vertical="center"/>
    </xf>
    <xf numFmtId="49" fontId="0" fillId="0" borderId="10" xfId="0" applyNumberFormat="1" applyFill="1" applyBorder="1" applyAlignment="1" applyProtection="1">
      <alignment horizontal="left"/>
      <protection locked="0"/>
    </xf>
    <xf numFmtId="49" fontId="0" fillId="0" borderId="90" xfId="0" applyNumberFormat="1" applyFill="1" applyBorder="1" applyAlignment="1" applyProtection="1">
      <alignment horizontal="left"/>
      <protection locked="0"/>
    </xf>
    <xf numFmtId="0" fontId="21" fillId="0" borderId="90" xfId="0" applyNumberFormat="1" applyFont="1" applyFill="1" applyBorder="1" applyAlignment="1" applyProtection="1">
      <alignment horizontal="center" vertical="center"/>
      <protection locked="0"/>
    </xf>
    <xf numFmtId="3" fontId="0" fillId="0" borderId="10" xfId="0" applyNumberFormat="1" applyFill="1" applyBorder="1" applyAlignment="1" applyProtection="1">
      <alignment horizontal="center" vertical="top"/>
      <protection locked="0"/>
    </xf>
    <xf numFmtId="3" fontId="0" fillId="0" borderId="10" xfId="0" applyNumberFormat="1" applyFill="1" applyBorder="1" applyAlignment="1" applyProtection="1">
      <alignment horizontal="center"/>
      <protection locked="0"/>
    </xf>
    <xf numFmtId="0" fontId="21" fillId="0" borderId="90" xfId="0" applyNumberFormat="1" applyFont="1" applyFill="1" applyBorder="1" applyAlignment="1" applyProtection="1">
      <alignment horizontal="center" vertical="center"/>
    </xf>
    <xf numFmtId="3" fontId="0" fillId="0" borderId="90" xfId="0" applyNumberFormat="1" applyFill="1" applyBorder="1" applyAlignment="1" applyProtection="1">
      <alignment horizontal="center" vertical="top"/>
      <protection locked="0"/>
    </xf>
    <xf numFmtId="1" fontId="0" fillId="0" borderId="90" xfId="0" applyNumberFormat="1" applyFill="1" applyBorder="1" applyAlignment="1" applyProtection="1">
      <alignment horizontal="center"/>
    </xf>
    <xf numFmtId="3" fontId="0" fillId="0" borderId="90" xfId="0" applyNumberFormat="1" applyFill="1" applyBorder="1" applyAlignment="1" applyProtection="1">
      <alignment horizontal="center"/>
      <protection locked="0"/>
    </xf>
    <xf numFmtId="1" fontId="21" fillId="0" borderId="90" xfId="0" applyNumberFormat="1" applyFont="1" applyFill="1" applyBorder="1" applyAlignment="1" applyProtection="1">
      <alignment horizontal="center" vertical="center"/>
    </xf>
    <xf numFmtId="0" fontId="0" fillId="0" borderId="90" xfId="0" applyNumberFormat="1" applyFill="1" applyBorder="1" applyAlignment="1" applyProtection="1">
      <alignment horizontal="center" vertical="center"/>
      <protection locked="0"/>
    </xf>
    <xf numFmtId="1" fontId="0" fillId="0" borderId="210" xfId="0" applyNumberFormat="1" applyFill="1" applyBorder="1" applyAlignment="1" applyProtection="1">
      <alignment horizontal="center" vertical="center"/>
    </xf>
    <xf numFmtId="49" fontId="0" fillId="0" borderId="57" xfId="0" applyNumberFormat="1" applyFill="1" applyBorder="1" applyAlignment="1" applyProtection="1">
      <alignment horizontal="left"/>
      <protection locked="0"/>
    </xf>
    <xf numFmtId="0" fontId="21" fillId="0" borderId="57" xfId="0" applyNumberFormat="1" applyFont="1" applyFill="1" applyBorder="1" applyAlignment="1" applyProtection="1">
      <alignment horizontal="center" vertical="center"/>
      <protection locked="0"/>
    </xf>
    <xf numFmtId="0" fontId="21" fillId="0" borderId="57" xfId="0" applyNumberFormat="1" applyFont="1" applyFill="1" applyBorder="1" applyAlignment="1" applyProtection="1">
      <alignment horizontal="center" vertical="center"/>
    </xf>
    <xf numFmtId="3" fontId="0" fillId="0" borderId="57" xfId="0" applyNumberFormat="1" applyFill="1" applyBorder="1" applyAlignment="1" applyProtection="1">
      <alignment horizontal="center" vertical="top"/>
      <protection locked="0"/>
    </xf>
    <xf numFmtId="1" fontId="0" fillId="0" borderId="57" xfId="0" applyNumberFormat="1" applyFill="1" applyBorder="1" applyAlignment="1" applyProtection="1">
      <alignment horizontal="center"/>
    </xf>
    <xf numFmtId="3" fontId="0" fillId="0" borderId="57" xfId="0" applyNumberFormat="1" applyFill="1" applyBorder="1" applyAlignment="1" applyProtection="1">
      <alignment horizontal="center"/>
      <protection locked="0"/>
    </xf>
    <xf numFmtId="1" fontId="21" fillId="0" borderId="57" xfId="0" applyNumberFormat="1" applyFont="1" applyFill="1" applyBorder="1" applyAlignment="1" applyProtection="1">
      <alignment horizontal="center" vertical="center"/>
    </xf>
    <xf numFmtId="0" fontId="0" fillId="0" borderId="57" xfId="0" applyNumberFormat="1" applyFill="1" applyBorder="1" applyAlignment="1" applyProtection="1">
      <alignment horizontal="center" vertical="center"/>
      <protection locked="0"/>
    </xf>
    <xf numFmtId="1" fontId="0" fillId="0" borderId="52" xfId="0" applyNumberFormat="1" applyFill="1" applyBorder="1" applyAlignment="1" applyProtection="1">
      <alignment horizontal="center" vertical="center"/>
    </xf>
    <xf numFmtId="1" fontId="28" fillId="54" borderId="90" xfId="0" applyNumberFormat="1" applyFont="1" applyFill="1" applyBorder="1"/>
    <xf numFmtId="1" fontId="28" fillId="54" borderId="210" xfId="0" applyNumberFormat="1" applyFont="1" applyFill="1" applyBorder="1"/>
    <xf numFmtId="1" fontId="177" fillId="54" borderId="10" xfId="0" applyNumberFormat="1" applyFont="1" applyFill="1" applyBorder="1"/>
    <xf numFmtId="0" fontId="28" fillId="54" borderId="90" xfId="0" applyFont="1" applyFill="1" applyBorder="1" applyAlignment="1">
      <alignment wrapText="1"/>
    </xf>
    <xf numFmtId="0" fontId="122" fillId="0" borderId="37" xfId="0" applyFont="1" applyFill="1" applyBorder="1" applyAlignment="1" applyProtection="1">
      <alignment horizontal="center" vertical="top" wrapText="1"/>
    </xf>
    <xf numFmtId="0" fontId="122" fillId="0" borderId="36" xfId="0" applyFont="1" applyFill="1" applyBorder="1" applyAlignment="1" applyProtection="1">
      <alignment vertical="top" wrapText="1"/>
    </xf>
    <xf numFmtId="0" fontId="122" fillId="0" borderId="36" xfId="0" applyFont="1" applyFill="1" applyBorder="1" applyAlignment="1" applyProtection="1">
      <alignment horizontal="center" vertical="top" wrapText="1"/>
    </xf>
    <xf numFmtId="0" fontId="122" fillId="0" borderId="50" xfId="0" applyFont="1" applyFill="1" applyBorder="1" applyAlignment="1" applyProtection="1">
      <alignment horizontal="center" vertical="top" wrapText="1"/>
    </xf>
    <xf numFmtId="0" fontId="21" fillId="25" borderId="45" xfId="0" applyNumberFormat="1" applyFont="1" applyFill="1" applyBorder="1" applyAlignment="1" applyProtection="1">
      <alignment horizontal="center"/>
      <protection locked="0"/>
    </xf>
    <xf numFmtId="49" fontId="134" fillId="28" borderId="111" xfId="0" applyNumberFormat="1" applyFont="1" applyFill="1" applyBorder="1" applyAlignment="1" applyProtection="1">
      <alignment horizontal="left" vertical="center" wrapText="1"/>
      <protection locked="0"/>
    </xf>
    <xf numFmtId="49" fontId="134" fillId="28" borderId="10" xfId="0" applyNumberFormat="1" applyFont="1" applyFill="1" applyBorder="1" applyAlignment="1" applyProtection="1">
      <alignment horizontal="left" vertical="center" wrapText="1"/>
      <protection locked="0"/>
    </xf>
    <xf numFmtId="49" fontId="134" fillId="28" borderId="41" xfId="0" applyNumberFormat="1" applyFont="1" applyFill="1" applyBorder="1" applyAlignment="1" applyProtection="1">
      <alignment horizontal="left" vertical="center" wrapText="1"/>
      <protection locked="0"/>
    </xf>
    <xf numFmtId="0" fontId="134" fillId="24" borderId="106" xfId="0" applyFont="1" applyFill="1" applyBorder="1" applyAlignment="1" applyProtection="1">
      <alignment horizontal="left" vertical="center" wrapText="1"/>
    </xf>
    <xf numFmtId="0" fontId="134" fillId="24" borderId="42" xfId="0" applyFont="1" applyFill="1" applyBorder="1" applyAlignment="1" applyProtection="1">
      <alignment horizontal="left" vertical="center" wrapText="1"/>
    </xf>
    <xf numFmtId="0" fontId="134" fillId="24" borderId="107" xfId="0" applyFont="1" applyFill="1" applyBorder="1" applyAlignment="1" applyProtection="1">
      <alignment horizontal="left" vertical="center" wrapText="1"/>
    </xf>
    <xf numFmtId="0" fontId="134" fillId="24" borderId="108" xfId="0" applyFont="1" applyFill="1" applyBorder="1" applyAlignment="1" applyProtection="1">
      <alignment horizontal="left" vertical="center" wrapText="1"/>
    </xf>
    <xf numFmtId="0" fontId="134" fillId="24" borderId="109" xfId="0" applyFont="1" applyFill="1" applyBorder="1" applyAlignment="1" applyProtection="1">
      <alignment horizontal="left" vertical="center" wrapText="1"/>
    </xf>
    <xf numFmtId="0" fontId="134" fillId="24" borderId="110" xfId="0" applyFont="1" applyFill="1" applyBorder="1" applyAlignment="1" applyProtection="1">
      <alignment horizontal="left" vertical="center" wrapText="1"/>
    </xf>
    <xf numFmtId="49" fontId="134" fillId="42" borderId="111" xfId="0" applyNumberFormat="1" applyFont="1" applyFill="1" applyBorder="1" applyAlignment="1" applyProtection="1">
      <alignment horizontal="left" vertical="center" wrapText="1"/>
      <protection locked="0"/>
    </xf>
    <xf numFmtId="49" fontId="134" fillId="42" borderId="10" xfId="0" applyNumberFormat="1" applyFont="1" applyFill="1" applyBorder="1" applyAlignment="1" applyProtection="1">
      <alignment horizontal="left" vertical="center" wrapText="1"/>
      <protection locked="0"/>
    </xf>
    <xf numFmtId="49" fontId="134" fillId="42" borderId="41" xfId="0" applyNumberFormat="1" applyFont="1" applyFill="1" applyBorder="1" applyAlignment="1" applyProtection="1">
      <alignment horizontal="left" vertical="center" wrapText="1"/>
      <protection locked="0"/>
    </xf>
    <xf numFmtId="0" fontId="134" fillId="0" borderId="106" xfId="0" applyFont="1" applyFill="1" applyBorder="1" applyAlignment="1" applyProtection="1">
      <alignment horizontal="left" vertical="center" wrapText="1"/>
    </xf>
    <xf numFmtId="0" fontId="134" fillId="0" borderId="42" xfId="0" applyFont="1" applyFill="1" applyBorder="1" applyAlignment="1" applyProtection="1">
      <alignment horizontal="left" vertical="center" wrapText="1"/>
    </xf>
    <xf numFmtId="0" fontId="134" fillId="0" borderId="107" xfId="0" applyFont="1" applyFill="1" applyBorder="1" applyAlignment="1" applyProtection="1">
      <alignment horizontal="left" vertical="center" wrapText="1"/>
    </xf>
    <xf numFmtId="0" fontId="134" fillId="0" borderId="108" xfId="0" applyFont="1" applyFill="1" applyBorder="1" applyAlignment="1" applyProtection="1">
      <alignment horizontal="left" vertical="center" wrapText="1"/>
    </xf>
    <xf numFmtId="0" fontId="134" fillId="0" borderId="109" xfId="0" applyFont="1" applyFill="1" applyBorder="1" applyAlignment="1" applyProtection="1">
      <alignment horizontal="left" vertical="center" wrapText="1"/>
    </xf>
    <xf numFmtId="0" fontId="134" fillId="0" borderId="110" xfId="0" applyFont="1" applyFill="1" applyBorder="1" applyAlignment="1" applyProtection="1">
      <alignment horizontal="left" vertical="center" wrapText="1"/>
    </xf>
    <xf numFmtId="0" fontId="75" fillId="0" borderId="118" xfId="0" applyFont="1" applyFill="1" applyBorder="1" applyAlignment="1" applyProtection="1">
      <alignment horizontal="center" vertical="center"/>
    </xf>
    <xf numFmtId="0" fontId="75" fillId="0" borderId="119" xfId="0" applyFont="1" applyFill="1" applyBorder="1" applyAlignment="1" applyProtection="1">
      <alignment horizontal="center" vertical="center"/>
    </xf>
    <xf numFmtId="0" fontId="75" fillId="0" borderId="120" xfId="0" applyFont="1" applyFill="1" applyBorder="1" applyAlignment="1" applyProtection="1">
      <alignment horizontal="center" vertical="center"/>
    </xf>
    <xf numFmtId="49" fontId="134" fillId="22" borderId="121" xfId="0" applyNumberFormat="1" applyFont="1" applyFill="1" applyBorder="1" applyAlignment="1" applyProtection="1">
      <alignment horizontal="left" vertical="center" wrapText="1"/>
      <protection locked="0"/>
    </xf>
    <xf numFmtId="49" fontId="134" fillId="22" borderId="87" xfId="0" applyNumberFormat="1" applyFont="1" applyFill="1" applyBorder="1" applyAlignment="1" applyProtection="1">
      <alignment horizontal="left" vertical="center" wrapText="1"/>
      <protection locked="0"/>
    </xf>
    <xf numFmtId="49" fontId="134" fillId="22" borderId="88" xfId="0" applyNumberFormat="1" applyFont="1" applyFill="1" applyBorder="1" applyAlignment="1" applyProtection="1">
      <alignment horizontal="left" vertical="center" wrapText="1"/>
      <protection locked="0"/>
    </xf>
    <xf numFmtId="49" fontId="134" fillId="22" borderId="111" xfId="0" applyNumberFormat="1" applyFont="1" applyFill="1" applyBorder="1" applyAlignment="1" applyProtection="1">
      <alignment horizontal="left" vertical="center" wrapText="1"/>
      <protection locked="0"/>
    </xf>
    <xf numFmtId="49" fontId="134" fillId="22" borderId="10" xfId="0" applyNumberFormat="1" applyFont="1" applyFill="1" applyBorder="1" applyAlignment="1" applyProtection="1">
      <alignment horizontal="left" vertical="center" wrapText="1"/>
      <protection locked="0"/>
    </xf>
    <xf numFmtId="49" fontId="134" fillId="22" borderId="41" xfId="0" applyNumberFormat="1" applyFont="1" applyFill="1" applyBorder="1" applyAlignment="1" applyProtection="1">
      <alignment horizontal="left" vertical="center" wrapText="1"/>
      <protection locked="0"/>
    </xf>
    <xf numFmtId="49" fontId="2" fillId="40" borderId="234" xfId="0" applyNumberFormat="1" applyFont="1" applyFill="1" applyBorder="1" applyAlignment="1" applyProtection="1">
      <alignment horizontal="left" vertical="center" wrapText="1"/>
      <protection locked="0"/>
    </xf>
    <xf numFmtId="49" fontId="2" fillId="40" borderId="94" xfId="0" applyNumberFormat="1" applyFont="1" applyFill="1" applyBorder="1" applyAlignment="1" applyProtection="1">
      <alignment horizontal="left" vertical="center" wrapText="1"/>
      <protection locked="0"/>
    </xf>
    <xf numFmtId="49" fontId="2" fillId="40" borderId="235" xfId="0" applyNumberFormat="1" applyFont="1" applyFill="1" applyBorder="1" applyAlignment="1" applyProtection="1">
      <alignment horizontal="left" vertical="center" wrapText="1"/>
      <protection locked="0"/>
    </xf>
    <xf numFmtId="49" fontId="2" fillId="40" borderId="236" xfId="0" applyNumberFormat="1" applyFont="1" applyFill="1" applyBorder="1" applyAlignment="1" applyProtection="1">
      <alignment horizontal="left" vertical="center" wrapText="1"/>
      <protection locked="0"/>
    </xf>
    <xf numFmtId="49" fontId="2" fillId="40" borderId="97" xfId="0" applyNumberFormat="1" applyFont="1" applyFill="1" applyBorder="1" applyAlignment="1" applyProtection="1">
      <alignment horizontal="left" vertical="center" wrapText="1"/>
      <protection locked="0"/>
    </xf>
    <xf numFmtId="49" fontId="2" fillId="40" borderId="237" xfId="0" applyNumberFormat="1" applyFont="1" applyFill="1" applyBorder="1" applyAlignment="1" applyProtection="1">
      <alignment horizontal="left" vertical="center" wrapText="1"/>
      <protection locked="0"/>
    </xf>
    <xf numFmtId="0" fontId="2" fillId="0" borderId="249" xfId="0" applyFont="1" applyFill="1" applyBorder="1" applyAlignment="1" applyProtection="1">
      <alignment horizontal="left" vertical="center" wrapText="1"/>
    </xf>
    <xf numFmtId="0" fontId="2" fillId="0" borderId="250" xfId="0" applyFont="1" applyFill="1" applyBorder="1" applyAlignment="1" applyProtection="1">
      <alignment horizontal="left" vertical="center" wrapText="1"/>
    </xf>
    <xf numFmtId="0" fontId="2" fillId="0" borderId="251" xfId="0" applyFont="1" applyFill="1" applyBorder="1" applyAlignment="1" applyProtection="1">
      <alignment horizontal="left" vertical="center" wrapText="1"/>
    </xf>
    <xf numFmtId="0" fontId="2" fillId="0" borderId="252"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53" xfId="0" applyFont="1" applyFill="1" applyBorder="1" applyAlignment="1" applyProtection="1">
      <alignment horizontal="left" vertical="center" wrapText="1"/>
    </xf>
    <xf numFmtId="0" fontId="2" fillId="0" borderId="234" xfId="0" applyFont="1" applyFill="1" applyBorder="1" applyAlignment="1" applyProtection="1">
      <alignment horizontal="left" vertical="center" wrapText="1"/>
    </xf>
    <xf numFmtId="0" fontId="2" fillId="0" borderId="94" xfId="0" applyFont="1" applyFill="1" applyBorder="1" applyAlignment="1" applyProtection="1">
      <alignment horizontal="left" vertical="center" wrapText="1"/>
    </xf>
    <xf numFmtId="0" fontId="2" fillId="0" borderId="235" xfId="0" applyFont="1" applyFill="1" applyBorder="1" applyAlignment="1" applyProtection="1">
      <alignment horizontal="left" vertical="center" wrapText="1"/>
    </xf>
    <xf numFmtId="0" fontId="2" fillId="24" borderId="249" xfId="0" applyFont="1" applyFill="1" applyBorder="1" applyAlignment="1" applyProtection="1">
      <alignment horizontal="left" vertical="center" wrapText="1"/>
    </xf>
    <xf numFmtId="0" fontId="2" fillId="24" borderId="250" xfId="0" applyFont="1" applyFill="1" applyBorder="1" applyAlignment="1" applyProtection="1">
      <alignment horizontal="left" vertical="center" wrapText="1"/>
    </xf>
    <xf numFmtId="0" fontId="2" fillId="24" borderId="251" xfId="0" applyFont="1" applyFill="1" applyBorder="1" applyAlignment="1" applyProtection="1">
      <alignment horizontal="left" vertical="center" wrapText="1"/>
    </xf>
    <xf numFmtId="0" fontId="2" fillId="24" borderId="252" xfId="0" applyFont="1" applyFill="1" applyBorder="1" applyAlignment="1" applyProtection="1">
      <alignment horizontal="left" vertical="center" wrapText="1"/>
    </xf>
    <xf numFmtId="0" fontId="2" fillId="24" borderId="25" xfId="0" applyFont="1" applyFill="1" applyBorder="1" applyAlignment="1" applyProtection="1">
      <alignment horizontal="left" vertical="center" wrapText="1"/>
    </xf>
    <xf numFmtId="0" fontId="2" fillId="24" borderId="253" xfId="0" applyFont="1" applyFill="1" applyBorder="1" applyAlignment="1" applyProtection="1">
      <alignment horizontal="left" vertical="center" wrapText="1"/>
    </xf>
    <xf numFmtId="49" fontId="2" fillId="39" borderId="234" xfId="0" applyNumberFormat="1" applyFont="1" applyFill="1" applyBorder="1" applyAlignment="1" applyProtection="1">
      <alignment horizontal="left" vertical="center" wrapText="1"/>
      <protection locked="0"/>
    </xf>
    <xf numFmtId="49" fontId="2" fillId="39" borderId="94" xfId="0" applyNumberFormat="1" applyFont="1" applyFill="1" applyBorder="1" applyAlignment="1" applyProtection="1">
      <alignment horizontal="left" vertical="center" wrapText="1"/>
      <protection locked="0"/>
    </xf>
    <xf numFmtId="49" fontId="2" fillId="39" borderId="235" xfId="0" applyNumberFormat="1" applyFont="1" applyFill="1" applyBorder="1" applyAlignment="1" applyProtection="1">
      <alignment horizontal="left" vertical="center" wrapText="1"/>
      <protection locked="0"/>
    </xf>
    <xf numFmtId="49" fontId="2" fillId="39" borderId="236" xfId="0" applyNumberFormat="1" applyFont="1" applyFill="1" applyBorder="1" applyAlignment="1" applyProtection="1">
      <alignment horizontal="left" vertical="center" wrapText="1"/>
      <protection locked="0"/>
    </xf>
    <xf numFmtId="49" fontId="2" fillId="39" borderId="97" xfId="0" applyNumberFormat="1" applyFont="1" applyFill="1" applyBorder="1" applyAlignment="1" applyProtection="1">
      <alignment horizontal="left" vertical="center" wrapText="1"/>
      <protection locked="0"/>
    </xf>
    <xf numFmtId="49" fontId="2" fillId="39" borderId="237" xfId="0" applyNumberFormat="1" applyFont="1" applyFill="1" applyBorder="1" applyAlignment="1" applyProtection="1">
      <alignment horizontal="left" vertical="center" wrapText="1"/>
      <protection locked="0"/>
    </xf>
    <xf numFmtId="49" fontId="2" fillId="38" borderId="234" xfId="0" applyNumberFormat="1" applyFont="1" applyFill="1" applyBorder="1" applyAlignment="1" applyProtection="1">
      <alignment horizontal="left" vertical="center" wrapText="1"/>
      <protection locked="0"/>
    </xf>
    <xf numFmtId="49" fontId="2" fillId="38" borderId="94" xfId="0" applyNumberFormat="1" applyFont="1" applyFill="1" applyBorder="1" applyAlignment="1" applyProtection="1">
      <alignment horizontal="left" vertical="center" wrapText="1"/>
      <protection locked="0"/>
    </xf>
    <xf numFmtId="49" fontId="2" fillId="38" borderId="235" xfId="0" applyNumberFormat="1" applyFont="1" applyFill="1" applyBorder="1" applyAlignment="1" applyProtection="1">
      <alignment horizontal="left" vertical="center" wrapText="1"/>
      <protection locked="0"/>
    </xf>
    <xf numFmtId="49" fontId="2" fillId="38" borderId="236" xfId="0" applyNumberFormat="1" applyFont="1" applyFill="1" applyBorder="1" applyAlignment="1" applyProtection="1">
      <alignment horizontal="left" vertical="center" wrapText="1"/>
      <protection locked="0"/>
    </xf>
    <xf numFmtId="49" fontId="2" fillId="38" borderId="97" xfId="0" applyNumberFormat="1" applyFont="1" applyFill="1" applyBorder="1" applyAlignment="1" applyProtection="1">
      <alignment horizontal="left" vertical="center" wrapText="1"/>
      <protection locked="0"/>
    </xf>
    <xf numFmtId="49" fontId="2" fillId="38" borderId="237" xfId="0" applyNumberFormat="1" applyFont="1" applyFill="1" applyBorder="1" applyAlignment="1" applyProtection="1">
      <alignment horizontal="left" vertical="center" wrapText="1"/>
      <protection locked="0"/>
    </xf>
    <xf numFmtId="1" fontId="28" fillId="55" borderId="266" xfId="0" applyNumberFormat="1" applyFont="1" applyFill="1" applyBorder="1"/>
    <xf numFmtId="1" fontId="28" fillId="55" borderId="10" xfId="0" applyNumberFormat="1" applyFont="1" applyFill="1" applyBorder="1"/>
    <xf numFmtId="0" fontId="28" fillId="55" borderId="269" xfId="0" applyFont="1" applyFill="1" applyBorder="1"/>
    <xf numFmtId="1" fontId="28" fillId="55" borderId="269" xfId="0" applyNumberFormat="1" applyFont="1" applyFill="1" applyBorder="1" applyAlignment="1">
      <alignment horizontal="right" vertical="center"/>
    </xf>
    <xf numFmtId="1" fontId="28" fillId="55" borderId="270" xfId="0" applyNumberFormat="1" applyFont="1" applyFill="1" applyBorder="1" applyAlignment="1">
      <alignment horizontal="right" vertical="center"/>
    </xf>
    <xf numFmtId="1" fontId="21" fillId="55" borderId="10" xfId="0" applyNumberFormat="1" applyFont="1" applyFill="1" applyBorder="1" applyAlignment="1" applyProtection="1">
      <alignment horizontal="right" vertical="center"/>
    </xf>
    <xf numFmtId="0" fontId="0" fillId="55" borderId="10" xfId="0" applyNumberFormat="1" applyFill="1" applyBorder="1" applyAlignment="1" applyProtection="1">
      <alignment horizontal="right" vertical="center"/>
      <protection locked="0"/>
    </xf>
    <xf numFmtId="1" fontId="0" fillId="55" borderId="49" xfId="0" applyNumberFormat="1" applyFill="1" applyBorder="1" applyAlignment="1" applyProtection="1">
      <alignment horizontal="right" vertical="center"/>
    </xf>
    <xf numFmtId="1" fontId="21" fillId="55" borderId="90" xfId="0" applyNumberFormat="1" applyFont="1" applyFill="1" applyBorder="1" applyAlignment="1" applyProtection="1">
      <alignment horizontal="right" vertical="center"/>
    </xf>
    <xf numFmtId="0" fontId="0" fillId="55" borderId="90" xfId="0" applyNumberFormat="1" applyFill="1" applyBorder="1" applyAlignment="1" applyProtection="1">
      <alignment horizontal="right" vertical="center"/>
      <protection locked="0"/>
    </xf>
    <xf numFmtId="1" fontId="21" fillId="55" borderId="57" xfId="0" applyNumberFormat="1" applyFont="1" applyFill="1" applyBorder="1" applyAlignment="1" applyProtection="1">
      <alignment horizontal="right" vertical="center"/>
    </xf>
    <xf numFmtId="0" fontId="0" fillId="55" borderId="57" xfId="0" applyNumberFormat="1" applyFill="1" applyBorder="1" applyAlignment="1" applyProtection="1">
      <alignment horizontal="right" vertical="center"/>
      <protection locked="0"/>
    </xf>
    <xf numFmtId="0" fontId="138" fillId="43" borderId="264" xfId="0" applyFont="1" applyFill="1" applyBorder="1" applyAlignment="1" applyProtection="1">
      <alignment horizontal="center"/>
    </xf>
    <xf numFmtId="0" fontId="138" fillId="0" borderId="87" xfId="0" applyFont="1" applyFill="1" applyBorder="1" applyAlignment="1" applyProtection="1">
      <alignment horizontal="center" wrapText="1"/>
    </xf>
    <xf numFmtId="0" fontId="122" fillId="0" borderId="87" xfId="0" applyFont="1" applyBorder="1" applyAlignment="1">
      <alignment horizontal="center" wrapText="1"/>
    </xf>
    <xf numFmtId="0" fontId="138" fillId="35" borderId="87" xfId="0" applyFont="1" applyFill="1" applyBorder="1" applyAlignment="1">
      <alignment horizontal="center" wrapText="1"/>
    </xf>
    <xf numFmtId="0" fontId="138" fillId="0" borderId="87" xfId="0" applyFont="1" applyBorder="1" applyAlignment="1">
      <alignment horizontal="center" wrapText="1"/>
    </xf>
    <xf numFmtId="0" fontId="122" fillId="0" borderId="87" xfId="0" applyFont="1" applyBorder="1" applyAlignment="1">
      <alignment horizontal="center" vertical="center" wrapText="1"/>
    </xf>
    <xf numFmtId="0" fontId="138" fillId="0" borderId="212" xfId="0" applyFont="1" applyFill="1" applyBorder="1" applyAlignment="1" applyProtection="1">
      <alignment horizontal="center" wrapText="1"/>
    </xf>
    <xf numFmtId="0" fontId="21" fillId="36" borderId="10" xfId="0" applyFont="1" applyFill="1" applyBorder="1" applyAlignment="1">
      <alignment horizontal="center" vertical="center"/>
    </xf>
    <xf numFmtId="1" fontId="98" fillId="54" borderId="10" xfId="0" applyNumberFormat="1" applyFont="1" applyFill="1" applyBorder="1"/>
    <xf numFmtId="1" fontId="98" fillId="54" borderId="49" xfId="0" applyNumberFormat="1" applyFont="1" applyFill="1" applyBorder="1"/>
    <xf numFmtId="0" fontId="98" fillId="22" borderId="103" xfId="0" applyFont="1" applyFill="1" applyBorder="1" applyAlignment="1" applyProtection="1">
      <alignment horizontal="left" vertical="top"/>
      <protection locked="0"/>
    </xf>
    <xf numFmtId="0" fontId="98" fillId="22" borderId="104" xfId="0" applyFont="1" applyFill="1" applyBorder="1" applyAlignment="1" applyProtection="1">
      <alignment horizontal="left" vertical="top"/>
      <protection locked="0"/>
    </xf>
    <xf numFmtId="4" fontId="0" fillId="0" borderId="71" xfId="0" applyNumberFormat="1" applyFill="1" applyBorder="1" applyProtection="1"/>
    <xf numFmtId="1" fontId="0" fillId="0" borderId="10" xfId="0" applyNumberFormat="1" applyFill="1" applyBorder="1" applyAlignment="1" applyProtection="1">
      <alignment horizontal="center"/>
      <protection locked="0"/>
    </xf>
    <xf numFmtId="168" fontId="1" fillId="0" borderId="241" xfId="62" applyNumberFormat="1" applyFont="1" applyFill="1" applyBorder="1" applyAlignment="1" applyProtection="1">
      <alignment horizontal="center"/>
      <protection locked="0"/>
    </xf>
    <xf numFmtId="0" fontId="0" fillId="0" borderId="0" xfId="0" applyAlignment="1"/>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86" fillId="0" borderId="42" xfId="0" applyFont="1" applyBorder="1" applyAlignment="1">
      <alignment vertical="center" wrapText="1"/>
    </xf>
    <xf numFmtId="0" fontId="0" fillId="0" borderId="0" xfId="0" applyBorder="1" applyAlignment="1">
      <alignment horizontal="center"/>
    </xf>
    <xf numFmtId="49" fontId="0" fillId="0" borderId="41" xfId="0" applyNumberFormat="1" applyBorder="1" applyAlignment="1" applyProtection="1">
      <alignment horizontal="center"/>
      <protection locked="0"/>
    </xf>
    <xf numFmtId="49" fontId="0" fillId="0" borderId="42"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0" fontId="0" fillId="0" borderId="0" xfId="0" applyAlignment="1" applyProtection="1"/>
    <xf numFmtId="0" fontId="94" fillId="0" borderId="0" xfId="0" applyFont="1" applyAlignment="1" applyProtection="1">
      <alignment horizontal="right"/>
    </xf>
    <xf numFmtId="15" fontId="0" fillId="0" borderId="10" xfId="56" applyNumberFormat="1" applyFont="1" applyFill="1" applyBorder="1" applyAlignment="1" applyProtection="1">
      <alignment horizontal="center"/>
      <protection locked="0"/>
    </xf>
    <xf numFmtId="0" fontId="94" fillId="0" borderId="47" xfId="0" applyFont="1" applyBorder="1" applyAlignment="1" applyProtection="1">
      <alignment horizontal="right"/>
    </xf>
    <xf numFmtId="0" fontId="94" fillId="0" borderId="0" xfId="0" applyFont="1" applyBorder="1" applyAlignment="1" applyProtection="1">
      <alignment horizontal="right"/>
    </xf>
    <xf numFmtId="49" fontId="0" fillId="0" borderId="10" xfId="0" applyNumberFormat="1" applyBorder="1" applyAlignment="1" applyProtection="1">
      <alignment horizontal="center"/>
      <protection locked="0"/>
    </xf>
    <xf numFmtId="164" fontId="24" fillId="25" borderId="38" xfId="56" applyFont="1" applyFill="1" applyBorder="1" applyAlignment="1" applyProtection="1">
      <alignment horizontal="center"/>
    </xf>
    <xf numFmtId="164" fontId="1" fillId="0" borderId="38" xfId="56" applyFont="1" applyBorder="1" applyAlignment="1" applyProtection="1">
      <alignment horizontal="right"/>
    </xf>
    <xf numFmtId="164" fontId="20" fillId="0" borderId="0" xfId="49" applyFont="1" applyFill="1" applyAlignment="1" applyProtection="1">
      <alignment horizontal="right" vertical="center"/>
    </xf>
    <xf numFmtId="15" fontId="24" fillId="25" borderId="38" xfId="56" applyNumberFormat="1" applyFont="1" applyFill="1" applyBorder="1" applyAlignment="1" applyProtection="1">
      <alignment horizontal="center"/>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lignment horizontal="right"/>
    </xf>
    <xf numFmtId="164" fontId="35" fillId="0" borderId="0" xfId="0" applyNumberFormat="1" applyFont="1" applyAlignment="1">
      <alignment horizontal="left" vertical="center" wrapText="1"/>
    </xf>
    <xf numFmtId="0" fontId="14" fillId="0" borderId="0" xfId="0" applyFont="1" applyBorder="1" applyAlignment="1">
      <alignment horizontal="center"/>
    </xf>
    <xf numFmtId="0" fontId="30" fillId="22" borderId="0" xfId="0" applyFont="1" applyFill="1" applyBorder="1" applyAlignment="1" applyProtection="1">
      <alignment horizontal="left" vertical="top" wrapText="1"/>
      <protection locked="0"/>
    </xf>
    <xf numFmtId="0" fontId="83" fillId="0" borderId="0" xfId="0" applyFont="1" applyAlignment="1">
      <alignment horizontal="left" wrapText="1"/>
    </xf>
    <xf numFmtId="164" fontId="100" fillId="0" borderId="0" xfId="0" applyNumberFormat="1" applyFont="1" applyAlignment="1" applyProtection="1">
      <alignment horizontal="center"/>
    </xf>
    <xf numFmtId="0" fontId="0" fillId="0" borderId="0" xfId="0" applyAlignment="1">
      <alignment horizontal="center"/>
    </xf>
    <xf numFmtId="0" fontId="34" fillId="0" borderId="10" xfId="0" applyFont="1" applyBorder="1" applyAlignment="1" applyProtection="1">
      <alignment horizontal="center" vertical="center" wrapText="1"/>
    </xf>
    <xf numFmtId="0" fontId="75" fillId="21" borderId="13" xfId="52" applyNumberFormat="1" applyFont="1" applyFill="1" applyBorder="1" applyAlignment="1">
      <alignment horizontal="center" vertical="center" wrapText="1"/>
    </xf>
    <xf numFmtId="0" fontId="33" fillId="0" borderId="0" xfId="0" applyFont="1" applyAlignment="1">
      <alignment horizontal="center"/>
    </xf>
    <xf numFmtId="164" fontId="33" fillId="0" borderId="0" xfId="0" applyNumberFormat="1" applyFont="1" applyAlignment="1">
      <alignment horizontal="center"/>
    </xf>
    <xf numFmtId="0" fontId="0" fillId="0" borderId="0" xfId="0" applyAlignment="1"/>
    <xf numFmtId="0" fontId="110" fillId="0" borderId="0" xfId="0" applyFont="1" applyAlignment="1">
      <alignment horizontal="center"/>
    </xf>
    <xf numFmtId="0" fontId="111" fillId="0" borderId="0" xfId="0" applyFont="1" applyAlignment="1">
      <alignment horizontal="center"/>
    </xf>
    <xf numFmtId="164" fontId="116" fillId="30" borderId="0" xfId="47" applyFont="1" applyFill="1" applyAlignment="1">
      <alignment horizontal="center" vertical="center"/>
    </xf>
    <xf numFmtId="0" fontId="62" fillId="0" borderId="41" xfId="0" applyFont="1" applyBorder="1" applyAlignment="1" applyProtection="1">
      <alignment horizontal="justify" vertical="center" wrapText="1"/>
      <protection locked="0"/>
    </xf>
    <xf numFmtId="0" fontId="0" fillId="0" borderId="42" xfId="0" applyFont="1" applyBorder="1" applyAlignment="1">
      <alignment horizontal="justify" vertical="center" wrapText="1"/>
    </xf>
    <xf numFmtId="0" fontId="0" fillId="0" borderId="43" xfId="0" applyFont="1" applyBorder="1" applyAlignment="1">
      <alignment horizontal="justify" vertical="center" wrapText="1"/>
    </xf>
    <xf numFmtId="0" fontId="62" fillId="0" borderId="41" xfId="0"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2" fillId="0" borderId="41" xfId="0" applyFont="1" applyBorder="1" applyAlignment="1" applyProtection="1">
      <alignment horizontal="justify" vertical="top" wrapText="1"/>
      <protection locked="0"/>
    </xf>
    <xf numFmtId="0" fontId="0" fillId="0" borderId="42" xfId="0" applyFont="1" applyBorder="1" applyAlignment="1">
      <alignment horizontal="justify" vertical="top" wrapText="1"/>
    </xf>
    <xf numFmtId="0" fontId="0" fillId="0" borderId="43" xfId="0" applyFont="1" applyBorder="1" applyAlignment="1">
      <alignment horizontal="justify" vertical="top" wrapText="1"/>
    </xf>
    <xf numFmtId="0" fontId="87" fillId="35" borderId="41" xfId="0" applyFont="1" applyFill="1" applyBorder="1" applyAlignment="1" applyProtection="1">
      <alignment vertical="center" wrapText="1"/>
      <protection locked="0"/>
    </xf>
    <xf numFmtId="0" fontId="87" fillId="35" borderId="42" xfId="0" applyFont="1" applyFill="1" applyBorder="1" applyAlignment="1" applyProtection="1">
      <alignment vertical="center" wrapText="1"/>
      <protection locked="0"/>
    </xf>
    <xf numFmtId="0" fontId="87" fillId="35" borderId="43" xfId="0" applyFont="1" applyFill="1" applyBorder="1" applyAlignment="1" applyProtection="1">
      <alignment vertical="center" wrapText="1"/>
      <protection locked="0"/>
    </xf>
    <xf numFmtId="0" fontId="87" fillId="0" borderId="42" xfId="0" applyFont="1" applyBorder="1" applyAlignment="1" applyProtection="1">
      <alignment horizontal="justify" vertical="center" wrapText="1"/>
      <protection locked="0"/>
    </xf>
    <xf numFmtId="0" fontId="87" fillId="0" borderId="43" xfId="0" applyFont="1" applyBorder="1" applyAlignment="1" applyProtection="1">
      <alignment horizontal="justify"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4" fillId="22" borderId="41" xfId="0" applyFont="1" applyFill="1" applyBorder="1" applyAlignment="1">
      <alignment horizontal="center"/>
    </xf>
    <xf numFmtId="0" fontId="24" fillId="22" borderId="42" xfId="0" applyFont="1" applyFill="1" applyBorder="1" applyAlignment="1">
      <alignment horizontal="center"/>
    </xf>
    <xf numFmtId="0" fontId="24" fillId="22" borderId="43" xfId="0" applyFont="1" applyFill="1" applyBorder="1" applyAlignment="1">
      <alignment horizontal="center"/>
    </xf>
    <xf numFmtId="0" fontId="24" fillId="22" borderId="41" xfId="0" applyFont="1" applyFill="1" applyBorder="1" applyAlignment="1">
      <alignment horizontal="center" wrapText="1"/>
    </xf>
    <xf numFmtId="0" fontId="24" fillId="22" borderId="42" xfId="0" applyFont="1" applyFill="1" applyBorder="1" applyAlignment="1">
      <alignment horizontal="center" wrapText="1"/>
    </xf>
    <xf numFmtId="0" fontId="24" fillId="22" borderId="43" xfId="0" applyFont="1" applyFill="1" applyBorder="1" applyAlignment="1">
      <alignment horizontal="center" wrapText="1"/>
    </xf>
    <xf numFmtId="0" fontId="92" fillId="0" borderId="41" xfId="0" applyFont="1" applyFill="1" applyBorder="1" applyAlignment="1" applyProtection="1">
      <alignment vertical="center" wrapText="1"/>
      <protection locked="0"/>
    </xf>
    <xf numFmtId="0" fontId="0" fillId="0" borderId="42" xfId="0" applyBorder="1" applyAlignment="1">
      <alignment vertical="center" wrapText="1"/>
    </xf>
    <xf numFmtId="0" fontId="0" fillId="0" borderId="43" xfId="0" applyBorder="1" applyAlignment="1">
      <alignment vertical="center" wrapText="1"/>
    </xf>
    <xf numFmtId="0" fontId="0" fillId="0" borderId="42" xfId="0" applyBorder="1" applyAlignment="1">
      <alignment horizontal="justify" vertical="center" wrapText="1"/>
    </xf>
    <xf numFmtId="0" fontId="0" fillId="0" borderId="43" xfId="0" applyBorder="1" applyAlignment="1">
      <alignment horizontal="justify"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2" fillId="0" borderId="42" xfId="0" applyFont="1" applyFill="1" applyBorder="1" applyAlignment="1" applyProtection="1">
      <alignment vertical="center" wrapText="1"/>
      <protection locked="0"/>
    </xf>
    <xf numFmtId="0" fontId="92" fillId="0" borderId="43" xfId="0" applyFont="1" applyFill="1" applyBorder="1" applyAlignment="1" applyProtection="1">
      <alignment vertical="center" wrapText="1"/>
      <protection locked="0"/>
    </xf>
    <xf numFmtId="0" fontId="62" fillId="0" borderId="41" xfId="0" applyNumberFormat="1" applyFont="1" applyBorder="1" applyAlignment="1" applyProtection="1">
      <alignment horizontal="left" vertical="center" wrapText="1"/>
      <protection locked="0"/>
    </xf>
    <xf numFmtId="0" fontId="62" fillId="0" borderId="42" xfId="0" applyNumberFormat="1" applyFont="1" applyBorder="1" applyAlignment="1" applyProtection="1">
      <alignment horizontal="left" vertical="center" wrapText="1"/>
      <protection locked="0"/>
    </xf>
    <xf numFmtId="0" fontId="62" fillId="0" borderId="43" xfId="0" applyNumberFormat="1" applyFont="1" applyBorder="1" applyAlignment="1" applyProtection="1">
      <alignment horizontal="left" vertical="center" wrapText="1"/>
      <protection locked="0"/>
    </xf>
    <xf numFmtId="0" fontId="62" fillId="0" borderId="42" xfId="0" applyFont="1" applyBorder="1" applyAlignment="1" applyProtection="1">
      <alignment horizontal="justify" vertical="center" wrapText="1"/>
      <protection locked="0"/>
    </xf>
    <xf numFmtId="0" fontId="62" fillId="0" borderId="43" xfId="0" applyFont="1" applyBorder="1" applyAlignment="1" applyProtection="1">
      <alignment horizontal="justify" vertical="center" wrapText="1"/>
      <protection locked="0"/>
    </xf>
    <xf numFmtId="0" fontId="62" fillId="0" borderId="41" xfId="0" applyFont="1" applyBorder="1" applyAlignment="1" applyProtection="1">
      <alignment horizontal="center" vertical="center" wrapText="1"/>
      <protection locked="0"/>
    </xf>
    <xf numFmtId="0" fontId="62" fillId="0" borderId="42" xfId="0" applyFont="1" applyBorder="1" applyAlignment="1" applyProtection="1">
      <alignment horizontal="center" vertical="center" wrapText="1"/>
      <protection locked="0"/>
    </xf>
    <xf numFmtId="0" fontId="62" fillId="0" borderId="43" xfId="0" applyFont="1" applyBorder="1" applyAlignment="1" applyProtection="1">
      <alignment horizontal="center" vertical="center" wrapText="1"/>
      <protection locked="0"/>
    </xf>
    <xf numFmtId="0" fontId="62" fillId="0" borderId="41" xfId="0" applyFont="1" applyFill="1" applyBorder="1" applyAlignment="1" applyProtection="1">
      <alignment horizontal="left" vertical="center" wrapText="1"/>
      <protection locked="0"/>
    </xf>
    <xf numFmtId="0" fontId="62" fillId="0" borderId="42" xfId="0" applyFont="1" applyFill="1" applyBorder="1" applyAlignment="1" applyProtection="1">
      <alignment horizontal="left" vertical="center" wrapText="1"/>
      <protection locked="0"/>
    </xf>
    <xf numFmtId="0" fontId="62" fillId="0" borderId="43" xfId="0" applyFont="1" applyFill="1" applyBorder="1" applyAlignment="1" applyProtection="1">
      <alignment horizontal="left" vertical="center" wrapText="1"/>
      <protection locked="0"/>
    </xf>
    <xf numFmtId="0" fontId="87" fillId="0" borderId="41" xfId="0" applyFont="1" applyFill="1" applyBorder="1" applyAlignment="1" applyProtection="1">
      <alignment horizontal="left" vertical="center" wrapText="1"/>
      <protection locked="0"/>
    </xf>
    <xf numFmtId="0" fontId="87" fillId="0" borderId="42" xfId="0" applyFont="1" applyFill="1" applyBorder="1" applyAlignment="1" applyProtection="1">
      <alignment horizontal="left" vertical="center" wrapText="1"/>
      <protection locked="0"/>
    </xf>
    <xf numFmtId="0" fontId="87" fillId="0" borderId="43" xfId="0" applyFont="1" applyFill="1" applyBorder="1" applyAlignment="1" applyProtection="1">
      <alignment horizontal="left" vertical="center" wrapText="1"/>
      <protection locked="0"/>
    </xf>
    <xf numFmtId="0" fontId="62" fillId="0" borderId="41" xfId="0" applyFont="1" applyBorder="1" applyAlignment="1">
      <alignment horizontal="left" vertical="center" wrapText="1"/>
    </xf>
    <xf numFmtId="0" fontId="62" fillId="0" borderId="42" xfId="0" applyFont="1" applyBorder="1" applyAlignment="1">
      <alignment horizontal="left" vertical="center" wrapText="1"/>
    </xf>
    <xf numFmtId="0" fontId="62" fillId="0" borderId="43" xfId="0" applyFont="1" applyBorder="1" applyAlignment="1">
      <alignment horizontal="left" vertical="center" wrapText="1"/>
    </xf>
    <xf numFmtId="164" fontId="86" fillId="0" borderId="41" xfId="0" applyNumberFormat="1" applyFont="1" applyBorder="1" applyAlignment="1">
      <alignment vertical="center" wrapText="1"/>
    </xf>
    <xf numFmtId="0" fontId="86" fillId="0" borderId="42" xfId="0" applyFont="1" applyBorder="1" applyAlignment="1">
      <alignment vertical="center" wrapText="1"/>
    </xf>
    <xf numFmtId="0" fontId="86" fillId="0" borderId="43" xfId="0" applyFont="1" applyBorder="1" applyAlignment="1">
      <alignment vertical="center" wrapText="1"/>
    </xf>
    <xf numFmtId="0" fontId="87" fillId="0" borderId="41" xfId="0" applyFont="1" applyBorder="1" applyAlignment="1">
      <alignment horizontal="left" vertical="center" wrapText="1"/>
    </xf>
    <xf numFmtId="0" fontId="87" fillId="0" borderId="42" xfId="0" applyFont="1" applyBorder="1" applyAlignment="1">
      <alignment horizontal="left" vertical="center" wrapText="1"/>
    </xf>
    <xf numFmtId="0" fontId="87" fillId="0" borderId="43" xfId="0" applyFont="1" applyBorder="1" applyAlignment="1">
      <alignment horizontal="left" vertical="center" wrapText="1"/>
    </xf>
    <xf numFmtId="0" fontId="106" fillId="0" borderId="41" xfId="0" applyFont="1" applyBorder="1" applyAlignment="1">
      <alignment horizontal="left" vertical="center" wrapText="1"/>
    </xf>
    <xf numFmtId="0" fontId="106" fillId="0" borderId="42" xfId="0" applyFont="1" applyBorder="1" applyAlignment="1">
      <alignment horizontal="left" vertical="center" wrapText="1"/>
    </xf>
    <xf numFmtId="0" fontId="106" fillId="0" borderId="43" xfId="0" applyFont="1" applyBorder="1" applyAlignment="1">
      <alignment horizontal="left" vertical="center" wrapText="1"/>
    </xf>
    <xf numFmtId="0" fontId="87" fillId="0" borderId="88" xfId="0" applyFont="1" applyBorder="1" applyAlignment="1">
      <alignment horizontal="justify" vertical="center" wrapText="1"/>
    </xf>
    <xf numFmtId="0" fontId="87" fillId="0" borderId="97" xfId="0" applyFont="1" applyBorder="1" applyAlignment="1">
      <alignment horizontal="justify" vertical="center" wrapText="1"/>
    </xf>
    <xf numFmtId="0" fontId="87" fillId="0" borderId="98" xfId="0" applyFont="1" applyBorder="1" applyAlignment="1">
      <alignment horizontal="justify" vertical="center" wrapText="1"/>
    </xf>
    <xf numFmtId="164" fontId="86" fillId="0" borderId="41" xfId="0" applyNumberFormat="1" applyFont="1" applyBorder="1" applyAlignment="1">
      <alignment horizontal="left" vertical="center" wrapText="1"/>
    </xf>
    <xf numFmtId="0" fontId="86" fillId="0" borderId="42" xfId="0" applyFont="1" applyBorder="1" applyAlignment="1">
      <alignment horizontal="left" vertical="center" wrapText="1"/>
    </xf>
    <xf numFmtId="0" fontId="86" fillId="0" borderId="43" xfId="0" applyFont="1" applyBorder="1" applyAlignment="1">
      <alignment horizontal="left" vertical="center" wrapText="1"/>
    </xf>
    <xf numFmtId="164" fontId="86" fillId="0" borderId="95" xfId="0" applyNumberFormat="1" applyFont="1" applyBorder="1" applyAlignment="1">
      <alignment vertical="center" wrapText="1"/>
    </xf>
    <xf numFmtId="0" fontId="86" fillId="0" borderId="259" xfId="0" applyFont="1" applyBorder="1" applyAlignment="1">
      <alignment vertical="center" wrapText="1"/>
    </xf>
    <xf numFmtId="0" fontId="86" fillId="0" borderId="96" xfId="0" applyFont="1" applyBorder="1" applyAlignment="1">
      <alignment vertical="center" wrapText="1"/>
    </xf>
    <xf numFmtId="0" fontId="86" fillId="0" borderId="88" xfId="0" applyFont="1" applyBorder="1" applyAlignment="1">
      <alignment vertical="center" wrapText="1"/>
    </xf>
    <xf numFmtId="0" fontId="86" fillId="0" borderId="97" xfId="0" applyFont="1" applyBorder="1" applyAlignment="1">
      <alignment vertical="center" wrapText="1"/>
    </xf>
    <xf numFmtId="0" fontId="86" fillId="0" borderId="98" xfId="0" applyFont="1" applyBorder="1" applyAlignment="1">
      <alignment vertical="center" wrapText="1"/>
    </xf>
    <xf numFmtId="0" fontId="87" fillId="0" borderId="41" xfId="0" applyFont="1" applyFill="1" applyBorder="1" applyAlignment="1" applyProtection="1">
      <alignment vertical="center" wrapText="1"/>
      <protection locked="0"/>
    </xf>
    <xf numFmtId="0" fontId="87" fillId="0" borderId="42" xfId="0" applyFont="1" applyFill="1" applyBorder="1" applyAlignment="1" applyProtection="1">
      <alignment vertical="center" wrapText="1"/>
      <protection locked="0"/>
    </xf>
    <xf numFmtId="0" fontId="87" fillId="0" borderId="43" xfId="0" applyFont="1" applyFill="1" applyBorder="1" applyAlignment="1" applyProtection="1">
      <alignment vertical="center" wrapText="1"/>
      <protection locked="0"/>
    </xf>
    <xf numFmtId="0" fontId="62" fillId="0" borderId="95" xfId="0" applyFont="1" applyBorder="1" applyAlignment="1">
      <alignment horizontal="justify" wrapText="1"/>
    </xf>
    <xf numFmtId="0" fontId="62" fillId="0" borderId="259" xfId="0" applyFont="1" applyBorder="1" applyAlignment="1">
      <alignment horizontal="justify" wrapText="1"/>
    </xf>
    <xf numFmtId="0" fontId="62" fillId="0" borderId="96" xfId="0" applyFont="1" applyBorder="1" applyAlignment="1">
      <alignment horizontal="justify" wrapText="1"/>
    </xf>
    <xf numFmtId="0" fontId="84" fillId="0" borderId="0" xfId="0" applyFont="1" applyAlignment="1">
      <alignment horizontal="center"/>
    </xf>
    <xf numFmtId="0" fontId="14" fillId="22" borderId="41" xfId="0" applyFont="1" applyFill="1" applyBorder="1" applyAlignment="1">
      <alignment horizontal="center" vertical="center" wrapText="1"/>
    </xf>
    <xf numFmtId="0" fontId="14" fillId="22" borderId="42" xfId="0" applyFont="1" applyFill="1" applyBorder="1" applyAlignment="1">
      <alignment horizontal="center" vertical="center"/>
    </xf>
    <xf numFmtId="0" fontId="14" fillId="22" borderId="43" xfId="0" applyFont="1" applyFill="1" applyBorder="1" applyAlignment="1">
      <alignment horizontal="center" vertical="center"/>
    </xf>
    <xf numFmtId="0" fontId="24" fillId="22" borderId="41" xfId="0" applyFont="1" applyFill="1" applyBorder="1" applyAlignment="1">
      <alignment horizontal="center" vertical="center"/>
    </xf>
    <xf numFmtId="0" fontId="24" fillId="22" borderId="42" xfId="0" applyFont="1" applyFill="1" applyBorder="1" applyAlignment="1">
      <alignment horizontal="center" vertical="center"/>
    </xf>
    <xf numFmtId="0" fontId="24" fillId="22" borderId="43" xfId="0" applyFont="1" applyFill="1" applyBorder="1" applyAlignment="1">
      <alignment horizontal="center" vertical="center"/>
    </xf>
    <xf numFmtId="0" fontId="85" fillId="25" borderId="41" xfId="0" applyFont="1" applyFill="1" applyBorder="1" applyAlignment="1">
      <alignment horizontal="center"/>
    </xf>
    <xf numFmtId="0" fontId="85" fillId="25" borderId="42" xfId="0" applyFont="1" applyFill="1" applyBorder="1" applyAlignment="1">
      <alignment horizontal="center"/>
    </xf>
    <xf numFmtId="0" fontId="85" fillId="25" borderId="43" xfId="0" applyFont="1" applyFill="1" applyBorder="1" applyAlignment="1">
      <alignment horizontal="center"/>
    </xf>
    <xf numFmtId="0" fontId="62" fillId="0" borderId="41" xfId="0" applyFont="1" applyBorder="1" applyAlignment="1">
      <alignment vertical="center" wrapText="1"/>
    </xf>
    <xf numFmtId="0" fontId="62" fillId="0" borderId="42" xfId="0" applyFont="1" applyBorder="1" applyAlignment="1">
      <alignment vertical="center" wrapText="1"/>
    </xf>
    <xf numFmtId="0" fontId="62" fillId="0" borderId="43" xfId="0" applyFont="1" applyBorder="1" applyAlignment="1">
      <alignment vertical="center" wrapText="1"/>
    </xf>
    <xf numFmtId="0" fontId="0" fillId="0" borderId="259" xfId="0" applyBorder="1" applyAlignment="1">
      <alignment horizontal="center" wrapText="1"/>
    </xf>
    <xf numFmtId="0" fontId="0" fillId="0" borderId="0" xfId="0" applyBorder="1" applyAlignment="1">
      <alignment horizontal="center" wrapText="1"/>
    </xf>
    <xf numFmtId="164" fontId="17" fillId="30" borderId="0" xfId="46" applyFont="1" applyFill="1" applyAlignment="1" applyProtection="1">
      <alignment horizontal="center" vertical="center"/>
    </xf>
    <xf numFmtId="0" fontId="85" fillId="26" borderId="41" xfId="0" applyFont="1" applyFill="1" applyBorder="1" applyAlignment="1">
      <alignment horizontal="center"/>
    </xf>
    <xf numFmtId="0" fontId="85" fillId="26" borderId="42" xfId="0" applyFont="1" applyFill="1" applyBorder="1" applyAlignment="1">
      <alignment horizontal="center"/>
    </xf>
    <xf numFmtId="0" fontId="85" fillId="26" borderId="43" xfId="0" applyFont="1" applyFill="1" applyBorder="1" applyAlignment="1">
      <alignment horizontal="center"/>
    </xf>
    <xf numFmtId="9" fontId="87" fillId="0" borderId="41" xfId="61" applyFont="1" applyBorder="1" applyAlignment="1">
      <alignment horizontal="left" vertical="center" wrapText="1"/>
    </xf>
    <xf numFmtId="9" fontId="87" fillId="0" borderId="42" xfId="61" applyFont="1" applyBorder="1" applyAlignment="1">
      <alignment horizontal="left" vertical="center" wrapText="1"/>
    </xf>
    <xf numFmtId="9" fontId="87" fillId="0" borderId="43" xfId="61" applyFont="1" applyBorder="1" applyAlignment="1">
      <alignment horizontal="left" vertical="center" wrapText="1"/>
    </xf>
    <xf numFmtId="0" fontId="86" fillId="0" borderId="42" xfId="0" applyFont="1" applyBorder="1" applyAlignment="1">
      <alignment horizontal="left" vertical="center"/>
    </xf>
    <xf numFmtId="0" fontId="86" fillId="0" borderId="43" xfId="0" applyFont="1" applyBorder="1" applyAlignment="1">
      <alignment horizontal="left" vertical="center"/>
    </xf>
    <xf numFmtId="0" fontId="86" fillId="0" borderId="42" xfId="0" applyFont="1" applyBorder="1" applyAlignment="1">
      <alignment vertical="center"/>
    </xf>
    <xf numFmtId="0" fontId="86" fillId="0" borderId="43" xfId="0" applyFont="1" applyBorder="1" applyAlignment="1">
      <alignment vertical="center"/>
    </xf>
    <xf numFmtId="0" fontId="0" fillId="0" borderId="0" xfId="0" applyBorder="1" applyAlignment="1">
      <alignment horizontal="center"/>
    </xf>
    <xf numFmtId="0" fontId="0" fillId="0" borderId="259" xfId="0" applyBorder="1" applyAlignment="1">
      <alignment horizontal="center"/>
    </xf>
    <xf numFmtId="0" fontId="62" fillId="0" borderId="95" xfId="0" applyFont="1" applyBorder="1" applyAlignment="1">
      <alignment horizontal="left" vertical="center" wrapText="1"/>
    </xf>
    <xf numFmtId="0" fontId="62" fillId="0" borderId="259" xfId="0" applyFont="1" applyBorder="1" applyAlignment="1">
      <alignment horizontal="left" vertical="center" wrapText="1"/>
    </xf>
    <xf numFmtId="0" fontId="62" fillId="0" borderId="96" xfId="0" applyFont="1" applyBorder="1" applyAlignment="1">
      <alignment horizontal="left" vertical="center" wrapText="1"/>
    </xf>
    <xf numFmtId="0" fontId="62" fillId="0" borderId="88" xfId="0" applyFont="1" applyBorder="1" applyAlignment="1">
      <alignment horizontal="left" vertical="center" wrapText="1"/>
    </xf>
    <xf numFmtId="0" fontId="62" fillId="0" borderId="97" xfId="0" applyFont="1" applyBorder="1" applyAlignment="1">
      <alignment horizontal="left" vertical="center" wrapText="1"/>
    </xf>
    <xf numFmtId="0" fontId="62" fillId="0" borderId="98" xfId="0" applyFont="1" applyBorder="1" applyAlignment="1">
      <alignment horizontal="left" vertical="center" wrapText="1"/>
    </xf>
    <xf numFmtId="0" fontId="106" fillId="0" borderId="41" xfId="0" applyFont="1" applyBorder="1" applyAlignment="1">
      <alignment horizontal="justify" vertical="center" wrapText="1"/>
    </xf>
    <xf numFmtId="0" fontId="106" fillId="0" borderId="42" xfId="0" applyFont="1" applyBorder="1" applyAlignment="1">
      <alignment horizontal="justify" vertical="center" wrapText="1"/>
    </xf>
    <xf numFmtId="0" fontId="106" fillId="0" borderId="43" xfId="0" applyFont="1" applyBorder="1" applyAlignment="1">
      <alignment horizontal="justify" vertical="center" wrapText="1"/>
    </xf>
    <xf numFmtId="0" fontId="104" fillId="0" borderId="42" xfId="0" applyFont="1" applyBorder="1" applyAlignment="1">
      <alignment horizontal="left" vertical="center" wrapText="1"/>
    </xf>
    <xf numFmtId="0" fontId="104" fillId="0" borderId="43" xfId="0" applyFont="1" applyBorder="1" applyAlignment="1">
      <alignment horizontal="left" vertical="center" wrapText="1"/>
    </xf>
    <xf numFmtId="0" fontId="62" fillId="0" borderId="41"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62" fillId="0" borderId="43" xfId="0" applyFont="1" applyFill="1" applyBorder="1" applyAlignment="1">
      <alignment horizontal="left" vertical="center" wrapText="1"/>
    </xf>
    <xf numFmtId="0" fontId="0" fillId="0" borderId="42" xfId="0" applyBorder="1" applyAlignment="1">
      <alignment horizontal="left"/>
    </xf>
    <xf numFmtId="0" fontId="0" fillId="0" borderId="43" xfId="0" applyBorder="1" applyAlignment="1">
      <alignment horizontal="left"/>
    </xf>
    <xf numFmtId="0" fontId="87" fillId="0" borderId="42" xfId="0" applyFont="1" applyBorder="1" applyAlignment="1" applyProtection="1">
      <alignment horizontal="left" vertical="center" wrapText="1"/>
      <protection locked="0"/>
    </xf>
    <xf numFmtId="0" fontId="87" fillId="0" borderId="43" xfId="0" applyFont="1" applyBorder="1" applyAlignment="1" applyProtection="1">
      <alignment horizontal="left" vertical="center" wrapText="1"/>
      <protection locked="0"/>
    </xf>
    <xf numFmtId="0" fontId="62" fillId="35" borderId="41" xfId="0" applyFont="1" applyFill="1" applyBorder="1" applyAlignment="1" applyProtection="1">
      <alignment horizontal="left" vertical="center" wrapText="1"/>
      <protection locked="0"/>
    </xf>
    <xf numFmtId="0" fontId="62" fillId="35" borderId="42" xfId="0" applyFont="1" applyFill="1" applyBorder="1" applyAlignment="1" applyProtection="1">
      <alignment horizontal="left" vertical="center" wrapText="1"/>
      <protection locked="0"/>
    </xf>
    <xf numFmtId="0" fontId="62" fillId="35" borderId="43" xfId="0" applyFont="1" applyFill="1" applyBorder="1" applyAlignment="1" applyProtection="1">
      <alignment horizontal="left" vertical="center" wrapText="1"/>
      <protection locked="0"/>
    </xf>
    <xf numFmtId="49" fontId="0" fillId="0" borderId="41" xfId="0" applyNumberFormat="1" applyBorder="1" applyAlignment="1" applyProtection="1">
      <alignment horizontal="center"/>
      <protection locked="0"/>
    </xf>
    <xf numFmtId="49" fontId="0" fillId="0" borderId="42"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0" fontId="134" fillId="22" borderId="102" xfId="0" applyNumberFormat="1" applyFont="1" applyFill="1" applyBorder="1" applyAlignment="1" applyProtection="1">
      <alignment horizontal="center" vertical="center" wrapText="1"/>
      <protection locked="0"/>
    </xf>
    <xf numFmtId="49" fontId="2" fillId="22" borderId="240" xfId="0" applyNumberFormat="1" applyFont="1" applyFill="1" applyBorder="1" applyAlignment="1" applyProtection="1">
      <alignment horizontal="center" vertical="center" wrapText="1"/>
      <protection locked="0"/>
    </xf>
    <xf numFmtId="49" fontId="2" fillId="22" borderId="121" xfId="0" applyNumberFormat="1" applyFont="1" applyFill="1" applyBorder="1" applyAlignment="1" applyProtection="1">
      <alignment horizontal="center" vertical="center" wrapText="1"/>
      <protection locked="0"/>
    </xf>
    <xf numFmtId="0" fontId="134" fillId="28" borderId="102" xfId="0" applyNumberFormat="1" applyFont="1" applyFill="1" applyBorder="1" applyAlignment="1" applyProtection="1">
      <alignment horizontal="center" vertical="center" wrapText="1"/>
      <protection locked="0"/>
    </xf>
    <xf numFmtId="0" fontId="0" fillId="0" borderId="0" xfId="0" applyAlignment="1" applyProtection="1"/>
    <xf numFmtId="164" fontId="60" fillId="30" borderId="0" xfId="38" applyFont="1" applyFill="1" applyAlignment="1" applyProtection="1">
      <alignment horizontal="center" vertical="center"/>
    </xf>
    <xf numFmtId="0" fontId="94" fillId="0" borderId="0" xfId="0" applyFont="1" applyAlignment="1" applyProtection="1">
      <alignment horizontal="right"/>
    </xf>
    <xf numFmtId="3" fontId="0" fillId="0" borderId="41" xfId="0" applyNumberFormat="1" applyBorder="1" applyAlignment="1" applyProtection="1">
      <alignment horizontal="center"/>
      <protection locked="0"/>
    </xf>
    <xf numFmtId="3" fontId="0" fillId="0" borderId="43" xfId="0" applyNumberFormat="1" applyBorder="1" applyAlignment="1" applyProtection="1">
      <alignment horizontal="center"/>
      <protection locked="0"/>
    </xf>
    <xf numFmtId="15" fontId="0" fillId="0" borderId="10" xfId="56" applyNumberFormat="1" applyFont="1" applyFill="1" applyBorder="1" applyAlignment="1" applyProtection="1">
      <alignment horizontal="center"/>
      <protection locked="0"/>
    </xf>
    <xf numFmtId="15" fontId="117" fillId="0" borderId="10" xfId="56" applyNumberFormat="1" applyFill="1" applyBorder="1" applyAlignment="1" applyProtection="1">
      <alignment horizontal="center"/>
      <protection locked="0"/>
    </xf>
    <xf numFmtId="0" fontId="94" fillId="0" borderId="47" xfId="0" applyFont="1" applyBorder="1" applyAlignment="1" applyProtection="1">
      <alignment horizontal="right"/>
    </xf>
    <xf numFmtId="49" fontId="129" fillId="0" borderId="10" xfId="0" applyNumberFormat="1" applyFont="1" applyFill="1" applyBorder="1" applyAlignment="1" applyProtection="1">
      <alignment horizontal="center"/>
      <protection locked="0"/>
    </xf>
    <xf numFmtId="0" fontId="94" fillId="0" borderId="0" xfId="0" applyFont="1" applyBorder="1" applyAlignment="1" applyProtection="1">
      <alignment horizontal="right"/>
    </xf>
    <xf numFmtId="0" fontId="94" fillId="0" borderId="122" xfId="0" applyFont="1" applyBorder="1" applyAlignment="1" applyProtection="1">
      <alignment horizontal="right"/>
    </xf>
    <xf numFmtId="164" fontId="15" fillId="32" borderId="10" xfId="56" applyFont="1" applyFill="1" applyBorder="1" applyAlignment="1" applyProtection="1">
      <alignment horizontal="center"/>
      <protection locked="0"/>
    </xf>
    <xf numFmtId="49" fontId="2" fillId="28" borderId="240" xfId="0" applyNumberFormat="1" applyFont="1" applyFill="1" applyBorder="1" applyAlignment="1" applyProtection="1">
      <alignment horizontal="center" vertical="center" wrapText="1"/>
      <protection locked="0"/>
    </xf>
    <xf numFmtId="49" fontId="2" fillId="28" borderId="121" xfId="0" applyNumberFormat="1" applyFont="1" applyFill="1" applyBorder="1" applyAlignment="1" applyProtection="1">
      <alignment horizontal="center" vertical="center" wrapText="1"/>
      <protection locked="0"/>
    </xf>
    <xf numFmtId="0" fontId="82" fillId="0" borderId="114" xfId="0" applyFont="1" applyBorder="1" applyAlignment="1" applyProtection="1">
      <alignment horizontal="right"/>
    </xf>
    <xf numFmtId="0" fontId="14" fillId="0" borderId="114" xfId="0" applyFont="1" applyBorder="1" applyAlignment="1"/>
    <xf numFmtId="0" fontId="0" fillId="0" borderId="245" xfId="0" applyBorder="1" applyAlignment="1" applyProtection="1">
      <alignment horizontal="center"/>
    </xf>
    <xf numFmtId="0" fontId="0" fillId="0" borderId="246" xfId="0" applyBorder="1" applyAlignment="1" applyProtection="1">
      <alignment horizontal="center"/>
    </xf>
    <xf numFmtId="0" fontId="26" fillId="0" borderId="103" xfId="0" applyFont="1" applyBorder="1" applyAlignment="1" applyProtection="1">
      <alignment horizontal="center" wrapText="1"/>
    </xf>
    <xf numFmtId="0" fontId="26" fillId="0" borderId="104" xfId="0" applyFont="1" applyBorder="1" applyAlignment="1" applyProtection="1">
      <alignment horizontal="center" wrapText="1"/>
    </xf>
    <xf numFmtId="0" fontId="26" fillId="0" borderId="105" xfId="0" applyFont="1" applyBorder="1" applyAlignment="1" applyProtection="1">
      <alignment horizontal="center" wrapText="1"/>
    </xf>
    <xf numFmtId="49" fontId="14" fillId="0" borderId="244" xfId="0" applyNumberFormat="1" applyFont="1" applyFill="1" applyBorder="1" applyAlignment="1" applyProtection="1">
      <alignment horizontal="center"/>
    </xf>
    <xf numFmtId="49" fontId="14" fillId="0" borderId="43" xfId="0" applyNumberFormat="1" applyFont="1" applyFill="1" applyBorder="1" applyAlignment="1" applyProtection="1">
      <alignment horizontal="center"/>
    </xf>
    <xf numFmtId="164" fontId="14" fillId="0" borderId="115" xfId="0" applyNumberFormat="1" applyFont="1" applyBorder="1" applyAlignment="1" applyProtection="1">
      <alignment horizontal="center"/>
    </xf>
    <xf numFmtId="0" fontId="14" fillId="0" borderId="116" xfId="0" applyFont="1" applyBorder="1" applyAlignment="1" applyProtection="1">
      <alignment horizontal="center"/>
    </xf>
    <xf numFmtId="0" fontId="14" fillId="0" borderId="117" xfId="0" applyFont="1" applyBorder="1" applyAlignment="1" applyProtection="1">
      <alignment horizontal="center"/>
    </xf>
    <xf numFmtId="49" fontId="14" fillId="0" borderId="242" xfId="0" applyNumberFormat="1" applyFont="1" applyFill="1" applyBorder="1" applyAlignment="1" applyProtection="1">
      <alignment horizontal="center"/>
    </xf>
    <xf numFmtId="49" fontId="14" fillId="0" borderId="243" xfId="0" applyNumberFormat="1" applyFont="1" applyFill="1" applyBorder="1" applyAlignment="1" applyProtection="1">
      <alignment horizontal="center"/>
    </xf>
    <xf numFmtId="0" fontId="0" fillId="22" borderId="41" xfId="0" applyFill="1" applyBorder="1" applyAlignment="1" applyProtection="1">
      <alignment horizontal="center"/>
    </xf>
    <xf numFmtId="0" fontId="0" fillId="22" borderId="43" xfId="0" applyFill="1" applyBorder="1" applyAlignment="1" applyProtection="1">
      <alignment horizontal="center"/>
    </xf>
    <xf numFmtId="49" fontId="0" fillId="0" borderId="10" xfId="0" applyNumberFormat="1" applyBorder="1" applyAlignment="1" applyProtection="1">
      <alignment horizontal="center"/>
      <protection locked="0"/>
    </xf>
    <xf numFmtId="0" fontId="2" fillId="0" borderId="238" xfId="0" applyFont="1" applyFill="1" applyBorder="1" applyAlignment="1" applyProtection="1">
      <alignment horizontal="center" vertical="center" wrapText="1"/>
    </xf>
    <xf numFmtId="0" fontId="2" fillId="0" borderId="248" xfId="0" applyFont="1" applyFill="1" applyBorder="1" applyAlignment="1" applyProtection="1">
      <alignment horizontal="center" vertical="center" wrapText="1"/>
    </xf>
    <xf numFmtId="0" fontId="2" fillId="0" borderId="240" xfId="0" applyFont="1" applyFill="1" applyBorder="1" applyAlignment="1" applyProtection="1">
      <alignment horizontal="center" vertical="center" wrapText="1"/>
    </xf>
    <xf numFmtId="0" fontId="2" fillId="0" borderId="247" xfId="0" applyFont="1" applyFill="1" applyBorder="1" applyAlignment="1" applyProtection="1">
      <alignment horizontal="center" vertical="center" wrapText="1"/>
    </xf>
    <xf numFmtId="0" fontId="2" fillId="24" borderId="240" xfId="0" applyFont="1" applyFill="1" applyBorder="1" applyAlignment="1" applyProtection="1">
      <alignment horizontal="center" vertical="center" wrapText="1"/>
    </xf>
    <xf numFmtId="0" fontId="2" fillId="24" borderId="121" xfId="0" applyFont="1" applyFill="1" applyBorder="1" applyAlignment="1" applyProtection="1">
      <alignment horizontal="center" vertical="center" wrapText="1"/>
    </xf>
    <xf numFmtId="0" fontId="2" fillId="0" borderId="239" xfId="0" applyFont="1" applyFill="1" applyBorder="1" applyAlignment="1" applyProtection="1">
      <alignment horizontal="center" vertical="center" wrapText="1"/>
    </xf>
    <xf numFmtId="0" fontId="2" fillId="0" borderId="121" xfId="0" applyFont="1" applyFill="1" applyBorder="1" applyAlignment="1" applyProtection="1">
      <alignment horizontal="center" vertical="center" wrapText="1"/>
    </xf>
    <xf numFmtId="0" fontId="134" fillId="28" borderId="238" xfId="0" applyNumberFormat="1" applyFont="1" applyFill="1" applyBorder="1" applyAlignment="1" applyProtection="1">
      <alignment horizontal="center" vertical="center" wrapText="1"/>
      <protection locked="0"/>
    </xf>
    <xf numFmtId="0" fontId="134" fillId="28" borderId="239" xfId="0" applyNumberFormat="1" applyFont="1" applyFill="1" applyBorder="1" applyAlignment="1" applyProtection="1">
      <alignment horizontal="center" vertical="center" wrapText="1"/>
      <protection locked="0"/>
    </xf>
    <xf numFmtId="0" fontId="2" fillId="24" borderId="238" xfId="0" applyFont="1" applyFill="1" applyBorder="1" applyAlignment="1" applyProtection="1">
      <alignment horizontal="center" vertical="center" wrapText="1"/>
    </xf>
    <xf numFmtId="0" fontId="2" fillId="24" borderId="239" xfId="0" applyFont="1" applyFill="1" applyBorder="1" applyAlignment="1" applyProtection="1">
      <alignment horizontal="center" vertical="center" wrapText="1"/>
    </xf>
    <xf numFmtId="0" fontId="0" fillId="31" borderId="103" xfId="0" applyFill="1" applyBorder="1" applyAlignment="1" applyProtection="1">
      <alignment horizontal="center"/>
    </xf>
    <xf numFmtId="0" fontId="0" fillId="31" borderId="104" xfId="0" applyFill="1" applyBorder="1" applyAlignment="1" applyProtection="1">
      <alignment horizontal="center"/>
    </xf>
    <xf numFmtId="0" fontId="0" fillId="31" borderId="105" xfId="0" applyFill="1" applyBorder="1" applyAlignment="1" applyProtection="1">
      <alignment horizontal="center"/>
    </xf>
    <xf numFmtId="49" fontId="134" fillId="22" borderId="43" xfId="0" applyNumberFormat="1" applyFont="1" applyFill="1" applyBorder="1" applyAlignment="1" applyProtection="1">
      <alignment horizontal="center" vertical="center" wrapText="1"/>
      <protection locked="0"/>
    </xf>
    <xf numFmtId="49" fontId="134" fillId="28" borderId="43" xfId="0" applyNumberFormat="1" applyFont="1" applyFill="1" applyBorder="1" applyAlignment="1" applyProtection="1">
      <alignment horizontal="center" vertical="center" wrapText="1"/>
      <protection locked="0"/>
    </xf>
    <xf numFmtId="9" fontId="33" fillId="0" borderId="99" xfId="61" applyFont="1" applyFill="1" applyBorder="1" applyAlignment="1" applyProtection="1">
      <alignment horizontal="center" vertical="center"/>
    </xf>
    <xf numFmtId="9" fontId="33" fillId="0" borderId="100" xfId="61" applyFont="1" applyFill="1" applyBorder="1" applyAlignment="1" applyProtection="1">
      <alignment horizontal="center" vertical="center"/>
    </xf>
    <xf numFmtId="9" fontId="33" fillId="0" borderId="101" xfId="61" applyFont="1" applyFill="1" applyBorder="1" applyAlignment="1" applyProtection="1">
      <alignment horizontal="center" vertical="center"/>
    </xf>
    <xf numFmtId="0" fontId="122" fillId="0" borderId="271" xfId="0" applyFont="1" applyBorder="1" applyAlignment="1">
      <alignment horizontal="center" vertical="center" wrapText="1"/>
    </xf>
    <xf numFmtId="0" fontId="122" fillId="0" borderId="272" xfId="0" applyFont="1" applyBorder="1" applyAlignment="1">
      <alignment horizontal="center" vertical="center" wrapText="1"/>
    </xf>
    <xf numFmtId="0" fontId="138" fillId="43" borderId="263" xfId="0" applyFont="1" applyFill="1" applyBorder="1" applyAlignment="1" applyProtection="1">
      <alignment horizontal="center" vertical="center"/>
      <protection locked="0"/>
    </xf>
    <xf numFmtId="0" fontId="138" fillId="43" borderId="264" xfId="0" applyFont="1" applyFill="1" applyBorder="1" applyAlignment="1" applyProtection="1">
      <alignment horizontal="center" vertical="center"/>
      <protection locked="0"/>
    </xf>
    <xf numFmtId="0" fontId="138" fillId="43" borderId="53" xfId="0" applyFont="1" applyFill="1" applyBorder="1" applyAlignment="1" applyProtection="1">
      <alignment horizontal="center" vertical="center"/>
      <protection locked="0"/>
    </xf>
    <xf numFmtId="0" fontId="138" fillId="43" borderId="96" xfId="0" applyFont="1" applyFill="1" applyBorder="1" applyAlignment="1" applyProtection="1">
      <alignment horizontal="center" vertical="center"/>
    </xf>
    <xf numFmtId="0" fontId="138" fillId="43" borderId="122" xfId="0" applyFont="1" applyFill="1" applyBorder="1" applyAlignment="1" applyProtection="1">
      <alignment horizontal="center" vertical="center"/>
    </xf>
    <xf numFmtId="0" fontId="134" fillId="22" borderId="238" xfId="0" applyNumberFormat="1" applyFont="1" applyFill="1" applyBorder="1" applyAlignment="1" applyProtection="1">
      <alignment horizontal="center" vertical="center" wrapText="1"/>
      <protection locked="0"/>
    </xf>
    <xf numFmtId="0" fontId="134" fillId="22" borderId="239" xfId="0" applyNumberFormat="1" applyFont="1" applyFill="1" applyBorder="1" applyAlignment="1" applyProtection="1">
      <alignment horizontal="center" vertical="center" wrapText="1"/>
      <protection locked="0"/>
    </xf>
    <xf numFmtId="0" fontId="134" fillId="0" borderId="102" xfId="0" applyFont="1" applyFill="1" applyBorder="1" applyAlignment="1" applyProtection="1">
      <alignment horizontal="center" vertical="center" wrapText="1"/>
    </xf>
    <xf numFmtId="0" fontId="134" fillId="24" borderId="102" xfId="0" applyFont="1" applyFill="1" applyBorder="1" applyAlignment="1" applyProtection="1">
      <alignment horizontal="center" vertical="center" wrapText="1"/>
    </xf>
    <xf numFmtId="0" fontId="134" fillId="24" borderId="43" xfId="0" applyFont="1" applyFill="1" applyBorder="1" applyAlignment="1" applyProtection="1">
      <alignment horizontal="center" vertical="center" wrapText="1"/>
    </xf>
    <xf numFmtId="0" fontId="134" fillId="0" borderId="112" xfId="0" applyFont="1" applyFill="1" applyBorder="1" applyAlignment="1" applyProtection="1">
      <alignment horizontal="center" vertical="center" wrapText="1"/>
    </xf>
    <xf numFmtId="0" fontId="134" fillId="0" borderId="43" xfId="0" applyFont="1" applyFill="1" applyBorder="1" applyAlignment="1" applyProtection="1">
      <alignment horizontal="center" vertical="center" wrapText="1"/>
    </xf>
    <xf numFmtId="0" fontId="134" fillId="0" borderId="113" xfId="0" applyFont="1" applyFill="1" applyBorder="1" applyAlignment="1" applyProtection="1">
      <alignment horizontal="center" vertical="center" wrapText="1"/>
    </xf>
    <xf numFmtId="0" fontId="134" fillId="22" borderId="106" xfId="0" applyNumberFormat="1" applyFont="1" applyFill="1" applyBorder="1" applyAlignment="1" applyProtection="1">
      <alignment horizontal="center" vertical="center" wrapText="1"/>
      <protection locked="0"/>
    </xf>
    <xf numFmtId="164" fontId="17" fillId="30" borderId="0" xfId="38" applyFont="1" applyFill="1" applyAlignment="1" applyProtection="1">
      <alignment horizontal="center" vertical="center"/>
    </xf>
    <xf numFmtId="164" fontId="24" fillId="25" borderId="38" xfId="56" applyFont="1" applyFill="1" applyBorder="1" applyAlignment="1" applyProtection="1">
      <alignment horizontal="center"/>
    </xf>
    <xf numFmtId="164" fontId="33" fillId="25" borderId="0" xfId="49" applyFont="1" applyFill="1" applyAlignment="1" applyProtection="1">
      <alignment horizontal="center" vertical="center" wrapText="1"/>
    </xf>
    <xf numFmtId="175" fontId="24" fillId="25" borderId="38" xfId="56" applyNumberFormat="1" applyFont="1" applyFill="1" applyBorder="1" applyAlignment="1" applyProtection="1">
      <alignment horizontal="center" vertical="center"/>
    </xf>
    <xf numFmtId="164" fontId="1" fillId="0" borderId="38" xfId="56" applyFont="1" applyBorder="1" applyAlignment="1" applyProtection="1">
      <alignment horizontal="right"/>
    </xf>
    <xf numFmtId="164" fontId="1" fillId="0" borderId="38" xfId="56" applyFont="1" applyFill="1" applyBorder="1" applyAlignment="1" applyProtection="1">
      <alignment horizontal="right" wrapText="1"/>
    </xf>
    <xf numFmtId="164" fontId="20" fillId="0" borderId="0" xfId="49" applyFont="1" applyFill="1" applyAlignment="1" applyProtection="1">
      <alignment horizontal="right" vertical="center"/>
    </xf>
    <xf numFmtId="164" fontId="24" fillId="25" borderId="0" xfId="49" applyFont="1" applyFill="1" applyAlignment="1" applyProtection="1">
      <alignment horizontal="center" vertical="center" wrapText="1"/>
    </xf>
    <xf numFmtId="164" fontId="1" fillId="0" borderId="38" xfId="56" applyFont="1" applyFill="1" applyBorder="1" applyAlignment="1" applyProtection="1">
      <alignment horizontal="right" vertical="top" wrapText="1"/>
    </xf>
    <xf numFmtId="0" fontId="0" fillId="0" borderId="38" xfId="0" applyBorder="1" applyAlignment="1"/>
    <xf numFmtId="164" fontId="102" fillId="33" borderId="38" xfId="56" applyFont="1" applyFill="1" applyBorder="1" applyAlignment="1" applyProtection="1">
      <alignment horizontal="center" wrapText="1"/>
    </xf>
    <xf numFmtId="15" fontId="24" fillId="25" borderId="38" xfId="56" applyNumberFormat="1" applyFont="1" applyFill="1" applyBorder="1" applyAlignment="1" applyProtection="1">
      <alignment horizontal="center"/>
    </xf>
    <xf numFmtId="0" fontId="34" fillId="22" borderId="41" xfId="0" applyFont="1" applyFill="1" applyBorder="1" applyAlignment="1" applyProtection="1">
      <alignment horizontal="left" wrapText="1"/>
      <protection locked="0"/>
    </xf>
    <xf numFmtId="0" fontId="34" fillId="22" borderId="42"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43" xfId="0" applyBorder="1" applyAlignment="1" applyProtection="1">
      <alignment horizontal="left" wrapText="1"/>
      <protection locked="0"/>
    </xf>
    <xf numFmtId="0" fontId="103" fillId="0" borderId="123" xfId="0" applyFont="1" applyFill="1" applyBorder="1" applyAlignment="1" applyProtection="1">
      <alignment horizontal="left" wrapText="1"/>
    </xf>
    <xf numFmtId="0" fontId="103" fillId="0" borderId="73" xfId="0" applyFont="1" applyFill="1" applyBorder="1" applyAlignment="1" applyProtection="1">
      <alignment horizontal="left" wrapText="1"/>
    </xf>
    <xf numFmtId="0" fontId="103" fillId="0" borderId="124" xfId="0" applyFont="1" applyFill="1" applyBorder="1" applyAlignment="1" applyProtection="1">
      <alignment horizontal="left" wrapText="1"/>
    </xf>
    <xf numFmtId="0" fontId="103" fillId="0" borderId="125" xfId="0" applyFont="1" applyFill="1" applyBorder="1" applyAlignment="1" applyProtection="1">
      <alignment horizontal="left" wrapText="1"/>
    </xf>
    <xf numFmtId="164" fontId="60" fillId="30" borderId="0" xfId="47" applyFont="1" applyFill="1" applyAlignment="1">
      <alignment horizontal="center" vertical="center"/>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3" borderId="0" xfId="56" applyFont="1" applyFill="1" applyBorder="1" applyAlignment="1" applyProtection="1">
      <alignment horizontal="center" wrapText="1"/>
    </xf>
    <xf numFmtId="0" fontId="100" fillId="0" borderId="0" xfId="0" applyFont="1" applyAlignment="1" applyProtection="1">
      <alignment horizontal="center"/>
    </xf>
    <xf numFmtId="164" fontId="99" fillId="0" borderId="103" xfId="0" applyNumberFormat="1" applyFont="1" applyBorder="1" applyAlignment="1" applyProtection="1">
      <alignment horizontal="center" vertical="center" wrapText="1"/>
    </xf>
    <xf numFmtId="164" fontId="99" fillId="0" borderId="104" xfId="0" applyNumberFormat="1" applyFont="1" applyBorder="1" applyAlignment="1" applyProtection="1">
      <alignment horizontal="center" vertical="center" wrapText="1"/>
    </xf>
    <xf numFmtId="164" fontId="99" fillId="0" borderId="105" xfId="0" applyNumberFormat="1" applyFont="1" applyBorder="1" applyAlignment="1" applyProtection="1">
      <alignment horizontal="center" vertical="center" wrapText="1"/>
    </xf>
    <xf numFmtId="0" fontId="0" fillId="0" borderId="126" xfId="0" applyBorder="1" applyAlignment="1" applyProtection="1">
      <alignment horizontal="center"/>
    </xf>
    <xf numFmtId="0" fontId="0" fillId="0" borderId="56" xfId="0" applyBorder="1" applyAlignment="1" applyProtection="1">
      <alignment horizontal="center"/>
    </xf>
    <xf numFmtId="0" fontId="30" fillId="22" borderId="41" xfId="0" applyFont="1" applyFill="1" applyBorder="1" applyAlignment="1" applyProtection="1">
      <alignment horizontal="left" wrapText="1"/>
      <protection locked="0"/>
    </xf>
    <xf numFmtId="164" fontId="15" fillId="33" borderId="0" xfId="56" applyFont="1" applyFill="1" applyBorder="1" applyAlignment="1" applyProtection="1">
      <alignment horizontal="center" vertical="center" wrapText="1"/>
    </xf>
    <xf numFmtId="164" fontId="14" fillId="0" borderId="0" xfId="0" applyNumberFormat="1" applyFont="1" applyAlignment="1">
      <alignment horizontal="center"/>
    </xf>
    <xf numFmtId="164" fontId="28" fillId="0" borderId="0" xfId="0" applyNumberFormat="1" applyFont="1" applyAlignment="1">
      <alignment horizontal="right"/>
    </xf>
    <xf numFmtId="0" fontId="176" fillId="22" borderId="104" xfId="0" applyFont="1" applyFill="1" applyBorder="1" applyAlignment="1" applyProtection="1">
      <alignment horizontal="left" vertical="top" wrapText="1"/>
      <protection locked="0"/>
    </xf>
    <xf numFmtId="0" fontId="176" fillId="22" borderId="105" xfId="0" applyFont="1" applyFill="1" applyBorder="1" applyAlignment="1" applyProtection="1">
      <alignment horizontal="left" vertical="top" wrapText="1"/>
      <protection locked="0"/>
    </xf>
    <xf numFmtId="164" fontId="35" fillId="0" borderId="0" xfId="0" applyNumberFormat="1" applyFont="1" applyAlignment="1">
      <alignment horizontal="left" vertical="center" wrapText="1"/>
    </xf>
    <xf numFmtId="0" fontId="14" fillId="0" borderId="0" xfId="0" applyFont="1" applyBorder="1" applyAlignment="1">
      <alignment horizontal="center"/>
    </xf>
    <xf numFmtId="164" fontId="28" fillId="0" borderId="0" xfId="0" applyNumberFormat="1" applyFont="1" applyAlignment="1">
      <alignment horizontal="left" vertical="center" wrapText="1"/>
    </xf>
    <xf numFmtId="0" fontId="180" fillId="22" borderId="104" xfId="0" applyFont="1" applyFill="1" applyBorder="1" applyAlignment="1" applyProtection="1">
      <alignment horizontal="left" vertical="top" wrapText="1"/>
      <protection locked="0"/>
    </xf>
    <xf numFmtId="0" fontId="178" fillId="22" borderId="104" xfId="0" applyFont="1" applyFill="1" applyBorder="1" applyAlignment="1" applyProtection="1">
      <alignment horizontal="left" vertical="top" wrapText="1"/>
      <protection locked="0"/>
    </xf>
    <xf numFmtId="0" fontId="178" fillId="22" borderId="105" xfId="0" applyFont="1" applyFill="1" applyBorder="1" applyAlignment="1" applyProtection="1">
      <alignment horizontal="left" vertical="top" wrapText="1"/>
      <protection locked="0"/>
    </xf>
    <xf numFmtId="0" fontId="122" fillId="55" borderId="265" xfId="0" applyFont="1" applyFill="1" applyBorder="1" applyAlignment="1" applyProtection="1">
      <alignment horizontal="center" vertical="center"/>
    </xf>
    <xf numFmtId="0" fontId="122" fillId="55" borderId="267" xfId="0" applyFont="1" applyFill="1" applyBorder="1" applyAlignment="1" applyProtection="1">
      <alignment horizontal="center" vertical="center"/>
    </xf>
    <xf numFmtId="0" fontId="122" fillId="55" borderId="268" xfId="0" applyFont="1" applyFill="1" applyBorder="1" applyAlignment="1" applyProtection="1">
      <alignment horizontal="center" vertical="center"/>
    </xf>
    <xf numFmtId="0" fontId="122" fillId="54" borderId="263" xfId="0" applyFont="1" applyFill="1" applyBorder="1" applyAlignment="1" applyProtection="1">
      <alignment horizontal="center" vertical="center" wrapText="1"/>
    </xf>
    <xf numFmtId="0" fontId="0" fillId="0" borderId="264" xfId="0" applyBorder="1" applyAlignment="1">
      <alignment horizontal="center" wrapText="1"/>
    </xf>
    <xf numFmtId="0" fontId="30" fillId="22" borderId="0" xfId="0" applyFont="1" applyFill="1" applyBorder="1" applyAlignment="1" applyProtection="1">
      <alignment horizontal="left" vertical="top" wrapText="1"/>
      <protection locked="0"/>
    </xf>
    <xf numFmtId="0" fontId="30" fillId="22" borderId="0" xfId="0" applyFont="1" applyFill="1" applyBorder="1" applyAlignment="1" applyProtection="1">
      <alignment horizontal="left" vertical="top"/>
      <protection locked="0"/>
    </xf>
    <xf numFmtId="0" fontId="34" fillId="22" borderId="104" xfId="0" applyFont="1" applyFill="1" applyBorder="1" applyAlignment="1" applyProtection="1">
      <alignment horizontal="left" vertical="top" wrapText="1"/>
      <protection locked="0"/>
    </xf>
    <xf numFmtId="0" fontId="34" fillId="22" borderId="105" xfId="0" applyFont="1" applyFill="1" applyBorder="1" applyAlignment="1" applyProtection="1">
      <alignment horizontal="left" vertical="top" wrapText="1"/>
      <protection locked="0"/>
    </xf>
    <xf numFmtId="164" fontId="35" fillId="0" borderId="0" xfId="0" applyNumberFormat="1" applyFont="1" applyAlignment="1">
      <alignment horizontal="center" vertical="center" wrapText="1"/>
    </xf>
    <xf numFmtId="164" fontId="35" fillId="0" borderId="0" xfId="0" applyNumberFormat="1" applyFont="1" applyAlignment="1">
      <alignment horizontal="center" vertical="center"/>
    </xf>
    <xf numFmtId="0" fontId="83" fillId="0" borderId="0" xfId="0" applyFont="1" applyAlignment="1">
      <alignment horizontal="left" wrapText="1"/>
    </xf>
    <xf numFmtId="0" fontId="179" fillId="22" borderId="0" xfId="0" applyFont="1" applyFill="1" applyBorder="1" applyAlignment="1" applyProtection="1">
      <alignment horizontal="left" vertical="top" wrapText="1"/>
      <protection locked="0"/>
    </xf>
    <xf numFmtId="0" fontId="176" fillId="22" borderId="0" xfId="0" applyFont="1" applyFill="1" applyBorder="1" applyAlignment="1" applyProtection="1">
      <alignment horizontal="left" vertical="top" wrapText="1"/>
      <protection locked="0"/>
    </xf>
    <xf numFmtId="0" fontId="34" fillId="22" borderId="0" xfId="0" applyFont="1" applyFill="1" applyBorder="1" applyAlignment="1" applyProtection="1">
      <alignment horizontal="left" vertical="top" wrapText="1"/>
      <protection locked="0"/>
    </xf>
    <xf numFmtId="9" fontId="21" fillId="35" borderId="41" xfId="61" applyFont="1" applyFill="1" applyBorder="1" applyAlignment="1" applyProtection="1">
      <alignment horizontal="left" vertical="center" wrapText="1"/>
      <protection locked="0"/>
    </xf>
    <xf numFmtId="0" fontId="0" fillId="35" borderId="42" xfId="0" applyFill="1" applyBorder="1" applyAlignment="1">
      <alignment horizontal="left" vertical="center" wrapText="1"/>
    </xf>
    <xf numFmtId="0" fontId="0" fillId="35" borderId="43" xfId="0" applyFill="1" applyBorder="1" applyAlignment="1">
      <alignment horizontal="left" vertical="center" wrapText="1"/>
    </xf>
    <xf numFmtId="0" fontId="28" fillId="22" borderId="255" xfId="0" applyFont="1" applyFill="1" applyBorder="1" applyAlignment="1" applyProtection="1">
      <alignment horizontal="left" vertical="top" wrapText="1"/>
      <protection locked="0"/>
    </xf>
    <xf numFmtId="0" fontId="28" fillId="0" borderId="104" xfId="0" applyFont="1" applyBorder="1" applyAlignment="1">
      <alignment horizontal="left" vertical="top" wrapText="1"/>
    </xf>
    <xf numFmtId="0" fontId="28" fillId="0" borderId="256" xfId="0" applyFont="1" applyBorder="1" applyAlignment="1">
      <alignment horizontal="left" vertical="top" wrapText="1"/>
    </xf>
    <xf numFmtId="9" fontId="0" fillId="35" borderId="10" xfId="61" applyFont="1" applyFill="1" applyBorder="1" applyAlignment="1" applyProtection="1">
      <alignment horizontal="left" vertical="center" wrapText="1"/>
      <protection locked="0"/>
    </xf>
    <xf numFmtId="9" fontId="1" fillId="35" borderId="10" xfId="61" applyFont="1" applyFill="1" applyBorder="1" applyAlignment="1" applyProtection="1">
      <alignment horizontal="left" vertical="center" wrapText="1"/>
      <protection locked="0"/>
    </xf>
    <xf numFmtId="0" fontId="21" fillId="35" borderId="41" xfId="0" applyFont="1" applyFill="1" applyBorder="1" applyAlignment="1" applyProtection="1">
      <alignment vertical="center" wrapText="1"/>
    </xf>
    <xf numFmtId="0" fontId="21" fillId="35" borderId="42" xfId="0" applyFont="1" applyFill="1" applyBorder="1" applyAlignment="1" applyProtection="1">
      <alignment vertical="center" wrapText="1"/>
    </xf>
    <xf numFmtId="0" fontId="21" fillId="35" borderId="43" xfId="0" applyFont="1" applyFill="1" applyBorder="1" applyAlignment="1" applyProtection="1">
      <alignment vertical="center" wrapText="1"/>
    </xf>
    <xf numFmtId="9" fontId="1" fillId="0" borderId="41" xfId="61" applyFont="1" applyBorder="1" applyAlignment="1" applyProtection="1">
      <alignment horizontal="center" vertical="center" wrapText="1"/>
    </xf>
    <xf numFmtId="9" fontId="1" fillId="0" borderId="42" xfId="61" applyFont="1" applyBorder="1" applyAlignment="1" applyProtection="1">
      <alignment horizontal="center" vertical="center" wrapText="1"/>
    </xf>
    <xf numFmtId="9" fontId="1" fillId="0" borderId="43" xfId="61" applyFont="1" applyBorder="1" applyAlignment="1" applyProtection="1">
      <alignment horizontal="center" vertical="center" wrapText="1"/>
    </xf>
    <xf numFmtId="164" fontId="100" fillId="0" borderId="0" xfId="0" applyNumberFormat="1" applyFont="1" applyAlignment="1" applyProtection="1">
      <alignment horizontal="center"/>
    </xf>
    <xf numFmtId="0" fontId="0" fillId="0" borderId="0" xfId="0" applyAlignment="1">
      <alignment horizontal="center"/>
    </xf>
    <xf numFmtId="0" fontId="28" fillId="0" borderId="105" xfId="0" applyFont="1" applyBorder="1" applyAlignment="1">
      <alignment horizontal="left" vertical="top" wrapText="1"/>
    </xf>
    <xf numFmtId="0" fontId="34" fillId="0" borderId="41" xfId="0" applyFont="1" applyBorder="1" applyAlignment="1" applyProtection="1">
      <alignment horizontal="center" vertical="center"/>
    </xf>
    <xf numFmtId="0" fontId="34" fillId="0" borderId="42" xfId="0" applyFont="1" applyBorder="1" applyAlignment="1" applyProtection="1">
      <alignment horizontal="center" vertical="center"/>
    </xf>
    <xf numFmtId="0" fontId="34" fillId="0" borderId="43" xfId="0" applyFont="1" applyBorder="1" applyAlignment="1" applyProtection="1">
      <alignment horizontal="center" vertical="center"/>
    </xf>
    <xf numFmtId="9" fontId="1" fillId="22" borderId="10" xfId="61" applyFont="1" applyFill="1" applyBorder="1" applyAlignment="1" applyProtection="1">
      <alignment horizontal="left" vertical="center" wrapText="1"/>
      <protection locked="0"/>
    </xf>
    <xf numFmtId="9" fontId="28" fillId="0" borderId="41" xfId="61" applyFont="1" applyBorder="1" applyAlignment="1" applyProtection="1">
      <alignment horizontal="center" vertical="center" wrapText="1"/>
    </xf>
    <xf numFmtId="9" fontId="28" fillId="0" borderId="42" xfId="61" applyFont="1" applyBorder="1" applyAlignment="1" applyProtection="1">
      <alignment horizontal="center" vertical="center" wrapText="1"/>
    </xf>
    <xf numFmtId="9" fontId="28" fillId="0" borderId="43" xfId="61" applyFont="1" applyBorder="1" applyAlignment="1" applyProtection="1">
      <alignment horizontal="center" vertical="center" wrapText="1"/>
    </xf>
    <xf numFmtId="0" fontId="28" fillId="0" borderId="94" xfId="0" applyFont="1" applyBorder="1" applyAlignment="1" applyProtection="1">
      <alignment horizontal="left" vertical="center" wrapText="1"/>
    </xf>
    <xf numFmtId="9" fontId="36" fillId="34" borderId="41" xfId="61" applyFont="1" applyFill="1" applyBorder="1" applyAlignment="1" applyProtection="1">
      <alignment horizontal="center" vertical="center" wrapText="1"/>
    </xf>
    <xf numFmtId="9" fontId="36" fillId="34" borderId="43" xfId="61" applyFont="1" applyFill="1" applyBorder="1" applyAlignment="1" applyProtection="1">
      <alignment horizontal="center" vertical="center" wrapText="1"/>
    </xf>
    <xf numFmtId="0" fontId="21" fillId="35" borderId="41" xfId="0" applyFont="1" applyFill="1" applyBorder="1" applyAlignment="1" applyProtection="1">
      <alignment horizontal="left" vertical="center" wrapText="1"/>
    </xf>
    <xf numFmtId="0" fontId="21" fillId="35" borderId="42"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xf>
    <xf numFmtId="9" fontId="1" fillId="0" borderId="41" xfId="61" applyNumberFormat="1" applyFont="1" applyBorder="1" applyAlignment="1" applyProtection="1">
      <alignment horizontal="center" vertical="center" wrapText="1"/>
    </xf>
    <xf numFmtId="9" fontId="1" fillId="0" borderId="42" xfId="61" applyNumberFormat="1" applyFont="1" applyBorder="1" applyAlignment="1" applyProtection="1">
      <alignment horizontal="center" vertical="center" wrapText="1"/>
    </xf>
    <xf numFmtId="9" fontId="1" fillId="0" borderId="43" xfId="61" applyNumberFormat="1" applyFont="1" applyBorder="1" applyAlignment="1" applyProtection="1">
      <alignment horizontal="center" vertical="center" wrapText="1"/>
    </xf>
    <xf numFmtId="0" fontId="1" fillId="35" borderId="10" xfId="0" applyFont="1" applyFill="1" applyBorder="1" applyAlignment="1" applyProtection="1">
      <alignment vertical="center" wrapText="1"/>
    </xf>
    <xf numFmtId="9" fontId="21" fillId="35" borderId="42" xfId="61" applyFont="1" applyFill="1" applyBorder="1" applyAlignment="1" applyProtection="1">
      <alignment horizontal="left" vertical="center" wrapText="1"/>
      <protection locked="0"/>
    </xf>
    <xf numFmtId="9" fontId="21" fillId="35" borderId="43" xfId="61" applyFont="1" applyFill="1" applyBorder="1" applyAlignment="1" applyProtection="1">
      <alignment horizontal="left" vertical="center" wrapText="1"/>
      <protection locked="0"/>
    </xf>
    <xf numFmtId="9" fontId="119" fillId="31" borderId="41" xfId="61" applyFont="1" applyFill="1" applyBorder="1" applyAlignment="1" applyProtection="1">
      <alignment horizontal="center" vertical="center" wrapText="1"/>
    </xf>
    <xf numFmtId="9" fontId="119" fillId="31" borderId="43" xfId="61" applyFont="1" applyFill="1" applyBorder="1" applyAlignment="1" applyProtection="1">
      <alignment horizontal="center" vertical="center" wrapText="1"/>
    </xf>
    <xf numFmtId="9" fontId="120" fillId="34" borderId="41" xfId="61" applyFont="1" applyFill="1" applyBorder="1" applyAlignment="1" applyProtection="1">
      <alignment horizontal="center" vertical="center" wrapText="1"/>
    </xf>
    <xf numFmtId="9" fontId="120" fillId="34" borderId="43" xfId="61" applyFont="1" applyFill="1" applyBorder="1" applyAlignment="1" applyProtection="1">
      <alignment horizontal="center" vertical="center" wrapText="1"/>
    </xf>
    <xf numFmtId="0" fontId="33" fillId="0" borderId="97" xfId="0" applyFont="1" applyBorder="1" applyAlignment="1" applyProtection="1">
      <alignment horizontal="center"/>
    </xf>
    <xf numFmtId="0" fontId="122" fillId="0" borderId="10" xfId="0" applyFont="1" applyBorder="1" applyAlignment="1" applyProtection="1">
      <alignment horizontal="center" vertical="center" wrapText="1"/>
    </xf>
    <xf numFmtId="0" fontId="122" fillId="0" borderId="41" xfId="0" applyFont="1" applyBorder="1" applyAlignment="1" applyProtection="1">
      <alignment vertical="center" wrapText="1"/>
    </xf>
    <xf numFmtId="0" fontId="122" fillId="0" borderId="42" xfId="0" applyFont="1" applyBorder="1" applyAlignment="1" applyProtection="1">
      <alignment vertical="center" wrapText="1"/>
    </xf>
    <xf numFmtId="0" fontId="122" fillId="0" borderId="43" xfId="0" applyFont="1" applyBorder="1" applyAlignment="1" applyProtection="1">
      <alignment vertical="center" wrapText="1"/>
    </xf>
    <xf numFmtId="49" fontId="122" fillId="0" borderId="41" xfId="0" applyNumberFormat="1" applyFont="1" applyBorder="1" applyAlignment="1" applyProtection="1">
      <alignment vertical="center" wrapText="1"/>
    </xf>
    <xf numFmtId="49" fontId="122" fillId="0" borderId="42" xfId="0" applyNumberFormat="1" applyFont="1" applyBorder="1" applyAlignment="1" applyProtection="1">
      <alignment vertical="center" wrapText="1"/>
    </xf>
    <xf numFmtId="49" fontId="122" fillId="0" borderId="43" xfId="0" applyNumberFormat="1" applyFont="1" applyBorder="1" applyAlignment="1" applyProtection="1">
      <alignment vertical="center" wrapText="1"/>
    </xf>
    <xf numFmtId="0" fontId="34" fillId="20" borderId="12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0" fillId="22" borderId="10" xfId="61" applyFont="1" applyFill="1" applyBorder="1" applyAlignment="1" applyProtection="1">
      <alignment horizontal="left" vertical="center" wrapText="1"/>
      <protection locked="0"/>
    </xf>
    <xf numFmtId="9" fontId="1" fillId="22" borderId="10" xfId="61" applyFont="1" applyFill="1" applyBorder="1" applyAlignment="1" applyProtection="1">
      <alignment horizontal="left" vertical="top" wrapText="1"/>
      <protection locked="0"/>
    </xf>
    <xf numFmtId="9" fontId="129" fillId="22" borderId="10" xfId="61" applyFont="1" applyFill="1" applyBorder="1" applyAlignment="1" applyProtection="1">
      <alignment horizontal="left" vertical="center" wrapText="1"/>
      <protection locked="0"/>
    </xf>
    <xf numFmtId="0" fontId="34" fillId="20" borderId="0" xfId="0" applyFont="1" applyFill="1" applyBorder="1" applyAlignment="1" applyProtection="1">
      <alignment horizontal="left"/>
    </xf>
    <xf numFmtId="9" fontId="1" fillId="35" borderId="41" xfId="61" applyFont="1" applyFill="1" applyBorder="1" applyAlignment="1" applyProtection="1">
      <alignment horizontal="center" vertical="center" wrapText="1"/>
    </xf>
    <xf numFmtId="0" fontId="0" fillId="35" borderId="42" xfId="0" applyFill="1" applyBorder="1" applyAlignment="1">
      <alignment horizontal="center" vertical="center" wrapText="1"/>
    </xf>
    <xf numFmtId="0" fontId="0" fillId="35" borderId="43" xfId="0" applyFill="1" applyBorder="1" applyAlignment="1">
      <alignment horizontal="center" vertical="center" wrapText="1"/>
    </xf>
    <xf numFmtId="9" fontId="28" fillId="0" borderId="41" xfId="61" applyFont="1" applyFill="1" applyBorder="1" applyAlignment="1" applyProtection="1">
      <alignment horizontal="center" vertical="center" wrapText="1"/>
    </xf>
    <xf numFmtId="9" fontId="28" fillId="0" borderId="42" xfId="61" applyFont="1" applyFill="1" applyBorder="1" applyAlignment="1" applyProtection="1">
      <alignment horizontal="center" vertical="center" wrapText="1"/>
    </xf>
    <xf numFmtId="9" fontId="28" fillId="0" borderId="43" xfId="61" applyFont="1" applyFill="1" applyBorder="1" applyAlignment="1" applyProtection="1">
      <alignment horizontal="center" vertical="center" wrapText="1"/>
    </xf>
    <xf numFmtId="0" fontId="34" fillId="20" borderId="0" xfId="0" applyFont="1" applyFill="1" applyAlignment="1" applyProtection="1">
      <alignment horizontal="center" vertical="center" wrapText="1"/>
    </xf>
    <xf numFmtId="0" fontId="123" fillId="20" borderId="41" xfId="0" applyFont="1" applyFill="1" applyBorder="1" applyAlignment="1" applyProtection="1">
      <alignment vertical="center" wrapText="1"/>
    </xf>
    <xf numFmtId="0" fontId="123" fillId="20" borderId="42" xfId="0" applyFont="1" applyFill="1" applyBorder="1" applyAlignment="1" applyProtection="1">
      <alignment vertical="center" wrapText="1"/>
    </xf>
    <xf numFmtId="0" fontId="123" fillId="20" borderId="43" xfId="0" applyFont="1" applyFill="1" applyBorder="1" applyAlignment="1" applyProtection="1">
      <alignment vertical="center" wrapText="1"/>
    </xf>
    <xf numFmtId="9" fontId="28" fillId="41" borderId="41" xfId="61" applyFont="1" applyFill="1" applyBorder="1" applyAlignment="1" applyProtection="1">
      <alignment horizontal="center" vertical="center" wrapText="1"/>
    </xf>
    <xf numFmtId="9" fontId="28" fillId="41" borderId="42" xfId="61" applyFont="1" applyFill="1" applyBorder="1" applyAlignment="1" applyProtection="1">
      <alignment horizontal="center" vertical="center" wrapText="1"/>
    </xf>
    <xf numFmtId="9" fontId="28" fillId="41" borderId="43" xfId="6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39" xfId="0" applyFont="1" applyFill="1" applyBorder="1" applyAlignment="1" applyProtection="1">
      <alignment horizontal="left"/>
      <protection locked="0"/>
    </xf>
    <xf numFmtId="0" fontId="34" fillId="20" borderId="94" xfId="0" applyFont="1" applyFill="1" applyBorder="1" applyAlignment="1" applyProtection="1">
      <alignment horizontal="left"/>
    </xf>
    <xf numFmtId="0" fontId="34" fillId="20" borderId="94" xfId="0" applyFont="1" applyFill="1" applyBorder="1" applyAlignment="1" applyProtection="1">
      <alignment horizontal="left" vertical="center" wrapText="1"/>
    </xf>
    <xf numFmtId="0" fontId="0" fillId="35" borderId="42" xfId="0" applyFill="1" applyBorder="1" applyAlignment="1">
      <alignment vertical="center" wrapText="1"/>
    </xf>
    <xf numFmtId="0" fontId="0" fillId="35" borderId="43" xfId="0" applyFill="1" applyBorder="1" applyAlignment="1">
      <alignment vertical="center" wrapText="1"/>
    </xf>
    <xf numFmtId="9" fontId="1" fillId="35" borderId="41" xfId="61" applyNumberFormat="1" applyFont="1" applyFill="1" applyBorder="1" applyAlignment="1" applyProtection="1">
      <alignment horizontal="center" vertical="center" wrapText="1"/>
    </xf>
    <xf numFmtId="9" fontId="1" fillId="35" borderId="42" xfId="61" applyNumberFormat="1" applyFont="1" applyFill="1" applyBorder="1" applyAlignment="1" applyProtection="1">
      <alignment horizontal="center" vertical="center" wrapText="1"/>
    </xf>
    <xf numFmtId="9" fontId="1" fillId="35" borderId="43" xfId="61" applyNumberFormat="1" applyFont="1" applyFill="1" applyBorder="1" applyAlignment="1" applyProtection="1">
      <alignment horizontal="center" vertical="center" wrapText="1"/>
    </xf>
    <xf numFmtId="9" fontId="21" fillId="35" borderId="10" xfId="61" applyFont="1" applyFill="1" applyBorder="1" applyAlignment="1" applyProtection="1">
      <alignment horizontal="left" vertical="center" wrapText="1"/>
      <protection locked="0"/>
    </xf>
    <xf numFmtId="0" fontId="0" fillId="35" borderId="41" xfId="0" applyFill="1" applyBorder="1" applyAlignment="1">
      <alignment horizontal="left" vertical="center" wrapText="1"/>
    </xf>
    <xf numFmtId="9" fontId="135" fillId="31" borderId="41" xfId="61" applyFont="1" applyFill="1" applyBorder="1" applyAlignment="1" applyProtection="1">
      <alignment horizontal="center" vertical="center" wrapText="1"/>
    </xf>
    <xf numFmtId="9" fontId="135" fillId="31" borderId="43" xfId="61" applyFont="1" applyFill="1" applyBorder="1" applyAlignment="1" applyProtection="1">
      <alignment horizontal="center" vertical="center" wrapText="1"/>
    </xf>
    <xf numFmtId="9" fontId="0" fillId="35" borderId="41" xfId="61" applyFont="1" applyFill="1" applyBorder="1" applyAlignment="1" applyProtection="1">
      <alignment horizontal="left" vertical="center" wrapText="1"/>
      <protection locked="0"/>
    </xf>
    <xf numFmtId="164" fontId="60" fillId="30" borderId="0" xfId="47" applyFont="1" applyFill="1" applyAlignment="1" applyProtection="1">
      <alignment horizontal="center" vertical="center"/>
    </xf>
    <xf numFmtId="164" fontId="33" fillId="0" borderId="0" xfId="0" applyNumberFormat="1" applyFont="1" applyAlignment="1" applyProtection="1">
      <alignment horizontal="center"/>
    </xf>
    <xf numFmtId="164" fontId="15" fillId="33" borderId="0" xfId="57" applyFont="1" applyFill="1" applyBorder="1" applyAlignment="1" applyProtection="1">
      <alignment horizontal="center"/>
    </xf>
    <xf numFmtId="2" fontId="122" fillId="0" borderId="94" xfId="0" applyNumberFormat="1" applyFont="1" applyBorder="1" applyAlignment="1" applyProtection="1">
      <alignment horizontal="left" vertical="center" wrapText="1"/>
    </xf>
    <xf numFmtId="0" fontId="28" fillId="22" borderId="41" xfId="0" applyFont="1" applyFill="1" applyBorder="1" applyAlignment="1" applyProtection="1">
      <alignment horizontal="left" vertical="top" wrapText="1"/>
      <protection locked="0"/>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34" fillId="0" borderId="10" xfId="0" applyFont="1" applyBorder="1" applyAlignment="1" applyProtection="1">
      <alignment horizontal="center" vertical="center" wrapText="1"/>
    </xf>
    <xf numFmtId="9" fontId="2" fillId="0" borderId="181" xfId="61" applyNumberFormat="1" applyFont="1" applyFill="1" applyBorder="1" applyAlignment="1" applyProtection="1">
      <alignment horizontal="left" vertical="center" wrapText="1"/>
    </xf>
    <xf numFmtId="0" fontId="2" fillId="0" borderId="182" xfId="61" applyNumberFormat="1" applyFont="1" applyFill="1" applyBorder="1" applyAlignment="1" applyProtection="1">
      <alignment horizontal="left" vertical="center" wrapText="1"/>
    </xf>
    <xf numFmtId="0" fontId="2" fillId="0" borderId="183" xfId="61" applyNumberFormat="1" applyFont="1" applyFill="1" applyBorder="1" applyAlignment="1" applyProtection="1">
      <alignment horizontal="left" vertical="center" wrapText="1"/>
    </xf>
    <xf numFmtId="0" fontId="59" fillId="22" borderId="184" xfId="0" applyFont="1" applyFill="1" applyBorder="1" applyAlignment="1" applyProtection="1">
      <alignment horizontal="center" vertical="center"/>
    </xf>
    <xf numFmtId="0" fontId="59" fillId="22" borderId="185" xfId="0" applyFont="1" applyFill="1" applyBorder="1" applyAlignment="1" applyProtection="1">
      <alignment horizontal="center" vertical="center"/>
    </xf>
    <xf numFmtId="0" fontId="59" fillId="22" borderId="186" xfId="0" applyFont="1" applyFill="1" applyBorder="1" applyAlignment="1" applyProtection="1">
      <alignment horizontal="center" vertical="center"/>
    </xf>
    <xf numFmtId="9" fontId="2" fillId="0" borderId="159" xfId="61" applyNumberFormat="1" applyFont="1" applyFill="1" applyBorder="1" applyAlignment="1" applyProtection="1">
      <alignment horizontal="left" vertical="center" wrapText="1"/>
    </xf>
    <xf numFmtId="0" fontId="2" fillId="0" borderId="135" xfId="61" applyNumberFormat="1" applyFont="1" applyFill="1" applyBorder="1" applyAlignment="1" applyProtection="1">
      <alignment horizontal="left" vertical="center" wrapText="1"/>
    </xf>
    <xf numFmtId="0" fontId="2" fillId="0" borderId="160" xfId="61" applyNumberFormat="1" applyFont="1" applyFill="1" applyBorder="1" applyAlignment="1" applyProtection="1">
      <alignment horizontal="left" vertical="center" wrapText="1"/>
    </xf>
    <xf numFmtId="0" fontId="78" fillId="0" borderId="187" xfId="0" applyNumberFormat="1" applyFont="1" applyFill="1" applyBorder="1" applyAlignment="1" applyProtection="1">
      <alignment horizontal="left" vertical="center" wrapText="1"/>
    </xf>
    <xf numFmtId="0" fontId="78" fillId="0" borderId="188" xfId="0" applyNumberFormat="1" applyFont="1" applyFill="1" applyBorder="1" applyAlignment="1" applyProtection="1">
      <alignment horizontal="left" vertical="center" wrapText="1"/>
    </xf>
    <xf numFmtId="0" fontId="78" fillId="0" borderId="189" xfId="0" applyNumberFormat="1" applyFont="1" applyFill="1" applyBorder="1" applyAlignment="1" applyProtection="1">
      <alignment horizontal="left" vertical="center" wrapText="1"/>
    </xf>
    <xf numFmtId="0" fontId="2" fillId="22" borderId="128" xfId="0" applyFont="1" applyFill="1" applyBorder="1" applyAlignment="1" applyProtection="1">
      <alignment horizontal="center" vertical="top" wrapText="1"/>
      <protection locked="0"/>
    </xf>
    <xf numFmtId="0" fontId="2" fillId="22" borderId="129" xfId="0" applyFont="1" applyFill="1" applyBorder="1" applyAlignment="1" applyProtection="1">
      <alignment horizontal="center" vertical="top" wrapText="1"/>
      <protection locked="0"/>
    </xf>
    <xf numFmtId="0" fontId="2" fillId="22" borderId="130" xfId="0" applyFont="1" applyFill="1" applyBorder="1" applyAlignment="1" applyProtection="1">
      <alignment horizontal="center" vertical="top" wrapText="1"/>
      <protection locked="0"/>
    </xf>
    <xf numFmtId="0" fontId="2" fillId="22" borderId="138" xfId="0" applyFont="1" applyFill="1" applyBorder="1" applyAlignment="1" applyProtection="1">
      <alignment horizontal="center" vertical="top" wrapText="1"/>
      <protection locked="0"/>
    </xf>
    <xf numFmtId="0" fontId="2" fillId="22" borderId="139" xfId="0" applyFont="1" applyFill="1" applyBorder="1" applyAlignment="1" applyProtection="1">
      <alignment horizontal="center" vertical="top" wrapText="1"/>
      <protection locked="0"/>
    </xf>
    <xf numFmtId="0" fontId="2" fillId="22" borderId="140" xfId="0" applyFont="1" applyFill="1" applyBorder="1" applyAlignment="1" applyProtection="1">
      <alignment horizontal="center" vertical="top" wrapText="1"/>
      <protection locked="0"/>
    </xf>
    <xf numFmtId="0" fontId="2" fillId="22" borderId="128" xfId="0" applyFont="1" applyFill="1" applyBorder="1" applyAlignment="1" applyProtection="1">
      <alignment horizontal="left" vertical="top" wrapText="1"/>
      <protection locked="0"/>
    </xf>
    <xf numFmtId="0" fontId="2" fillId="22" borderId="129" xfId="0" applyFont="1" applyFill="1" applyBorder="1" applyAlignment="1" applyProtection="1">
      <alignment horizontal="left" vertical="top" wrapText="1"/>
      <protection locked="0"/>
    </xf>
    <xf numFmtId="0" fontId="2" fillId="22" borderId="130" xfId="0" applyFont="1" applyFill="1" applyBorder="1" applyAlignment="1" applyProtection="1">
      <alignment horizontal="left" vertical="top" wrapText="1"/>
      <protection locked="0"/>
    </xf>
    <xf numFmtId="0" fontId="2" fillId="0" borderId="159" xfId="61" applyNumberFormat="1" applyFont="1" applyFill="1" applyBorder="1" applyAlignment="1" applyProtection="1">
      <alignment horizontal="left" vertical="center" wrapText="1"/>
    </xf>
    <xf numFmtId="0" fontId="78" fillId="0" borderId="178" xfId="0" applyNumberFormat="1" applyFont="1" applyFill="1" applyBorder="1" applyAlignment="1" applyProtection="1">
      <alignment horizontal="left" vertical="top" wrapText="1"/>
    </xf>
    <xf numFmtId="0" fontId="78" fillId="0" borderId="179" xfId="0" applyNumberFormat="1" applyFont="1" applyFill="1" applyBorder="1" applyAlignment="1" applyProtection="1">
      <alignment horizontal="left" vertical="top" wrapText="1"/>
    </xf>
    <xf numFmtId="0" fontId="78" fillId="0" borderId="180" xfId="0" applyNumberFormat="1" applyFont="1" applyFill="1" applyBorder="1" applyAlignment="1" applyProtection="1">
      <alignment horizontal="left" vertical="top" wrapText="1"/>
    </xf>
    <xf numFmtId="0" fontId="77" fillId="19" borderId="12" xfId="0" applyFont="1" applyFill="1" applyBorder="1" applyAlignment="1" applyProtection="1">
      <alignment horizontal="center" vertical="center"/>
    </xf>
    <xf numFmtId="0" fontId="78" fillId="0" borderId="131" xfId="0" applyNumberFormat="1" applyFont="1" applyFill="1" applyBorder="1" applyAlignment="1" applyProtection="1">
      <alignment horizontal="left" vertical="top" wrapText="1"/>
    </xf>
    <xf numFmtId="0" fontId="78" fillId="0" borderId="132" xfId="0" applyNumberFormat="1" applyFont="1" applyFill="1" applyBorder="1" applyAlignment="1" applyProtection="1">
      <alignment horizontal="left" vertical="top" wrapText="1"/>
    </xf>
    <xf numFmtId="0" fontId="78" fillId="0" borderId="167" xfId="0" applyNumberFormat="1" applyFont="1" applyFill="1" applyBorder="1" applyAlignment="1" applyProtection="1">
      <alignment horizontal="left" vertical="top" wrapText="1"/>
    </xf>
    <xf numFmtId="0" fontId="2" fillId="25" borderId="161" xfId="0" applyFont="1" applyFill="1" applyBorder="1" applyAlignment="1" applyProtection="1">
      <alignment horizontal="left" vertical="top" wrapText="1"/>
      <protection locked="0"/>
    </xf>
    <xf numFmtId="0" fontId="2" fillId="25" borderId="162" xfId="0" applyFont="1" applyFill="1" applyBorder="1" applyAlignment="1" applyProtection="1">
      <alignment horizontal="left" vertical="top" wrapText="1"/>
      <protection locked="0"/>
    </xf>
    <xf numFmtId="0" fontId="2" fillId="25" borderId="163" xfId="0" applyFont="1" applyFill="1" applyBorder="1" applyAlignment="1" applyProtection="1">
      <alignment horizontal="left" vertical="top" wrapText="1"/>
      <protection locked="0"/>
    </xf>
    <xf numFmtId="0" fontId="2" fillId="22" borderId="175" xfId="0" applyFont="1" applyFill="1" applyBorder="1" applyAlignment="1" applyProtection="1">
      <alignment horizontal="center" vertical="top" wrapText="1"/>
      <protection locked="0"/>
    </xf>
    <xf numFmtId="0" fontId="2" fillId="22" borderId="176" xfId="0" applyFont="1" applyFill="1" applyBorder="1" applyAlignment="1" applyProtection="1">
      <alignment horizontal="center" vertical="top" wrapText="1"/>
      <protection locked="0"/>
    </xf>
    <xf numFmtId="0" fontId="2" fillId="22" borderId="177" xfId="0" applyFont="1" applyFill="1" applyBorder="1" applyAlignment="1" applyProtection="1">
      <alignment horizontal="center" vertical="top" wrapText="1"/>
      <protection locked="0"/>
    </xf>
    <xf numFmtId="0" fontId="100" fillId="0" borderId="0" xfId="0" applyFont="1" applyBorder="1" applyAlignment="1" applyProtection="1">
      <alignment horizontal="center"/>
    </xf>
    <xf numFmtId="0" fontId="59" fillId="26" borderId="141" xfId="0" applyFont="1" applyFill="1" applyBorder="1" applyAlignment="1" applyProtection="1">
      <alignment horizontal="center" vertical="center"/>
    </xf>
    <xf numFmtId="0" fontId="59" fillId="26" borderId="142" xfId="0" applyFont="1" applyFill="1" applyBorder="1" applyAlignment="1" applyProtection="1">
      <alignment horizontal="center" vertical="center"/>
    </xf>
    <xf numFmtId="0" fontId="59" fillId="26" borderId="143" xfId="0" applyFont="1" applyFill="1" applyBorder="1" applyAlignment="1" applyProtection="1">
      <alignment horizontal="center" vertical="center"/>
    </xf>
    <xf numFmtId="0" fontId="78" fillId="0" borderId="14" xfId="0" applyNumberFormat="1" applyFont="1" applyFill="1" applyBorder="1" applyAlignment="1" applyProtection="1">
      <alignment horizontal="left" vertical="top" wrapText="1"/>
    </xf>
    <xf numFmtId="0" fontId="78" fillId="0" borderId="144" xfId="0" applyNumberFormat="1" applyFont="1" applyFill="1" applyBorder="1" applyAlignment="1" applyProtection="1">
      <alignment horizontal="left" vertical="top" wrapText="1"/>
    </xf>
    <xf numFmtId="0" fontId="78" fillId="0" borderId="145" xfId="0" applyNumberFormat="1" applyFont="1" applyFill="1" applyBorder="1" applyAlignment="1" applyProtection="1">
      <alignment horizontal="left" vertical="top" wrapText="1"/>
    </xf>
    <xf numFmtId="0" fontId="78" fillId="0" borderId="146" xfId="0" applyNumberFormat="1" applyFont="1" applyFill="1" applyBorder="1" applyAlignment="1" applyProtection="1">
      <alignment horizontal="left" vertical="top" wrapText="1"/>
    </xf>
    <xf numFmtId="0" fontId="78" fillId="0" borderId="147" xfId="0" applyNumberFormat="1" applyFont="1" applyFill="1" applyBorder="1" applyAlignment="1" applyProtection="1">
      <alignment horizontal="left" vertical="top" wrapText="1"/>
    </xf>
    <xf numFmtId="49" fontId="2" fillId="26" borderId="148" xfId="0" applyNumberFormat="1" applyFont="1" applyFill="1" applyBorder="1" applyAlignment="1" applyProtection="1">
      <alignment horizontal="center" vertical="center"/>
      <protection locked="0"/>
    </xf>
    <xf numFmtId="49" fontId="2" fillId="26" borderId="14" xfId="0" applyNumberFormat="1" applyFont="1" applyFill="1" applyBorder="1" applyAlignment="1" applyProtection="1">
      <alignment horizontal="center" vertical="center"/>
      <protection locked="0"/>
    </xf>
    <xf numFmtId="49" fontId="2" fillId="26" borderId="144" xfId="0" applyNumberFormat="1" applyFont="1" applyFill="1" applyBorder="1" applyAlignment="1" applyProtection="1">
      <alignment horizontal="center" vertical="center"/>
      <protection locked="0"/>
    </xf>
    <xf numFmtId="0" fontId="76" fillId="0" borderId="0" xfId="0" applyFont="1" applyFill="1" applyBorder="1" applyAlignment="1" applyProtection="1">
      <alignment horizontal="center"/>
    </xf>
    <xf numFmtId="0" fontId="76" fillId="0" borderId="149" xfId="0" applyFont="1" applyFill="1" applyBorder="1" applyAlignment="1" applyProtection="1">
      <alignment horizontal="center"/>
    </xf>
    <xf numFmtId="49" fontId="2" fillId="26" borderId="150" xfId="0" applyNumberFormat="1" applyFont="1" applyFill="1" applyBorder="1" applyAlignment="1" applyProtection="1">
      <alignment horizontal="center" vertical="center"/>
      <protection locked="0"/>
    </xf>
    <xf numFmtId="49" fontId="2" fillId="26" borderId="151" xfId="0" applyNumberFormat="1" applyFont="1" applyFill="1" applyBorder="1" applyAlignment="1" applyProtection="1">
      <alignment horizontal="center" vertical="center"/>
      <protection locked="0"/>
    </xf>
    <xf numFmtId="49" fontId="2" fillId="26" borderId="152" xfId="0" applyNumberFormat="1" applyFont="1" applyFill="1" applyBorder="1" applyAlignment="1" applyProtection="1">
      <alignment horizontal="center" vertical="center"/>
      <protection locked="0"/>
    </xf>
    <xf numFmtId="0" fontId="76" fillId="0" borderId="171" xfId="0" applyFont="1" applyFill="1" applyBorder="1" applyAlignment="1" applyProtection="1">
      <alignment horizontal="center"/>
    </xf>
    <xf numFmtId="0" fontId="2" fillId="25" borderId="172" xfId="0" applyFont="1" applyFill="1" applyBorder="1" applyAlignment="1" applyProtection="1">
      <alignment horizontal="left" vertical="top" wrapText="1"/>
      <protection locked="0"/>
    </xf>
    <xf numFmtId="0" fontId="2" fillId="25" borderId="173" xfId="0" applyFont="1" applyFill="1" applyBorder="1" applyAlignment="1" applyProtection="1">
      <alignment horizontal="left" vertical="top" wrapText="1"/>
      <protection locked="0"/>
    </xf>
    <xf numFmtId="0" fontId="2" fillId="25" borderId="174" xfId="0" applyFont="1" applyFill="1" applyBorder="1" applyAlignment="1" applyProtection="1">
      <alignment horizontal="left" vertical="top" wrapText="1"/>
      <protection locked="0"/>
    </xf>
    <xf numFmtId="0" fontId="78" fillId="0" borderId="133" xfId="0" applyNumberFormat="1" applyFont="1" applyFill="1" applyBorder="1" applyAlignment="1" applyProtection="1">
      <alignment horizontal="left" vertical="top" wrapText="1"/>
    </xf>
    <xf numFmtId="49" fontId="2" fillId="26" borderId="134" xfId="0" applyNumberFormat="1" applyFont="1" applyFill="1" applyBorder="1" applyAlignment="1" applyProtection="1">
      <alignment horizontal="center" vertical="center"/>
      <protection locked="0"/>
    </xf>
    <xf numFmtId="49" fontId="2" fillId="26" borderId="135" xfId="0" applyNumberFormat="1" applyFont="1" applyFill="1" applyBorder="1" applyAlignment="1" applyProtection="1">
      <alignment horizontal="center" vertical="center"/>
      <protection locked="0"/>
    </xf>
    <xf numFmtId="49" fontId="2" fillId="26" borderId="136" xfId="0" applyNumberFormat="1" applyFont="1" applyFill="1" applyBorder="1" applyAlignment="1" applyProtection="1">
      <alignment horizontal="center" vertical="center"/>
      <protection locked="0"/>
    </xf>
    <xf numFmtId="0" fontId="78" fillId="0" borderId="0" xfId="0" applyNumberFormat="1" applyFont="1" applyFill="1" applyBorder="1" applyAlignment="1" applyProtection="1">
      <alignment horizontal="left" vertical="top" wrapText="1"/>
    </xf>
    <xf numFmtId="0" fontId="78" fillId="0" borderId="137" xfId="0" applyNumberFormat="1" applyFont="1" applyFill="1" applyBorder="1" applyAlignment="1" applyProtection="1">
      <alignment horizontal="left" vertical="top" wrapText="1"/>
    </xf>
    <xf numFmtId="0" fontId="107" fillId="25" borderId="153" xfId="0" applyFont="1" applyFill="1" applyBorder="1" applyAlignment="1" applyProtection="1">
      <alignment horizontal="center" vertical="center"/>
    </xf>
    <xf numFmtId="0" fontId="107" fillId="25" borderId="154" xfId="0" applyFont="1" applyFill="1" applyBorder="1" applyAlignment="1" applyProtection="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107" fillId="25" borderId="156" xfId="0" applyFont="1" applyFill="1" applyBorder="1" applyAlignment="1" applyProtection="1">
      <alignment horizontal="center" vertical="center"/>
    </xf>
    <xf numFmtId="0" fontId="107" fillId="25" borderId="157" xfId="0" applyFont="1" applyFill="1" applyBorder="1" applyAlignment="1" applyProtection="1">
      <alignment horizontal="center" vertical="center"/>
    </xf>
    <xf numFmtId="0" fontId="107" fillId="25" borderId="158" xfId="0" applyFont="1" applyFill="1" applyBorder="1" applyAlignment="1" applyProtection="1">
      <alignment horizontal="center" vertical="center"/>
    </xf>
    <xf numFmtId="0" fontId="78" fillId="0" borderId="164" xfId="0" applyNumberFormat="1" applyFont="1" applyFill="1" applyBorder="1" applyAlignment="1" applyProtection="1">
      <alignment horizontal="left" vertical="top" wrapText="1"/>
    </xf>
    <xf numFmtId="0" fontId="78" fillId="0" borderId="165" xfId="0" applyNumberFormat="1" applyFont="1" applyFill="1" applyBorder="1" applyAlignment="1" applyProtection="1">
      <alignment horizontal="left" vertical="top" wrapText="1"/>
    </xf>
    <xf numFmtId="0" fontId="78" fillId="0" borderId="166" xfId="0" applyNumberFormat="1" applyFont="1" applyFill="1" applyBorder="1" applyAlignment="1" applyProtection="1">
      <alignment horizontal="left" vertical="top" wrapText="1"/>
    </xf>
    <xf numFmtId="0" fontId="2" fillId="25" borderId="168" xfId="0" applyFont="1" applyFill="1" applyBorder="1" applyAlignment="1" applyProtection="1">
      <alignment horizontal="left" vertical="top" wrapText="1"/>
      <protection locked="0"/>
    </xf>
    <xf numFmtId="0" fontId="2" fillId="25" borderId="169" xfId="0" applyFont="1" applyFill="1" applyBorder="1" applyAlignment="1" applyProtection="1">
      <alignment horizontal="left" vertical="top" wrapText="1"/>
      <protection locked="0"/>
    </xf>
    <xf numFmtId="0" fontId="2" fillId="25" borderId="170" xfId="0" applyFont="1" applyFill="1" applyBorder="1" applyAlignment="1" applyProtection="1">
      <alignment horizontal="left" vertical="top" wrapText="1"/>
      <protection locked="0"/>
    </xf>
    <xf numFmtId="0" fontId="21" fillId="0" borderId="225" xfId="0" applyFont="1" applyBorder="1" applyAlignment="1" applyProtection="1">
      <alignment horizontal="left"/>
      <protection locked="0"/>
    </xf>
    <xf numFmtId="0" fontId="21" fillId="0" borderId="226" xfId="0" applyFont="1" applyBorder="1" applyAlignment="1" applyProtection="1">
      <alignment horizontal="left"/>
      <protection locked="0"/>
    </xf>
    <xf numFmtId="14" fontId="21" fillId="0" borderId="209" xfId="0" applyNumberFormat="1" applyFont="1" applyBorder="1" applyAlignment="1" applyProtection="1">
      <alignment horizontal="left"/>
      <protection locked="0"/>
    </xf>
    <xf numFmtId="0" fontId="21" fillId="0" borderId="34" xfId="0" applyFont="1" applyBorder="1" applyAlignment="1" applyProtection="1">
      <alignment horizontal="left"/>
      <protection locked="0"/>
    </xf>
    <xf numFmtId="0" fontId="75" fillId="21" borderId="229" xfId="52" applyNumberFormat="1" applyFont="1" applyFill="1" applyBorder="1" applyAlignment="1">
      <alignment horizontal="center" vertical="center" wrapText="1"/>
    </xf>
    <xf numFmtId="0" fontId="75" fillId="21" borderId="217" xfId="52" applyNumberFormat="1" applyFont="1" applyFill="1" applyBorder="1" applyAlignment="1">
      <alignment horizontal="center" vertical="center" wrapText="1"/>
    </xf>
    <xf numFmtId="0" fontId="21" fillId="0" borderId="199" xfId="0" applyFont="1" applyFill="1" applyBorder="1" applyAlignment="1" applyProtection="1">
      <alignment horizontal="left"/>
      <protection locked="0"/>
    </xf>
    <xf numFmtId="0" fontId="21" fillId="0" borderId="200"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199" xfId="0" applyFont="1" applyBorder="1" applyAlignment="1" applyProtection="1">
      <alignment horizontal="left" wrapText="1"/>
      <protection locked="0"/>
    </xf>
    <xf numFmtId="0" fontId="21" fillId="0" borderId="200" xfId="0" applyFont="1" applyBorder="1" applyAlignment="1" applyProtection="1">
      <alignment horizontal="left" wrapText="1"/>
      <protection locked="0"/>
    </xf>
    <xf numFmtId="0" fontId="21" fillId="0" borderId="201" xfId="0" applyFont="1" applyBorder="1" applyAlignment="1" applyProtection="1">
      <alignment horizontal="left" wrapText="1"/>
      <protection locked="0"/>
    </xf>
    <xf numFmtId="0" fontId="21" fillId="0" borderId="202" xfId="0" applyFont="1" applyBorder="1" applyAlignment="1" applyProtection="1">
      <alignment horizontal="left" wrapText="1"/>
      <protection locked="0"/>
    </xf>
    <xf numFmtId="0" fontId="21" fillId="0" borderId="199" xfId="0" applyFont="1" applyBorder="1" applyAlignment="1" applyProtection="1">
      <alignment horizontal="left"/>
      <protection locked="0"/>
    </xf>
    <xf numFmtId="0" fontId="21" fillId="0" borderId="200" xfId="0" applyFont="1" applyBorder="1" applyAlignment="1" applyProtection="1">
      <alignment horizontal="left"/>
      <protection locked="0"/>
    </xf>
    <xf numFmtId="0" fontId="21" fillId="0" borderId="201" xfId="0" applyFont="1" applyBorder="1" applyAlignment="1" applyProtection="1">
      <alignment horizontal="left"/>
      <protection locked="0"/>
    </xf>
    <xf numFmtId="0" fontId="21" fillId="0" borderId="202"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228" xfId="0" applyFont="1" applyFill="1" applyBorder="1" applyAlignment="1" applyProtection="1">
      <alignment horizontal="left" wrapText="1"/>
      <protection locked="0"/>
    </xf>
    <xf numFmtId="0" fontId="21" fillId="0" borderId="220" xfId="0" applyFont="1" applyFill="1" applyBorder="1" applyAlignment="1" applyProtection="1">
      <alignment horizontal="left" wrapText="1"/>
      <protection locked="0"/>
    </xf>
    <xf numFmtId="0" fontId="21" fillId="0" borderId="201" xfId="0" applyFont="1" applyFill="1" applyBorder="1" applyAlignment="1" applyProtection="1">
      <alignment horizontal="left" wrapText="1"/>
      <protection locked="0"/>
    </xf>
    <xf numFmtId="0" fontId="21" fillId="0" borderId="202" xfId="0" applyFont="1" applyFill="1" applyBorder="1" applyAlignment="1" applyProtection="1">
      <alignment horizontal="left" wrapText="1"/>
      <protection locked="0"/>
    </xf>
    <xf numFmtId="164" fontId="15" fillId="33" borderId="0" xfId="58" applyFont="1" applyFill="1" applyBorder="1" applyAlignment="1" applyProtection="1">
      <alignment horizontal="center"/>
      <protection locked="0"/>
    </xf>
    <xf numFmtId="0" fontId="21" fillId="0" borderId="199" xfId="0" applyFont="1" applyFill="1" applyBorder="1" applyAlignment="1" applyProtection="1">
      <alignment horizontal="left" wrapText="1"/>
      <protection locked="0"/>
    </xf>
    <xf numFmtId="0" fontId="21" fillId="0" borderId="200" xfId="0" applyFont="1" applyFill="1" applyBorder="1" applyAlignment="1" applyProtection="1">
      <alignment horizontal="left" wrapText="1"/>
      <protection locked="0"/>
    </xf>
    <xf numFmtId="15" fontId="28" fillId="0" borderId="0" xfId="0" applyNumberFormat="1" applyFont="1" applyAlignment="1">
      <alignment horizontal="right"/>
    </xf>
    <xf numFmtId="0" fontId="100" fillId="0" borderId="0" xfId="0" applyFont="1" applyAlignment="1">
      <alignment horizontal="center"/>
    </xf>
    <xf numFmtId="164" fontId="28" fillId="0" borderId="0" xfId="0" applyNumberFormat="1" applyFont="1" applyAlignment="1">
      <alignment horizontal="left"/>
    </xf>
    <xf numFmtId="0" fontId="75" fillId="21" borderId="213" xfId="52" applyNumberFormat="1" applyFont="1" applyFill="1" applyBorder="1" applyAlignment="1">
      <alignment horizontal="center" vertical="center" wrapText="1"/>
    </xf>
    <xf numFmtId="0" fontId="75" fillId="21" borderId="214" xfId="52" applyNumberFormat="1" applyFont="1" applyFill="1" applyBorder="1" applyAlignment="1">
      <alignment horizontal="center" vertical="center" wrapText="1"/>
    </xf>
    <xf numFmtId="0" fontId="21" fillId="0" borderId="135" xfId="0" applyFont="1" applyFill="1" applyBorder="1" applyAlignment="1" applyProtection="1">
      <alignment horizontal="left" vertical="center" wrapText="1"/>
      <protection locked="0"/>
    </xf>
    <xf numFmtId="0" fontId="21" fillId="0" borderId="191" xfId="0" applyFont="1" applyFill="1" applyBorder="1" applyAlignment="1" applyProtection="1">
      <alignment horizontal="left" vertical="center" wrapText="1"/>
      <protection locked="0"/>
    </xf>
    <xf numFmtId="0" fontId="0" fillId="22" borderId="95" xfId="0" applyFill="1" applyBorder="1" applyAlignment="1" applyProtection="1">
      <alignment horizontal="center"/>
      <protection locked="0"/>
    </xf>
    <xf numFmtId="0" fontId="0" fillId="22" borderId="94" xfId="0" applyFill="1" applyBorder="1" applyAlignment="1" applyProtection="1">
      <alignment horizontal="center"/>
      <protection locked="0"/>
    </xf>
    <xf numFmtId="0" fontId="0" fillId="22" borderId="96" xfId="0" applyFill="1" applyBorder="1" applyAlignment="1" applyProtection="1">
      <alignment horizontal="center"/>
      <protection locked="0"/>
    </xf>
    <xf numFmtId="0" fontId="0" fillId="22" borderId="88" xfId="0" applyFill="1" applyBorder="1" applyAlignment="1" applyProtection="1">
      <alignment horizontal="center"/>
      <protection locked="0"/>
    </xf>
    <xf numFmtId="0" fontId="0" fillId="22" borderId="97" xfId="0" applyFill="1" applyBorder="1" applyAlignment="1" applyProtection="1">
      <alignment horizontal="center"/>
      <protection locked="0"/>
    </xf>
    <xf numFmtId="0" fontId="0" fillId="22" borderId="98" xfId="0" applyFill="1" applyBorder="1" applyAlignment="1" applyProtection="1">
      <alignment horizontal="center"/>
      <protection locked="0"/>
    </xf>
    <xf numFmtId="0" fontId="75" fillId="21" borderId="13" xfId="52" applyNumberFormat="1" applyFont="1" applyFill="1" applyBorder="1" applyAlignment="1">
      <alignment horizontal="center" vertical="center" wrapText="1"/>
    </xf>
    <xf numFmtId="0" fontId="75" fillId="21" borderId="190" xfId="52" applyNumberFormat="1" applyFont="1" applyFill="1" applyBorder="1" applyAlignment="1">
      <alignment horizontal="center" vertical="center" wrapText="1"/>
    </xf>
    <xf numFmtId="14" fontId="21" fillId="0" borderId="207" xfId="0" applyNumberFormat="1" applyFont="1" applyFill="1" applyBorder="1" applyAlignment="1" applyProtection="1">
      <alignment horizontal="left"/>
      <protection locked="0"/>
    </xf>
    <xf numFmtId="0" fontId="21" fillId="0" borderId="207" xfId="0" applyFont="1" applyFill="1" applyBorder="1" applyAlignment="1" applyProtection="1">
      <alignment horizontal="left"/>
      <protection locked="0"/>
    </xf>
    <xf numFmtId="0" fontId="21" fillId="0" borderId="203" xfId="0" applyFont="1" applyBorder="1" applyAlignment="1" applyProtection="1">
      <alignment horizontal="left"/>
      <protection locked="0"/>
    </xf>
    <xf numFmtId="0" fontId="21" fillId="0" borderId="204" xfId="0" applyFont="1" applyBorder="1" applyAlignment="1" applyProtection="1">
      <alignment horizontal="left"/>
      <protection locked="0"/>
    </xf>
    <xf numFmtId="0" fontId="21" fillId="0" borderId="205" xfId="0" applyFont="1" applyBorder="1" applyAlignment="1" applyProtection="1">
      <alignment horizontal="left"/>
      <protection locked="0"/>
    </xf>
    <xf numFmtId="0" fontId="21" fillId="0" borderId="197" xfId="0" applyFont="1" applyBorder="1" applyAlignment="1" applyProtection="1">
      <alignment horizontal="left"/>
      <protection locked="0"/>
    </xf>
    <xf numFmtId="0" fontId="21" fillId="0" borderId="151"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203" xfId="0" applyFont="1" applyFill="1" applyBorder="1" applyAlignment="1" applyProtection="1">
      <alignment horizontal="left"/>
      <protection locked="0"/>
    </xf>
    <xf numFmtId="0" fontId="21" fillId="0" borderId="204" xfId="0" applyFont="1" applyFill="1" applyBorder="1" applyAlignment="1" applyProtection="1">
      <alignment horizontal="left"/>
      <protection locked="0"/>
    </xf>
    <xf numFmtId="0" fontId="21" fillId="0" borderId="197" xfId="0" applyFont="1" applyFill="1" applyBorder="1" applyAlignment="1" applyProtection="1">
      <alignment horizontal="left"/>
      <protection locked="0"/>
    </xf>
    <xf numFmtId="0" fontId="21" fillId="0" borderId="151" xfId="0" applyFont="1" applyFill="1" applyBorder="1" applyAlignment="1" applyProtection="1">
      <alignment horizontal="left"/>
      <protection locked="0"/>
    </xf>
    <xf numFmtId="0" fontId="21" fillId="0" borderId="202" xfId="0" applyFont="1" applyFill="1" applyBorder="1" applyAlignment="1" applyProtection="1">
      <alignment horizontal="left"/>
      <protection locked="0"/>
    </xf>
    <xf numFmtId="0" fontId="21" fillId="0" borderId="203" xfId="0" applyFont="1" applyFill="1" applyBorder="1" applyAlignment="1" applyProtection="1">
      <alignment horizontal="left" wrapText="1"/>
      <protection locked="0"/>
    </xf>
    <xf numFmtId="0" fontId="21" fillId="0" borderId="204" xfId="0" applyFont="1" applyFill="1" applyBorder="1" applyAlignment="1" applyProtection="1">
      <alignment horizontal="left" wrapText="1"/>
      <protection locked="0"/>
    </xf>
    <xf numFmtId="0" fontId="21" fillId="0" borderId="197" xfId="0" applyFont="1" applyFill="1" applyBorder="1" applyAlignment="1" applyProtection="1">
      <alignment horizontal="left" wrapText="1"/>
      <protection locked="0"/>
    </xf>
    <xf numFmtId="0" fontId="21" fillId="0" borderId="151" xfId="0" applyFont="1" applyFill="1" applyBorder="1" applyAlignment="1" applyProtection="1">
      <alignment horizontal="left" wrapText="1"/>
      <protection locked="0"/>
    </xf>
    <xf numFmtId="0" fontId="21" fillId="0" borderId="203" xfId="0" applyFont="1" applyBorder="1" applyAlignment="1" applyProtection="1">
      <alignment horizontal="left" wrapText="1"/>
      <protection locked="0"/>
    </xf>
    <xf numFmtId="0" fontId="21" fillId="0" borderId="204" xfId="0" applyFont="1" applyBorder="1" applyAlignment="1" applyProtection="1">
      <alignment horizontal="left" wrapText="1"/>
      <protection locked="0"/>
    </xf>
    <xf numFmtId="0" fontId="21" fillId="0" borderId="205" xfId="0" applyFont="1" applyBorder="1" applyAlignment="1" applyProtection="1">
      <alignment horizontal="left" wrapText="1"/>
      <protection locked="0"/>
    </xf>
    <xf numFmtId="0" fontId="21" fillId="0" borderId="197" xfId="0" applyFont="1" applyBorder="1" applyAlignment="1" applyProtection="1">
      <alignment horizontal="left" wrapText="1"/>
      <protection locked="0"/>
    </xf>
    <xf numFmtId="0" fontId="21" fillId="0" borderId="151" xfId="0" applyFont="1" applyBorder="1" applyAlignment="1" applyProtection="1">
      <alignment horizontal="left" wrapText="1"/>
      <protection locked="0"/>
    </xf>
    <xf numFmtId="0" fontId="21" fillId="0" borderId="198" xfId="0" applyFont="1" applyBorder="1" applyAlignment="1" applyProtection="1">
      <alignment horizontal="left" wrapText="1"/>
      <protection locked="0"/>
    </xf>
    <xf numFmtId="14" fontId="21" fillId="0" borderId="225" xfId="0" applyNumberFormat="1" applyFont="1" applyBorder="1" applyAlignment="1" applyProtection="1">
      <alignment horizontal="left"/>
      <protection locked="0"/>
    </xf>
    <xf numFmtId="0" fontId="21" fillId="0" borderId="219" xfId="0" applyFont="1" applyFill="1" applyBorder="1" applyAlignment="1" applyProtection="1">
      <alignment horizontal="left"/>
      <protection locked="0"/>
    </xf>
    <xf numFmtId="0" fontId="93" fillId="21" borderId="210" xfId="0" applyFont="1" applyFill="1" applyBorder="1" applyAlignment="1">
      <alignment horizontal="center" vertical="center" textRotation="90" wrapText="1"/>
    </xf>
    <xf numFmtId="0" fontId="93" fillId="21" borderId="211" xfId="0" applyFont="1" applyFill="1" applyBorder="1" applyAlignment="1">
      <alignment horizontal="center" vertical="center" textRotation="90" wrapText="1"/>
    </xf>
    <xf numFmtId="0" fontId="93" fillId="21" borderId="212" xfId="0" applyFont="1" applyFill="1" applyBorder="1" applyAlignment="1">
      <alignment horizontal="center" vertical="center" textRotation="90" wrapText="1"/>
    </xf>
    <xf numFmtId="0" fontId="75" fillId="21" borderId="215" xfId="52"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21" fillId="0" borderId="207" xfId="0" applyFont="1" applyFill="1" applyBorder="1" applyAlignment="1" applyProtection="1">
      <alignment horizontal="left" wrapText="1"/>
      <protection locked="0"/>
    </xf>
    <xf numFmtId="0" fontId="21" fillId="0" borderId="218" xfId="0" applyFont="1" applyFill="1" applyBorder="1" applyAlignment="1" applyProtection="1">
      <alignment horizontal="left" wrapText="1"/>
      <protection locked="0"/>
    </xf>
    <xf numFmtId="0" fontId="21" fillId="0" borderId="219" xfId="0" applyFont="1" applyFill="1" applyBorder="1" applyAlignment="1" applyProtection="1">
      <alignment horizontal="left" wrapText="1"/>
      <protection locked="0"/>
    </xf>
    <xf numFmtId="0" fontId="21" fillId="0" borderId="194"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197" xfId="0" applyFont="1" applyFill="1" applyBorder="1" applyAlignment="1" applyProtection="1">
      <alignment horizontal="left" vertical="top" wrapText="1"/>
      <protection locked="0"/>
    </xf>
    <xf numFmtId="0" fontId="21" fillId="0" borderId="151" xfId="0" applyFont="1" applyFill="1" applyBorder="1" applyAlignment="1" applyProtection="1">
      <alignment horizontal="left" vertical="top" wrapText="1"/>
      <protection locked="0"/>
    </xf>
    <xf numFmtId="0" fontId="21" fillId="0" borderId="202"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22"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192" xfId="0" applyFont="1" applyFill="1" applyBorder="1" applyAlignment="1" applyProtection="1">
      <alignment horizontal="left" vertical="center" wrapText="1"/>
      <protection locked="0"/>
    </xf>
    <xf numFmtId="0" fontId="21" fillId="0" borderId="193" xfId="0" applyFont="1" applyFill="1" applyBorder="1" applyAlignment="1" applyProtection="1">
      <alignment horizontal="left" vertical="center" wrapText="1"/>
      <protection locked="0"/>
    </xf>
    <xf numFmtId="0" fontId="21" fillId="0" borderId="194" xfId="0" applyFont="1" applyBorder="1" applyAlignment="1" applyProtection="1">
      <alignment horizontal="left" wrapText="1"/>
      <protection locked="0"/>
    </xf>
    <xf numFmtId="0" fontId="21" fillId="0" borderId="195" xfId="0" applyFont="1" applyBorder="1" applyAlignment="1" applyProtection="1">
      <alignment horizontal="left" wrapText="1"/>
      <protection locked="0"/>
    </xf>
    <xf numFmtId="0" fontId="21" fillId="0" borderId="196" xfId="0" applyFont="1" applyBorder="1" applyAlignment="1" applyProtection="1">
      <alignment horizontal="left" wrapText="1"/>
      <protection locked="0"/>
    </xf>
    <xf numFmtId="0" fontId="93" fillId="21" borderId="90" xfId="0" applyFont="1" applyFill="1" applyBorder="1" applyAlignment="1">
      <alignment horizontal="center" vertical="center" textRotation="90"/>
    </xf>
    <xf numFmtId="0" fontId="0" fillId="21" borderId="72" xfId="0" applyFill="1" applyBorder="1" applyAlignment="1">
      <alignment horizontal="center" vertical="center" textRotation="90"/>
    </xf>
    <xf numFmtId="0" fontId="0" fillId="21" borderId="87" xfId="0" applyFill="1" applyBorder="1" applyAlignment="1">
      <alignment horizontal="center" vertical="center" textRotation="90"/>
    </xf>
    <xf numFmtId="0" fontId="21" fillId="0" borderId="227" xfId="0" applyFont="1" applyFill="1" applyBorder="1" applyAlignment="1" applyProtection="1">
      <alignment horizontal="left" wrapText="1"/>
      <protection locked="0"/>
    </xf>
    <xf numFmtId="0" fontId="21" fillId="0" borderId="34" xfId="0" applyFont="1" applyFill="1" applyBorder="1" applyAlignment="1" applyProtection="1">
      <alignment horizontal="left" wrapText="1"/>
      <protection locked="0"/>
    </xf>
    <xf numFmtId="0" fontId="21" fillId="0" borderId="203" xfId="0" applyFont="1" applyFill="1" applyBorder="1" applyAlignment="1" applyProtection="1">
      <alignment horizontal="left" vertical="top" wrapText="1"/>
      <protection locked="0"/>
    </xf>
    <xf numFmtId="0" fontId="21" fillId="0" borderId="204" xfId="0" applyFont="1" applyFill="1" applyBorder="1" applyAlignment="1" applyProtection="1">
      <alignment horizontal="left" vertical="top" wrapText="1"/>
      <protection locked="0"/>
    </xf>
    <xf numFmtId="0" fontId="21" fillId="0" borderId="205" xfId="0" applyFont="1" applyFill="1" applyBorder="1" applyAlignment="1" applyProtection="1">
      <alignment horizontal="left" vertical="top" wrapText="1"/>
      <protection locked="0"/>
    </xf>
    <xf numFmtId="0" fontId="21" fillId="0" borderId="198" xfId="0" applyFont="1" applyFill="1" applyBorder="1" applyAlignment="1" applyProtection="1">
      <alignment horizontal="left" vertical="top" wrapText="1"/>
      <protection locked="0"/>
    </xf>
    <xf numFmtId="0" fontId="75" fillId="21" borderId="206" xfId="52" applyNumberFormat="1" applyFont="1" applyFill="1" applyBorder="1" applyAlignment="1">
      <alignment horizontal="center" vertical="center" wrapText="1"/>
    </xf>
    <xf numFmtId="0" fontId="21" fillId="0" borderId="208" xfId="0" applyFont="1" applyFill="1" applyBorder="1" applyAlignment="1" applyProtection="1">
      <alignment horizontal="left"/>
      <protection locked="0"/>
    </xf>
    <xf numFmtId="0" fontId="21" fillId="0" borderId="225" xfId="0" applyFont="1" applyFill="1" applyBorder="1" applyAlignment="1" applyProtection="1">
      <alignment horizontal="left" wrapText="1"/>
      <protection locked="0"/>
    </xf>
    <xf numFmtId="14" fontId="21" fillId="0" borderId="34" xfId="0" applyNumberFormat="1" applyFont="1" applyFill="1" applyBorder="1" applyAlignment="1" applyProtection="1">
      <alignment horizontal="left"/>
      <protection locked="0"/>
    </xf>
    <xf numFmtId="164" fontId="17" fillId="30" borderId="0" xfId="38" applyFont="1" applyFill="1" applyAlignment="1">
      <alignment horizontal="center" vertical="center"/>
    </xf>
    <xf numFmtId="0" fontId="33" fillId="0" borderId="0" xfId="0" applyFont="1" applyAlignment="1">
      <alignment horizontal="center"/>
    </xf>
    <xf numFmtId="1" fontId="21" fillId="55" borderId="49" xfId="0" applyNumberFormat="1" applyFont="1" applyFill="1" applyBorder="1" applyAlignment="1" applyProtection="1">
      <alignment horizontal="right" vertical="center"/>
    </xf>
    <xf numFmtId="1" fontId="21" fillId="55" borderId="210" xfId="0" applyNumberFormat="1" applyFont="1" applyFill="1" applyBorder="1" applyAlignment="1" applyProtection="1">
      <alignment horizontal="right" vertical="center"/>
    </xf>
    <xf numFmtId="1" fontId="21" fillId="55" borderId="52" xfId="0" applyNumberFormat="1" applyFont="1" applyFill="1" applyBorder="1" applyAlignment="1" applyProtection="1">
      <alignment horizontal="right" vertical="center"/>
    </xf>
    <xf numFmtId="9" fontId="21" fillId="22" borderId="10" xfId="61" applyFont="1" applyFill="1" applyBorder="1" applyAlignment="1" applyProtection="1">
      <alignment horizontal="left" vertical="center" wrapText="1"/>
      <protection locked="0"/>
    </xf>
  </cellXfs>
  <cellStyles count="174">
    <cellStyle name="???????????" xfId="92"/>
    <cellStyle name="????????????? ???????????" xfId="93"/>
    <cellStyle name="_TB_Calc_number" xfId="69"/>
    <cellStyle name="_TB_Calc_percent" xfId="70"/>
    <cellStyle name="_TB_def_number" xfId="71"/>
    <cellStyle name="_TB_def_percent" xfId="72"/>
    <cellStyle name="_TB_results1" xfId="89"/>
    <cellStyle name="_TB_subtitle2" xfId="73"/>
    <cellStyle name="_TB_textunprotect" xfId="90"/>
    <cellStyle name="_TB_years" xfId="91"/>
    <cellStyle name="20% - Accent1" xfId="1"/>
    <cellStyle name="20% - Accent2" xfId="2"/>
    <cellStyle name="20% - Accent3" xfId="3"/>
    <cellStyle name="20% - Accent4" xfId="4"/>
    <cellStyle name="20% - Accent5" xfId="5"/>
    <cellStyle name="20% - Accent6" xfId="6"/>
    <cellStyle name="20% - Акцент1 2" xfId="94"/>
    <cellStyle name="20% - Акцент2 2" xfId="95"/>
    <cellStyle name="20% - Акцент3 2" xfId="96"/>
    <cellStyle name="20% - Акцент4 2" xfId="97"/>
    <cellStyle name="20% - Акцент5 2" xfId="98"/>
    <cellStyle name="20% - Акцент6 2" xfId="99"/>
    <cellStyle name="40% - Accent1" xfId="7"/>
    <cellStyle name="40% - Accent2" xfId="8"/>
    <cellStyle name="40% - Accent3" xfId="9"/>
    <cellStyle name="40% - Accent4" xfId="10"/>
    <cellStyle name="40% - Accent5" xfId="11"/>
    <cellStyle name="40% - Accent6" xfId="12"/>
    <cellStyle name="40% - Акцент1 2" xfId="100"/>
    <cellStyle name="40% - Акцент2 2" xfId="101"/>
    <cellStyle name="40% - Акцент3 2" xfId="102"/>
    <cellStyle name="40% - Акцент4 2" xfId="103"/>
    <cellStyle name="40% - Акцент5 2" xfId="104"/>
    <cellStyle name="40% - Акцент6 2" xfId="105"/>
    <cellStyle name="60% - Accent1" xfId="13"/>
    <cellStyle name="60% - Accent2" xfId="14"/>
    <cellStyle name="60% - Accent3" xfId="15"/>
    <cellStyle name="60% - Accent4" xfId="16"/>
    <cellStyle name="60% - Accent5" xfId="17"/>
    <cellStyle name="60% - Accent6" xfId="18"/>
    <cellStyle name="60% - Акцент1 2" xfId="106"/>
    <cellStyle name="60% - Акцент2 2" xfId="107"/>
    <cellStyle name="60% - Акцент3 2" xfId="108"/>
    <cellStyle name="60% - Акцент4 2" xfId="109"/>
    <cellStyle name="60% - Акцент5 2" xfId="110"/>
    <cellStyle name="60% - Акцент6 2" xfId="111"/>
    <cellStyle name="Accent1" xfId="19"/>
    <cellStyle name="Accent2" xfId="20"/>
    <cellStyle name="Accent3" xfId="21"/>
    <cellStyle name="Accent4" xfId="22"/>
    <cellStyle name="Accent5" xfId="23"/>
    <cellStyle name="Accent6" xfId="24"/>
    <cellStyle name="Activity" xfId="173"/>
    <cellStyle name="Ãèïåðññûëêà" xfId="112"/>
    <cellStyle name="Bad" xfId="25"/>
    <cellStyle name="Calculation" xfId="26"/>
    <cellStyle name="Check Cell" xfId="27"/>
    <cellStyle name="Comma 2" xfId="82"/>
    <cellStyle name="Comma 2 2" xfId="68"/>
    <cellStyle name="Comma 2 3" xfId="85"/>
    <cellStyle name="Comma 3" xfId="87"/>
    <cellStyle name="Comma 4" xfId="113"/>
    <cellStyle name="Comma 5" xfId="114"/>
    <cellStyle name="Euro" xfId="28"/>
    <cellStyle name="Euro 2" xfId="115"/>
    <cellStyle name="Explanatory Text" xfId="29"/>
    <cellStyle name="Good" xfId="30"/>
    <cellStyle name="Heading 1" xfId="31"/>
    <cellStyle name="Heading 2" xfId="32"/>
    <cellStyle name="Heading 3" xfId="33"/>
    <cellStyle name="Heading 4" xfId="34"/>
    <cellStyle name="Hyperlink 2" xfId="74"/>
    <cellStyle name="Hyperlink 3" xfId="116"/>
    <cellStyle name="info" xfId="117"/>
    <cellStyle name="Input" xfId="35"/>
    <cellStyle name="Îòêðûâàâøàÿñÿ ãèïåðññûëêà" xfId="118"/>
    <cellStyle name="Linked Cell" xfId="36"/>
    <cellStyle name="ListData" xfId="119"/>
    <cellStyle name="Millares 2" xfId="37"/>
    <cellStyle name="Normal 10" xfId="120"/>
    <cellStyle name="Normal 11" xfId="121"/>
    <cellStyle name="Normal 12" xfId="172"/>
    <cellStyle name="Normal 2" xfId="38"/>
    <cellStyle name="Normal 2 2" xfId="39"/>
    <cellStyle name="Normal 2 2 2" xfId="84"/>
    <cellStyle name="Normal 2 3" xfId="40"/>
    <cellStyle name="Normal 2 4" xfId="41"/>
    <cellStyle name="Normal 2 5" xfId="42"/>
    <cellStyle name="Normal 2 6" xfId="43"/>
    <cellStyle name="Normal 2 7" xfId="44"/>
    <cellStyle name="Normal 2 8" xfId="45"/>
    <cellStyle name="Normal 2 9" xfId="65"/>
    <cellStyle name="Normal 2_Dashboard ver 2.2 ES" xfId="46"/>
    <cellStyle name="Normal 2_Prototipo" xfId="47"/>
    <cellStyle name="Normal 3" xfId="48"/>
    <cellStyle name="Normal 3 2" xfId="75"/>
    <cellStyle name="Normal 4" xfId="49"/>
    <cellStyle name="Normal 4 2" xfId="76"/>
    <cellStyle name="Normal 5" xfId="50"/>
    <cellStyle name="Normal 5 2" xfId="78"/>
    <cellStyle name="Normal 5 3" xfId="77"/>
    <cellStyle name="Normal 6" xfId="51"/>
    <cellStyle name="Normal 6 2" xfId="79"/>
    <cellStyle name="Normal 7" xfId="64"/>
    <cellStyle name="Normal 7 2" xfId="122"/>
    <cellStyle name="Normal 8" xfId="123"/>
    <cellStyle name="Normal 8 2" xfId="124"/>
    <cellStyle name="Normal 9" xfId="125"/>
    <cellStyle name="Normal_TZ_R3HIV_Phase_2_21_August_08" xfId="52"/>
    <cellStyle name="Note" xfId="53"/>
    <cellStyle name="Output" xfId="54"/>
    <cellStyle name="Percent 2" xfId="66"/>
    <cellStyle name="Percent 3" xfId="67"/>
    <cellStyle name="Percent 4" xfId="88"/>
    <cellStyle name="Percent 5" xfId="126"/>
    <cellStyle name="Percent 6" xfId="127"/>
    <cellStyle name="Percent 7" xfId="128"/>
    <cellStyle name="Percent 8" xfId="129"/>
    <cellStyle name="SheetHeader" xfId="130"/>
    <cellStyle name="TableHeader" xfId="131"/>
    <cellStyle name="Title" xfId="55"/>
    <cellStyle name="Título 3 3" xfId="56"/>
    <cellStyle name="Título 3 3_Prototipo" xfId="57"/>
    <cellStyle name="Título 3 3_PrototipoRep1" xfId="58"/>
    <cellStyle name="Título 3 7" xfId="59"/>
    <cellStyle name="Warning Text" xfId="60"/>
    <cellStyle name="Акцент1 2" xfId="132"/>
    <cellStyle name="Акцент2 2" xfId="133"/>
    <cellStyle name="Акцент3 2" xfId="134"/>
    <cellStyle name="Акцент4 2" xfId="135"/>
    <cellStyle name="Акцент5 2" xfId="136"/>
    <cellStyle name="Акцент6 2" xfId="137"/>
    <cellStyle name="Ввод  2" xfId="138"/>
    <cellStyle name="Вывод 2" xfId="139"/>
    <cellStyle name="Вычисление 2" xfId="140"/>
    <cellStyle name="Гиперссылка 2" xfId="141"/>
    <cellStyle name="Гиперссылка 3" xfId="142"/>
    <cellStyle name="Заголовок 1 2" xfId="143"/>
    <cellStyle name="Заголовок 2 2" xfId="144"/>
    <cellStyle name="Заголовок 3 2" xfId="145"/>
    <cellStyle name="Заголовок 4 2" xfId="146"/>
    <cellStyle name="Итог 2" xfId="147"/>
    <cellStyle name="Контрольная ячейка 2" xfId="148"/>
    <cellStyle name="Название 2" xfId="149"/>
    <cellStyle name="Нейтральный 2" xfId="150"/>
    <cellStyle name="Обычный" xfId="0" builtinId="0"/>
    <cellStyle name="Обычный 2" xfId="80"/>
    <cellStyle name="Обычный 2 2" xfId="151"/>
    <cellStyle name="Обычный 2 3" xfId="152"/>
    <cellStyle name="Обычный 3" xfId="81"/>
    <cellStyle name="Обычный 4" xfId="153"/>
    <cellStyle name="Обычный 4 2" xfId="154"/>
    <cellStyle name="Обычный 4_KGZ Rnd 7 budget HIV" xfId="155"/>
    <cellStyle name="Обычный 5" xfId="156"/>
    <cellStyle name="Обычный 6" xfId="157"/>
    <cellStyle name="Обычный 7" xfId="63"/>
    <cellStyle name="Плохой 2" xfId="158"/>
    <cellStyle name="Пояснение 2" xfId="159"/>
    <cellStyle name="Примечание 2" xfId="160"/>
    <cellStyle name="Процентный" xfId="61" builtinId="5"/>
    <cellStyle name="Процентный 2" xfId="161"/>
    <cellStyle name="Процентный 3" xfId="83"/>
    <cellStyle name="Связанная ячейка 2" xfId="162"/>
    <cellStyle name="Текст предупреждения 2" xfId="163"/>
    <cellStyle name="Финансовый" xfId="62" builtinId="3"/>
    <cellStyle name="Финансовый 2" xfId="164"/>
    <cellStyle name="Финансовый 2 2" xfId="165"/>
    <cellStyle name="Финансовый 3" xfId="166"/>
    <cellStyle name="Финансовый 4" xfId="167"/>
    <cellStyle name="Финансовый 5" xfId="168"/>
    <cellStyle name="Финансовый 6" xfId="169"/>
    <cellStyle name="Финансовый 7" xfId="86"/>
    <cellStyle name="Хороший 2" xfId="171"/>
    <cellStyle name="Хороший 3" xfId="170"/>
  </cellStyles>
  <dxfs count="8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3229329.58</c:v>
                </c:pt>
                <c:pt idx="1">
                  <c:v>7403519.0300000003</c:v>
                </c:pt>
                <c:pt idx="2">
                  <c:v>17491630.309999999</c:v>
                </c:pt>
                <c:pt idx="3">
                  <c:v>0</c:v>
                </c:pt>
              </c:numCache>
            </c:numRef>
          </c:val>
          <c:extLs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9283289</c:v>
                </c:pt>
                <c:pt idx="1">
                  <c:v>12361316.41</c:v>
                </c:pt>
                <c:pt idx="2">
                  <c:v>17555626.91</c:v>
                </c:pt>
                <c:pt idx="3">
                  <c:v>0</c:v>
                </c:pt>
              </c:numCache>
            </c:numRef>
          </c:val>
          <c:extLs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1388296480"/>
        <c:axId val="1388287232"/>
      </c:barChart>
      <c:catAx>
        <c:axId val="13882964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1388287232"/>
        <c:crosses val="autoZero"/>
        <c:auto val="1"/>
        <c:lblAlgn val="ctr"/>
        <c:lblOffset val="100"/>
        <c:tickLblSkip val="1"/>
        <c:tickMarkSkip val="1"/>
        <c:noMultiLvlLbl val="0"/>
      </c:catAx>
      <c:valAx>
        <c:axId val="1388287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13882964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u-RU"/>
          </a:p>
        </c:txPr>
      </c:legendEntry>
      <c:legendEntry>
        <c:idx val="1"/>
        <c:txPr>
          <a:bodyPr/>
          <a:lstStyle/>
          <a:p>
            <a:pPr>
              <a:defRPr sz="735" b="0" i="0" u="none" strike="noStrike" baseline="0">
                <a:solidFill>
                  <a:srgbClr val="000000"/>
                </a:solidFill>
                <a:latin typeface="Arial"/>
                <a:ea typeface="Arial"/>
                <a:cs typeface="Arial"/>
              </a:defRPr>
            </a:pPr>
            <a:endParaRPr lang="ru-RU"/>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7684682629"/>
          <c:y val="3.9455782312925194E-2"/>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данных'!$A$39:$A$55</c:f>
              <c:strCache>
                <c:ptCount val="13"/>
                <c:pt idx="0">
                  <c:v>Профилактика - Работники секс-бизнеса и их клиенты</c:v>
                </c:pt>
                <c:pt idx="1">
                  <c:v>Профилактика - ПИН и их партнеры</c:v>
                </c:pt>
                <c:pt idx="2">
                  <c:v>Профилактика - Другие уязвимые группы населения </c:v>
                </c:pt>
                <c:pt idx="3">
                  <c:v>ППМР</c:v>
                </c:pt>
                <c:pt idx="4">
                  <c:v>Лечение, уход и поддержка </c:v>
                </c:pt>
                <c:pt idx="5">
                  <c:v>ТБ/ВИЧ</c:v>
                </c:pt>
                <c:pt idx="6">
                  <c:v>МЛУ-ТБ</c:v>
                </c:pt>
                <c:pt idx="7">
                  <c:v>Укрепление систем сообществ</c:v>
                </c:pt>
                <c:pt idx="8">
                  <c:v>УC3 - Информационные системы здравоохранения и МиО</c:v>
                </c:pt>
                <c:pt idx="9">
                  <c:v>Управление программой</c:v>
                </c:pt>
                <c:pt idx="10">
                  <c:v>Профилактика - заключенные </c:v>
                </c:pt>
                <c:pt idx="11">
                  <c:v>Профилактика - МСМ и трансгендерные лица</c:v>
                </c:pt>
                <c:pt idx="12">
                  <c:v>Устранение правовых барьеров к доступу</c:v>
                </c:pt>
              </c:strCache>
            </c:strRef>
          </c:cat>
          <c:val>
            <c:numRef>
              <c:f>'Ввод данных'!$B$39:$B$55</c:f>
              <c:numCache>
                <c:formatCode>#,##0</c:formatCode>
                <c:ptCount val="17"/>
                <c:pt idx="0">
                  <c:v>152459.13</c:v>
                </c:pt>
                <c:pt idx="1">
                  <c:v>666398.04</c:v>
                </c:pt>
                <c:pt idx="2">
                  <c:v>0</c:v>
                </c:pt>
                <c:pt idx="3">
                  <c:v>1867.89</c:v>
                </c:pt>
                <c:pt idx="4">
                  <c:v>1711236.28</c:v>
                </c:pt>
                <c:pt idx="5">
                  <c:v>11433.16</c:v>
                </c:pt>
                <c:pt idx="6">
                  <c:v>5281298.1500000004</c:v>
                </c:pt>
                <c:pt idx="7">
                  <c:v>32786.019999999997</c:v>
                </c:pt>
                <c:pt idx="8">
                  <c:v>42326.83</c:v>
                </c:pt>
                <c:pt idx="9">
                  <c:v>1664472.81</c:v>
                </c:pt>
                <c:pt idx="10">
                  <c:v>78648.22</c:v>
                </c:pt>
                <c:pt idx="11">
                  <c:v>195436.79999999999</c:v>
                </c:pt>
                <c:pt idx="12">
                  <c:v>249747.96</c:v>
                </c:pt>
              </c:numCache>
            </c:numRef>
          </c:val>
          <c:extLs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данных'!$A$39:$A$55</c:f>
              <c:strCache>
                <c:ptCount val="13"/>
                <c:pt idx="0">
                  <c:v>Профилактика - Работники секс-бизнеса и их клиенты</c:v>
                </c:pt>
                <c:pt idx="1">
                  <c:v>Профилактика - ПИН и их партнеры</c:v>
                </c:pt>
                <c:pt idx="2">
                  <c:v>Профилактика - Другие уязвимые группы населения </c:v>
                </c:pt>
                <c:pt idx="3">
                  <c:v>ППМР</c:v>
                </c:pt>
                <c:pt idx="4">
                  <c:v>Лечение, уход и поддержка </c:v>
                </c:pt>
                <c:pt idx="5">
                  <c:v>ТБ/ВИЧ</c:v>
                </c:pt>
                <c:pt idx="6">
                  <c:v>МЛУ-ТБ</c:v>
                </c:pt>
                <c:pt idx="7">
                  <c:v>Укрепление систем сообществ</c:v>
                </c:pt>
                <c:pt idx="8">
                  <c:v>УC3 - Информационные системы здравоохранения и МиО</c:v>
                </c:pt>
                <c:pt idx="9">
                  <c:v>Управление программой</c:v>
                </c:pt>
                <c:pt idx="10">
                  <c:v>Профилактика - заключенные </c:v>
                </c:pt>
                <c:pt idx="11">
                  <c:v>Профилактика - МСМ и трансгендерные лица</c:v>
                </c:pt>
                <c:pt idx="12">
                  <c:v>Устранение правовых барьеров к доступу</c:v>
                </c:pt>
              </c:strCache>
            </c:strRef>
          </c:cat>
          <c:val>
            <c:numRef>
              <c:f>'Ввод данных'!$C$39:$C$55</c:f>
              <c:numCache>
                <c:formatCode>#,##0</c:formatCode>
                <c:ptCount val="17"/>
                <c:pt idx="0">
                  <c:v>42571.33</c:v>
                </c:pt>
                <c:pt idx="1">
                  <c:v>215015.51</c:v>
                </c:pt>
                <c:pt idx="2">
                  <c:v>0</c:v>
                </c:pt>
                <c:pt idx="3">
                  <c:v>243.05</c:v>
                </c:pt>
                <c:pt idx="4">
                  <c:v>575128.26</c:v>
                </c:pt>
                <c:pt idx="5">
                  <c:v>11433.16</c:v>
                </c:pt>
                <c:pt idx="6">
                  <c:v>2149784.2999999998</c:v>
                </c:pt>
                <c:pt idx="7">
                  <c:v>27513.49</c:v>
                </c:pt>
                <c:pt idx="8">
                  <c:v>34833.199999999997</c:v>
                </c:pt>
                <c:pt idx="9">
                  <c:v>1067788.4099999999</c:v>
                </c:pt>
                <c:pt idx="10">
                  <c:v>13046.14</c:v>
                </c:pt>
                <c:pt idx="11">
                  <c:v>66008.86</c:v>
                </c:pt>
                <c:pt idx="12">
                  <c:v>282657.53999999998</c:v>
                </c:pt>
              </c:numCache>
            </c:numRef>
          </c:val>
          <c:extLs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1388297024"/>
        <c:axId val="1388292128"/>
      </c:barChart>
      <c:catAx>
        <c:axId val="138829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1388292128"/>
        <c:crosses val="autoZero"/>
        <c:auto val="1"/>
        <c:lblAlgn val="ctr"/>
        <c:lblOffset val="100"/>
        <c:tickMarkSkip val="1"/>
        <c:noMultiLvlLbl val="0"/>
      </c:catAx>
      <c:valAx>
        <c:axId val="13882921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13882970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данных'!$B$61:$B$64</c:f>
              <c:numCache>
                <c:formatCode>#,##0</c:formatCode>
                <c:ptCount val="4"/>
                <c:pt idx="0">
                  <c:v>12361316</c:v>
                </c:pt>
                <c:pt idx="1">
                  <c:v>5629640</c:v>
                </c:pt>
                <c:pt idx="2">
                  <c:v>2013644</c:v>
                </c:pt>
                <c:pt idx="3">
                  <c:v>1773879</c:v>
                </c:pt>
              </c:numCache>
            </c:numRef>
          </c:val>
          <c:extLs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данных'!$C$61:$C$64</c:f>
              <c:numCache>
                <c:formatCode>#,##0</c:formatCode>
                <c:ptCount val="4"/>
                <c:pt idx="0">
                  <c:v>5194311</c:v>
                </c:pt>
                <c:pt idx="1">
                  <c:v>7919246</c:v>
                </c:pt>
                <c:pt idx="2">
                  <c:v>988697</c:v>
                </c:pt>
                <c:pt idx="3">
                  <c:v>1021429</c:v>
                </c:pt>
              </c:numCache>
            </c:numRef>
          </c:val>
          <c:extLs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1388286688"/>
        <c:axId val="1388282880"/>
      </c:barChart>
      <c:catAx>
        <c:axId val="1388286688"/>
        <c:scaling>
          <c:orientation val="minMax"/>
        </c:scaling>
        <c:delete val="0"/>
        <c:axPos val="b"/>
        <c:numFmt formatCode="General" sourceLinked="1"/>
        <c:majorTickMark val="none"/>
        <c:minorTickMark val="none"/>
        <c:tickLblPos val="nextTo"/>
        <c:crossAx val="1388282880"/>
        <c:crosses val="autoZero"/>
        <c:auto val="1"/>
        <c:lblAlgn val="ctr"/>
        <c:lblOffset val="100"/>
        <c:noMultiLvlLbl val="0"/>
      </c:catAx>
      <c:valAx>
        <c:axId val="1388282880"/>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ru-RU"/>
          </a:p>
        </c:txPr>
        <c:crossAx val="1388286688"/>
        <c:crosses val="autoZero"/>
        <c:crossBetween val="between"/>
      </c:valAx>
      <c:dTable>
        <c:showHorzBorder val="1"/>
        <c:showVertBorder val="1"/>
        <c:showOutline val="1"/>
        <c:showKeys val="1"/>
        <c:txPr>
          <a:bodyPr/>
          <a:lstStyle/>
          <a:p>
            <a:pPr rtl="0">
              <a:defRPr sz="500" baseline="0"/>
            </a:pPr>
            <a:endParaRPr lang="ru-RU"/>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'Ввод данных'!$A$102:$A$106</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данных'!$C$102:$C$106</c:f>
              <c:numCache>
                <c:formatCode>0</c:formatCode>
                <c:ptCount val="5"/>
                <c:pt idx="0" formatCode="General">
                  <c:v>0</c:v>
                </c:pt>
                <c:pt idx="1">
                  <c:v>0</c:v>
                </c:pt>
                <c:pt idx="2">
                  <c:v>28</c:v>
                </c:pt>
                <c:pt idx="4">
                  <c:v>11</c:v>
                </c:pt>
              </c:numCache>
            </c:numRef>
          </c:val>
          <c:extLs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'Ввод данных'!$A$102:$A$106</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данных'!$D$102:$D$106</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1388293216"/>
        <c:axId val="1388288320"/>
      </c:barChart>
      <c:catAx>
        <c:axId val="138829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88320"/>
        <c:crosses val="autoZero"/>
        <c:auto val="1"/>
        <c:lblAlgn val="ctr"/>
        <c:lblOffset val="100"/>
        <c:noMultiLvlLbl val="0"/>
      </c:catAx>
      <c:valAx>
        <c:axId val="13882883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93216"/>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1" l="0.75000000000000033" r="0.750000000000000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'Ввод данных'!$A$90</c:f>
              <c:strCache>
                <c:ptCount val="1"/>
                <c:pt idx="0">
                  <c:v>ВИЧ/СПИД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данных'!$B$90:$D$90</c:f>
              <c:numCache>
                <c:formatCode>0</c:formatCode>
                <c:ptCount val="3"/>
                <c:pt idx="0">
                  <c:v>4</c:v>
                </c:pt>
                <c:pt idx="1">
                  <c:v>4</c:v>
                </c:pt>
                <c:pt idx="2">
                  <c:v>0</c:v>
                </c:pt>
              </c:numCache>
            </c:numRef>
          </c:val>
          <c:extLst>
            <c:ext xmlns:c16="http://schemas.microsoft.com/office/drawing/2014/chart" uri="{C3380CC4-5D6E-409C-BE32-E72D297353CC}">
              <c16:uniqueId val="{00000000-274B-4005-864A-0DDDFC5C7C10}"/>
            </c:ext>
          </c:extLst>
        </c:ser>
        <c:ser>
          <c:idx val="0"/>
          <c:order val="1"/>
          <c:tx>
            <c:strRef>
              <c:f>'Ввод данных'!$A$91</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данных'!$B$91:$D$91</c:f>
              <c:numCache>
                <c:formatCode>0</c:formatCode>
                <c:ptCount val="3"/>
                <c:pt idx="0" formatCode="General">
                  <c:v>2</c:v>
                </c:pt>
                <c:pt idx="1">
                  <c:v>2</c:v>
                </c:pt>
                <c:pt idx="2">
                  <c:v>0</c:v>
                </c:pt>
              </c:numCache>
            </c:numRef>
          </c:val>
          <c:extLst>
            <c:ext xmlns:c16="http://schemas.microsoft.com/office/drawing/2014/chart" uri="{C3380CC4-5D6E-409C-BE32-E72D297353CC}">
              <c16:uniqueId val="{00000001-6F9B-4B25-914D-D5664FA4C833}"/>
            </c:ext>
          </c:extLst>
        </c:ser>
        <c:ser>
          <c:idx val="2"/>
          <c:order val="2"/>
          <c:tx>
            <c:strRef>
              <c:f>'Ввод данных'!$A$92</c:f>
              <c:strCache>
                <c:ptCount val="1"/>
                <c:pt idx="0">
                  <c:v>Общее (оба компонента)</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данных'!$B$92:$D$92</c:f>
              <c:numCache>
                <c:formatCode>0</c:formatCode>
                <c:ptCount val="3"/>
                <c:pt idx="0" formatCode="General">
                  <c:v>16</c:v>
                </c:pt>
                <c:pt idx="1">
                  <c:v>13</c:v>
                </c:pt>
                <c:pt idx="2">
                  <c:v>3</c:v>
                </c:pt>
              </c:numCache>
            </c:numRef>
          </c:val>
          <c:extLst>
            <c:ext xmlns:c16="http://schemas.microsoft.com/office/drawing/2014/chart" uri="{C3380CC4-5D6E-409C-BE32-E72D297353CC}">
              <c16:uniqueId val="{00000002-6F9B-4B25-914D-D5664FA4C833}"/>
            </c:ext>
          </c:extLst>
        </c:ser>
        <c:dLbls>
          <c:showLegendKey val="0"/>
          <c:showVal val="1"/>
          <c:showCatName val="0"/>
          <c:showSerName val="0"/>
          <c:showPercent val="0"/>
          <c:showBubbleSize val="0"/>
        </c:dLbls>
        <c:gapWidth val="150"/>
        <c:overlap val="-25"/>
        <c:axId val="1511063280"/>
        <c:axId val="1511061648"/>
      </c:barChart>
      <c:catAx>
        <c:axId val="151106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1648"/>
        <c:crosses val="autoZero"/>
        <c:auto val="1"/>
        <c:lblAlgn val="ctr"/>
        <c:lblOffset val="100"/>
        <c:noMultiLvlLbl val="0"/>
      </c:catAx>
      <c:valAx>
        <c:axId val="1511061648"/>
        <c:scaling>
          <c:orientation val="minMax"/>
        </c:scaling>
        <c:delete val="1"/>
        <c:axPos val="l"/>
        <c:numFmt formatCode="0" sourceLinked="1"/>
        <c:majorTickMark val="none"/>
        <c:minorTickMark val="none"/>
        <c:tickLblPos val="nextTo"/>
        <c:crossAx val="15110632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0-9E67-4D7D-BE0E-C99C3E701244}"/>
            </c:ext>
          </c:extLst>
        </c:ser>
        <c:ser>
          <c:idx val="1"/>
          <c:order val="1"/>
          <c:tx>
            <c:strRef>
              <c:f>'Ввод данных'!$C$80</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данных'!$C$81:$C$84</c:f>
              <c:numCache>
                <c:formatCode>0</c:formatCode>
                <c:ptCount val="4"/>
                <c:pt idx="0">
                  <c:v>0</c:v>
                </c:pt>
                <c:pt idx="1">
                  <c:v>0</c:v>
                </c:pt>
                <c:pt idx="2">
                  <c:v>0</c:v>
                </c:pt>
                <c:pt idx="3">
                  <c:v>0</c:v>
                </c:pt>
              </c:numCache>
            </c:numRef>
          </c:val>
          <c:extLst>
            <c:ext xmlns:c16="http://schemas.microsoft.com/office/drawing/2014/chart" uri="{C3380CC4-5D6E-409C-BE32-E72D297353CC}">
              <c16:uniqueId val="{00000001-9E67-4D7D-BE0E-C99C3E701244}"/>
            </c:ext>
          </c:extLst>
        </c:ser>
        <c:ser>
          <c:idx val="2"/>
          <c:order val="2"/>
          <c:tx>
            <c:strRef>
              <c:f>'Ввод данных'!$D$80</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данных'!$D$81:$D$84</c:f>
              <c:numCache>
                <c:formatCode>0</c:formatCode>
                <c:ptCount val="4"/>
                <c:pt idx="0">
                  <c:v>0</c:v>
                </c:pt>
                <c:pt idx="1">
                  <c:v>0</c:v>
                </c:pt>
                <c:pt idx="2">
                  <c:v>0</c:v>
                </c:pt>
                <c:pt idx="3">
                  <c:v>0</c:v>
                </c:pt>
              </c:numCache>
            </c:numRef>
          </c:val>
          <c:extLst>
            <c:ext xmlns:c16="http://schemas.microsoft.com/office/drawing/2014/chart" uri="{C3380CC4-5D6E-409C-BE32-E72D297353CC}">
              <c16:uniqueId val="{00000002-9E67-4D7D-BE0E-C99C3E701244}"/>
            </c:ext>
          </c:extLst>
        </c:ser>
        <c:ser>
          <c:idx val="3"/>
          <c:order val="3"/>
          <c:tx>
            <c:v>Невыполненные и просроченные</c:v>
          </c:tx>
          <c:spPr>
            <a:solidFill>
              <a:schemeClr val="accent1">
                <a:lumMod val="60000"/>
              </a:schemeClr>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3-9E67-4D7D-BE0E-C99C3E701244}"/>
            </c:ext>
          </c:extLst>
        </c:ser>
        <c:dLbls>
          <c:showLegendKey val="0"/>
          <c:showVal val="0"/>
          <c:showCatName val="0"/>
          <c:showSerName val="0"/>
          <c:showPercent val="0"/>
          <c:showBubbleSize val="0"/>
        </c:dLbls>
        <c:gapWidth val="55"/>
        <c:overlap val="100"/>
        <c:axId val="1511067088"/>
        <c:axId val="1511068720"/>
      </c:barChart>
      <c:catAx>
        <c:axId val="151106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8720"/>
        <c:crosses val="autoZero"/>
        <c:auto val="1"/>
        <c:lblAlgn val="ctr"/>
        <c:lblOffset val="100"/>
        <c:tickLblSkip val="1"/>
        <c:tickMarkSkip val="1"/>
        <c:noMultiLvlLbl val="0"/>
      </c:catAx>
      <c:valAx>
        <c:axId val="151106872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11067088"/>
        <c:crosses val="autoZero"/>
        <c:crossBetween val="between"/>
      </c:valAx>
      <c:spPr>
        <a:noFill/>
        <a:ln>
          <a:noFill/>
        </a:ln>
        <a:effectLst/>
      </c:spPr>
    </c:plotArea>
    <c:legend>
      <c:legendPos val="r"/>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данных'!$A$90</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данных'!$B$96:$F$96</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данных'!$B$97:$F$97</c:f>
              <c:numCache>
                <c:formatCode>General</c:formatCode>
                <c:ptCount val="5"/>
                <c:pt idx="0">
                  <c:v>22</c:v>
                </c:pt>
                <c:pt idx="1">
                  <c:v>22</c:v>
                </c:pt>
                <c:pt idx="2">
                  <c:v>22</c:v>
                </c:pt>
                <c:pt idx="3">
                  <c:v>22</c:v>
                </c:pt>
                <c:pt idx="4">
                  <c:v>22</c:v>
                </c:pt>
              </c:numCache>
            </c:numRef>
          </c:val>
          <c:extLst>
            <c:ext xmlns:c16="http://schemas.microsoft.com/office/drawing/2014/chart" uri="{C3380CC4-5D6E-409C-BE32-E72D297353CC}">
              <c16:uniqueId val="{00000000-3C2F-4B91-B11C-0BA014ED291D}"/>
            </c:ext>
          </c:extLst>
        </c:ser>
        <c:ser>
          <c:idx val="1"/>
          <c:order val="1"/>
          <c:tx>
            <c:strRef>
              <c:f>'Ввод данных'!$A$92</c:f>
              <c:strCache>
                <c:ptCount val="1"/>
                <c:pt idx="0">
                  <c:v>Общее (оба компонента)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данных'!$B$96:$F$96</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данных'!$B$98:$F$98</c:f>
              <c:numCache>
                <c:formatCode>General</c:formatCode>
                <c:ptCount val="5"/>
                <c:pt idx="0">
                  <c:v>3</c:v>
                </c:pt>
                <c:pt idx="1">
                  <c:v>11</c:v>
                </c:pt>
                <c:pt idx="2">
                  <c:v>11</c:v>
                </c:pt>
                <c:pt idx="3">
                  <c:v>11</c:v>
                </c:pt>
                <c:pt idx="4">
                  <c:v>11</c:v>
                </c:pt>
              </c:numCache>
            </c:numRef>
          </c:val>
          <c:extLst>
            <c:ext xmlns:c16="http://schemas.microsoft.com/office/drawing/2014/chart" uri="{C3380CC4-5D6E-409C-BE32-E72D297353CC}">
              <c16:uniqueId val="{00000001-3C2F-4B91-B11C-0BA014ED291D}"/>
            </c:ext>
          </c:extLst>
        </c:ser>
        <c:dLbls>
          <c:showLegendKey val="0"/>
          <c:showVal val="1"/>
          <c:showCatName val="0"/>
          <c:showSerName val="0"/>
          <c:showPercent val="0"/>
          <c:showBubbleSize val="0"/>
        </c:dLbls>
        <c:gapWidth val="150"/>
        <c:overlap val="-25"/>
        <c:axId val="1511067632"/>
        <c:axId val="1511058928"/>
      </c:barChart>
      <c:catAx>
        <c:axId val="15110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8928"/>
        <c:crosses val="autoZero"/>
        <c:auto val="1"/>
        <c:lblAlgn val="ctr"/>
        <c:lblOffset val="100"/>
        <c:noMultiLvlLbl val="0"/>
      </c:catAx>
      <c:valAx>
        <c:axId val="1511058928"/>
        <c:scaling>
          <c:orientation val="minMax"/>
        </c:scaling>
        <c:delete val="1"/>
        <c:axPos val="l"/>
        <c:numFmt formatCode="General" sourceLinked="1"/>
        <c:majorTickMark val="none"/>
        <c:minorTickMark val="none"/>
        <c:tickLblPos val="nextTo"/>
        <c:crossAx val="15110676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данных'!$A$114</c:f>
              <c:strCache>
                <c:ptCount val="1"/>
                <c:pt idx="0">
                  <c:v>Совокупный утвердженный бюджет*</c:v>
                </c:pt>
              </c:strCache>
            </c:strRef>
          </c:tx>
          <c:spPr>
            <a:solidFill>
              <a:schemeClr val="accent1"/>
            </a:solidFill>
            <a:ln>
              <a:noFill/>
            </a:ln>
            <a:effectLst/>
          </c:spPr>
          <c:invertIfNegative val="0"/>
          <c:cat>
            <c:strRef>
              <c:f>'Ввод данных'!$B$110:$F$110</c:f>
              <c:strCache>
                <c:ptCount val="5"/>
                <c:pt idx="0">
                  <c:v>P1</c:v>
                </c:pt>
                <c:pt idx="1">
                  <c:v>P2</c:v>
                </c:pt>
                <c:pt idx="2">
                  <c:v>P3</c:v>
                </c:pt>
                <c:pt idx="3">
                  <c:v>P4</c:v>
                </c:pt>
                <c:pt idx="4">
                  <c:v>P5</c:v>
                </c:pt>
              </c:strCache>
            </c:strRef>
          </c:cat>
          <c:val>
            <c:numRef>
              <c:f>'Ввод данных'!$B$114:$F$114</c:f>
              <c:numCache>
                <c:formatCode>#,##0</c:formatCode>
                <c:ptCount val="5"/>
                <c:pt idx="0">
                  <c:v>1337830.7</c:v>
                </c:pt>
                <c:pt idx="1">
                  <c:v>3713496.08</c:v>
                </c:pt>
                <c:pt idx="2">
                  <c:v>9794272.8399999999</c:v>
                </c:pt>
                <c:pt idx="4">
                  <c:v>0</c:v>
                </c:pt>
              </c:numCache>
            </c:numRef>
          </c:val>
          <c:extLst>
            <c:ext xmlns:c16="http://schemas.microsoft.com/office/drawing/2014/chart" uri="{C3380CC4-5D6E-409C-BE32-E72D297353CC}">
              <c16:uniqueId val="{00000000-D5DF-4B11-9CD6-1C5401548576}"/>
            </c:ext>
          </c:extLst>
        </c:ser>
        <c:ser>
          <c:idx val="1"/>
          <c:order val="1"/>
          <c:tx>
            <c:strRef>
              <c:f>'Ввод данных'!$A$115</c:f>
              <c:strCache>
                <c:ptCount val="1"/>
                <c:pt idx="0">
                  <c:v>Общий объем финансовых обязательств</c:v>
                </c:pt>
              </c:strCache>
            </c:strRef>
          </c:tx>
          <c:spPr>
            <a:solidFill>
              <a:schemeClr val="accent2"/>
            </a:solidFill>
            <a:ln>
              <a:noFill/>
            </a:ln>
            <a:effectLst/>
          </c:spPr>
          <c:invertIfNegative val="0"/>
          <c:cat>
            <c:strRef>
              <c:f>'Ввод данных'!$B$110:$F$110</c:f>
              <c:strCache>
                <c:ptCount val="5"/>
                <c:pt idx="0">
                  <c:v>P1</c:v>
                </c:pt>
                <c:pt idx="1">
                  <c:v>P2</c:v>
                </c:pt>
                <c:pt idx="2">
                  <c:v>P3</c:v>
                </c:pt>
                <c:pt idx="3">
                  <c:v>P4</c:v>
                </c:pt>
                <c:pt idx="4">
                  <c:v>P5</c:v>
                </c:pt>
              </c:strCache>
            </c:strRef>
          </c:cat>
          <c:val>
            <c:numRef>
              <c:f>'Ввод данных'!$B$115:$F$115</c:f>
              <c:numCache>
                <c:formatCode>#,##0</c:formatCode>
                <c:ptCount val="5"/>
                <c:pt idx="0">
                  <c:v>2863012.59</c:v>
                </c:pt>
                <c:pt idx="1">
                  <c:v>3484983.39</c:v>
                </c:pt>
                <c:pt idx="2">
                  <c:v>3308441.31</c:v>
                </c:pt>
                <c:pt idx="3">
                  <c:v>0</c:v>
                </c:pt>
                <c:pt idx="4">
                  <c:v>0</c:v>
                </c:pt>
              </c:numCache>
            </c:numRef>
          </c:val>
          <c:extLst>
            <c:ext xmlns:c16="http://schemas.microsoft.com/office/drawing/2014/chart" uri="{C3380CC4-5D6E-409C-BE32-E72D297353CC}">
              <c16:uniqueId val="{00000001-D5DF-4B11-9CD6-1C5401548576}"/>
            </c:ext>
          </c:extLst>
        </c:ser>
        <c:ser>
          <c:idx val="2"/>
          <c:order val="2"/>
          <c:tx>
            <c:strRef>
              <c:f>'Ввод данных'!$A$116</c:f>
              <c:strCache>
                <c:ptCount val="1"/>
                <c:pt idx="0">
                  <c:v>Общий объем расходов</c:v>
                </c:pt>
              </c:strCache>
            </c:strRef>
          </c:tx>
          <c:spPr>
            <a:solidFill>
              <a:schemeClr val="accent3"/>
            </a:solidFill>
            <a:ln>
              <a:noFill/>
            </a:ln>
            <a:effectLst/>
          </c:spPr>
          <c:invertIfNegative val="0"/>
          <c:cat>
            <c:strRef>
              <c:f>'Ввод данных'!$B$110:$F$110</c:f>
              <c:strCache>
                <c:ptCount val="5"/>
                <c:pt idx="0">
                  <c:v>P1</c:v>
                </c:pt>
                <c:pt idx="1">
                  <c:v>P2</c:v>
                </c:pt>
                <c:pt idx="2">
                  <c:v>P3</c:v>
                </c:pt>
                <c:pt idx="3">
                  <c:v>P4</c:v>
                </c:pt>
                <c:pt idx="4">
                  <c:v>P5</c:v>
                </c:pt>
              </c:strCache>
            </c:strRef>
          </c:cat>
          <c:val>
            <c:numRef>
              <c:f>'Ввод данных'!$B$116:$F$116</c:f>
              <c:numCache>
                <c:formatCode>#,##0</c:formatCode>
                <c:ptCount val="5"/>
                <c:pt idx="0">
                  <c:v>1337830.7</c:v>
                </c:pt>
                <c:pt idx="1">
                  <c:v>3713496.08</c:v>
                </c:pt>
                <c:pt idx="2">
                  <c:v>5859612.8099999996</c:v>
                </c:pt>
                <c:pt idx="4">
                  <c:v>0</c:v>
                </c:pt>
              </c:numCache>
            </c:numRef>
          </c:val>
          <c:extLst>
            <c:ext xmlns:c16="http://schemas.microsoft.com/office/drawing/2014/chart" uri="{C3380CC4-5D6E-409C-BE32-E72D297353CC}">
              <c16:uniqueId val="{00000002-D5DF-4B11-9CD6-1C5401548576}"/>
            </c:ext>
          </c:extLst>
        </c:ser>
        <c:dLbls>
          <c:showLegendKey val="0"/>
          <c:showVal val="0"/>
          <c:showCatName val="0"/>
          <c:showSerName val="0"/>
          <c:showPercent val="0"/>
          <c:showBubbleSize val="0"/>
        </c:dLbls>
        <c:gapWidth val="219"/>
        <c:overlap val="-27"/>
        <c:axId val="390931016"/>
        <c:axId val="390927408"/>
      </c:barChart>
      <c:catAx>
        <c:axId val="3909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27408"/>
        <c:crosses val="autoZero"/>
        <c:auto val="1"/>
        <c:lblAlgn val="ctr"/>
        <c:lblOffset val="100"/>
        <c:noMultiLvlLbl val="0"/>
      </c:catAx>
      <c:valAx>
        <c:axId val="39092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31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ЛУИН, охваченных программами по  профилактике ВИЧ</a:t>
            </a:r>
          </a:p>
        </c:rich>
      </c:tx>
      <c:layout/>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данных'!$F$171</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данных'!$G$170:$I$170</c:f>
              <c:strCache>
                <c:ptCount val="3"/>
                <c:pt idx="0">
                  <c:v>P1</c:v>
                </c:pt>
                <c:pt idx="1">
                  <c:v>P2</c:v>
                </c:pt>
                <c:pt idx="2">
                  <c:v>P3</c:v>
                </c:pt>
              </c:strCache>
            </c:strRef>
          </c:cat>
          <c:val>
            <c:numRef>
              <c:f>'Ввод данных'!$G$171:$I$171</c:f>
              <c:numCache>
                <c:formatCode>#,##0</c:formatCode>
                <c:ptCount val="3"/>
                <c:pt idx="0">
                  <c:v>16250</c:v>
                </c:pt>
                <c:pt idx="1">
                  <c:v>16875</c:v>
                </c:pt>
                <c:pt idx="2">
                  <c:v>17500</c:v>
                </c:pt>
              </c:numCache>
            </c:numRef>
          </c:val>
          <c:extLst>
            <c:ext xmlns:c16="http://schemas.microsoft.com/office/drawing/2014/chart" uri="{C3380CC4-5D6E-409C-BE32-E72D297353CC}">
              <c16:uniqueId val="{00000000-F4FA-4784-8E5F-61D375F426FC}"/>
            </c:ext>
          </c:extLst>
        </c:ser>
        <c:ser>
          <c:idx val="1"/>
          <c:order val="1"/>
          <c:tx>
            <c:strRef>
              <c:f>'Ввод данных'!$F$172</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данных'!$G$170:$I$170</c:f>
              <c:strCache>
                <c:ptCount val="3"/>
                <c:pt idx="0">
                  <c:v>P1</c:v>
                </c:pt>
                <c:pt idx="1">
                  <c:v>P2</c:v>
                </c:pt>
                <c:pt idx="2">
                  <c:v>P3</c:v>
                </c:pt>
              </c:strCache>
            </c:strRef>
          </c:cat>
          <c:val>
            <c:numRef>
              <c:f>'Ввод данных'!$G$172:$I$172</c:f>
              <c:numCache>
                <c:formatCode>#,##0</c:formatCode>
                <c:ptCount val="3"/>
                <c:pt idx="0">
                  <c:v>16530</c:v>
                </c:pt>
                <c:pt idx="1">
                  <c:v>15835</c:v>
                </c:pt>
                <c:pt idx="2">
                  <c:v>16195</c:v>
                </c:pt>
              </c:numCache>
            </c:numRef>
          </c:val>
          <c:extLst>
            <c:ext xmlns:c16="http://schemas.microsoft.com/office/drawing/2014/chart" uri="{C3380CC4-5D6E-409C-BE32-E72D297353CC}">
              <c16:uniqueId val="{00000000-5E2C-4D8B-9303-E6825A744889}"/>
            </c:ext>
          </c:extLst>
        </c:ser>
        <c:dLbls>
          <c:showLegendKey val="0"/>
          <c:showVal val="1"/>
          <c:showCatName val="0"/>
          <c:showSerName val="0"/>
          <c:showPercent val="0"/>
          <c:showBubbleSize val="0"/>
        </c:dLbls>
        <c:gapWidth val="150"/>
        <c:overlap val="-25"/>
        <c:axId val="1511059472"/>
        <c:axId val="1511063824"/>
      </c:barChart>
      <c:catAx>
        <c:axId val="151105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3824"/>
        <c:crosses val="autoZero"/>
        <c:auto val="1"/>
        <c:lblAlgn val="ctr"/>
        <c:lblOffset val="100"/>
        <c:noMultiLvlLbl val="0"/>
      </c:catAx>
      <c:valAx>
        <c:axId val="1511063824"/>
        <c:scaling>
          <c:orientation val="minMax"/>
        </c:scaling>
        <c:delete val="1"/>
        <c:axPos val="l"/>
        <c:numFmt formatCode="#,##0" sourceLinked="1"/>
        <c:majorTickMark val="none"/>
        <c:minorTickMark val="none"/>
        <c:tickLblPos val="nextTo"/>
        <c:crossAx val="1511059472"/>
        <c:crosses val="autoZero"/>
        <c:crossBetween val="between"/>
      </c:valAx>
      <c:spPr>
        <a:noFill/>
        <a:ln>
          <a:noFill/>
        </a:ln>
        <a:effectLst/>
      </c:spPr>
    </c:plotArea>
    <c:legend>
      <c:legendPos val="t"/>
      <c:layout>
        <c:manualLayout>
          <c:xMode val="edge"/>
          <c:yMode val="edge"/>
          <c:x val="0.16948667135520623"/>
          <c:y val="0.14742951907131011"/>
          <c:w val="0.51638426283155525"/>
          <c:h val="8.88531969928702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взрослых и детей, получающих в настоящее время антиретровирусную терапию, от оценочного числа всех взрослых и детей, живущих с ВИЧ</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1"/>
          <c:order val="0"/>
          <c:tx>
            <c:strRef>
              <c:f>'Ввод данных'!$F$173</c:f>
              <c:strCache>
                <c:ptCount val="1"/>
                <c:pt idx="0">
                  <c:v>Целевой показатель</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данных'!$G$170:$I$170</c:f>
              <c:strCache>
                <c:ptCount val="3"/>
                <c:pt idx="0">
                  <c:v>P1</c:v>
                </c:pt>
                <c:pt idx="1">
                  <c:v>P2</c:v>
                </c:pt>
                <c:pt idx="2">
                  <c:v>P3</c:v>
                </c:pt>
              </c:strCache>
            </c:strRef>
          </c:cat>
          <c:val>
            <c:numRef>
              <c:f>'Ввод данных'!$G$173:$I$173</c:f>
              <c:numCache>
                <c:formatCode>#,##0</c:formatCode>
                <c:ptCount val="3"/>
                <c:pt idx="0">
                  <c:v>4373</c:v>
                </c:pt>
                <c:pt idx="1">
                  <c:v>5123</c:v>
                </c:pt>
                <c:pt idx="2">
                  <c:v>5873</c:v>
                </c:pt>
              </c:numCache>
            </c:numRef>
          </c:val>
          <c:extLst>
            <c:ext xmlns:c16="http://schemas.microsoft.com/office/drawing/2014/chart" uri="{C3380CC4-5D6E-409C-BE32-E72D297353CC}">
              <c16:uniqueId val="{00000000-5B30-4091-B18A-6AC4751D1127}"/>
            </c:ext>
          </c:extLst>
        </c:ser>
        <c:ser>
          <c:idx val="0"/>
          <c:order val="1"/>
          <c:tx>
            <c:strRef>
              <c:f>'Ввод данных'!$F$174</c:f>
              <c:strCache>
                <c:ptCount val="1"/>
                <c:pt idx="0">
                  <c:v>Достигнуто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данных'!$G$170:$I$170</c:f>
              <c:strCache>
                <c:ptCount val="3"/>
                <c:pt idx="0">
                  <c:v>P1</c:v>
                </c:pt>
                <c:pt idx="1">
                  <c:v>P2</c:v>
                </c:pt>
                <c:pt idx="2">
                  <c:v>P3</c:v>
                </c:pt>
              </c:strCache>
            </c:strRef>
          </c:cat>
          <c:val>
            <c:numRef>
              <c:f>'Ввод данных'!$G$174:$I$174</c:f>
              <c:numCache>
                <c:formatCode>#,##0</c:formatCode>
                <c:ptCount val="3"/>
                <c:pt idx="0">
                  <c:v>3718</c:v>
                </c:pt>
                <c:pt idx="1">
                  <c:v>3762</c:v>
                </c:pt>
                <c:pt idx="2">
                  <c:v>4058</c:v>
                </c:pt>
              </c:numCache>
            </c:numRef>
          </c:val>
          <c:extLst>
            <c:ext xmlns:c16="http://schemas.microsoft.com/office/drawing/2014/chart" uri="{C3380CC4-5D6E-409C-BE32-E72D297353CC}">
              <c16:uniqueId val="{00000001-E322-42DE-852E-1F1AFDD7EC9E}"/>
            </c:ext>
          </c:extLst>
        </c:ser>
        <c:dLbls>
          <c:showLegendKey val="0"/>
          <c:showVal val="1"/>
          <c:showCatName val="0"/>
          <c:showSerName val="0"/>
          <c:showPercent val="0"/>
          <c:showBubbleSize val="0"/>
        </c:dLbls>
        <c:gapWidth val="150"/>
        <c:overlap val="-25"/>
        <c:axId val="1511070352"/>
        <c:axId val="1511060560"/>
      </c:barChart>
      <c:catAx>
        <c:axId val="151107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0560"/>
        <c:crosses val="autoZero"/>
        <c:auto val="1"/>
        <c:lblAlgn val="ctr"/>
        <c:lblOffset val="100"/>
        <c:noMultiLvlLbl val="0"/>
      </c:catAx>
      <c:valAx>
        <c:axId val="1511060560"/>
        <c:scaling>
          <c:orientation val="minMax"/>
        </c:scaling>
        <c:delete val="1"/>
        <c:axPos val="l"/>
        <c:numFmt formatCode="#,##0" sourceLinked="1"/>
        <c:majorTickMark val="none"/>
        <c:minorTickMark val="none"/>
        <c:tickLblPos val="nextTo"/>
        <c:crossAx val="15110703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ЛЖВ, получающих АРТ и достигших неопределяемую вирусную нагрузку (т.е. ≤1000 копий)</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данных'!$F$175</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данных'!$G$170:$I$170</c:f>
              <c:strCache>
                <c:ptCount val="3"/>
                <c:pt idx="0">
                  <c:v>P1</c:v>
                </c:pt>
                <c:pt idx="1">
                  <c:v>P2</c:v>
                </c:pt>
                <c:pt idx="2">
                  <c:v>P3</c:v>
                </c:pt>
              </c:strCache>
            </c:strRef>
          </c:cat>
          <c:val>
            <c:numRef>
              <c:f>'Ввод данных'!$G$175:$I$175</c:f>
              <c:numCache>
                <c:formatCode>#,##0</c:formatCode>
                <c:ptCount val="3"/>
                <c:pt idx="0" formatCode="0.0%">
                  <c:v>0.54900000000000004</c:v>
                </c:pt>
                <c:pt idx="2" formatCode="0.0%">
                  <c:v>0.67</c:v>
                </c:pt>
              </c:numCache>
            </c:numRef>
          </c:val>
          <c:extLst>
            <c:ext xmlns:c16="http://schemas.microsoft.com/office/drawing/2014/chart" uri="{C3380CC4-5D6E-409C-BE32-E72D297353CC}">
              <c16:uniqueId val="{00000000-8E36-4759-95E6-C1FD3F67DC3B}"/>
            </c:ext>
          </c:extLst>
        </c:ser>
        <c:ser>
          <c:idx val="1"/>
          <c:order val="1"/>
          <c:tx>
            <c:strRef>
              <c:f>'Ввод данных'!$F$176</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данных'!$G$170:$I$170</c:f>
              <c:strCache>
                <c:ptCount val="3"/>
                <c:pt idx="0">
                  <c:v>P1</c:v>
                </c:pt>
                <c:pt idx="1">
                  <c:v>P2</c:v>
                </c:pt>
                <c:pt idx="2">
                  <c:v>P3</c:v>
                </c:pt>
              </c:strCache>
            </c:strRef>
          </c:cat>
          <c:val>
            <c:numRef>
              <c:f>'Ввод данных'!$G$176:$I$176</c:f>
              <c:numCache>
                <c:formatCode>#,##0</c:formatCode>
                <c:ptCount val="3"/>
                <c:pt idx="0" formatCode="0.0%">
                  <c:v>0.68500000000000005</c:v>
                </c:pt>
                <c:pt idx="2" formatCode="0.0%">
                  <c:v>0.79700000000000004</c:v>
                </c:pt>
              </c:numCache>
            </c:numRef>
          </c:val>
          <c:extLst>
            <c:ext xmlns:c16="http://schemas.microsoft.com/office/drawing/2014/chart" uri="{C3380CC4-5D6E-409C-BE32-E72D297353CC}">
              <c16:uniqueId val="{00000000-8C3E-4718-B6B0-337AA0AB893F}"/>
            </c:ext>
          </c:extLst>
        </c:ser>
        <c:dLbls>
          <c:showLegendKey val="0"/>
          <c:showVal val="1"/>
          <c:showCatName val="0"/>
          <c:showSerName val="0"/>
          <c:showPercent val="0"/>
          <c:showBubbleSize val="0"/>
        </c:dLbls>
        <c:gapWidth val="150"/>
        <c:overlap val="-25"/>
        <c:axId val="1511065456"/>
        <c:axId val="1511062736"/>
      </c:barChart>
      <c:catAx>
        <c:axId val="151106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2736"/>
        <c:crosses val="autoZero"/>
        <c:auto val="1"/>
        <c:lblAlgn val="ctr"/>
        <c:lblOffset val="100"/>
        <c:noMultiLvlLbl val="0"/>
      </c:catAx>
      <c:valAx>
        <c:axId val="1511062736"/>
        <c:scaling>
          <c:orientation val="minMax"/>
        </c:scaling>
        <c:delete val="1"/>
        <c:axPos val="l"/>
        <c:numFmt formatCode="0.0%" sourceLinked="1"/>
        <c:majorTickMark val="none"/>
        <c:minorTickMark val="none"/>
        <c:tickLblPos val="nextTo"/>
        <c:crossAx val="15110654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TCP-1: </a:t>
            </a:r>
            <a:r>
              <a:rPr lang="ru-RU" sz="1000" b="0" i="0" u="none" strike="noStrike" baseline="0">
                <a:effectLst/>
              </a:rPr>
              <a:t>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a:t>
            </a:r>
            <a:r>
              <a:rPr lang="ru-RU" sz="1000" b="0" i="0" u="none" strike="noStrike" baseline="0"/>
              <a:t> </a:t>
            </a:r>
            <a:endParaRPr lang="ru-RU"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данных'!$F$210</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данных'!$G$209:$I$209</c:f>
              <c:strCache>
                <c:ptCount val="3"/>
                <c:pt idx="0">
                  <c:v>Р1</c:v>
                </c:pt>
                <c:pt idx="1">
                  <c:v>Р2</c:v>
                </c:pt>
                <c:pt idx="2">
                  <c:v>P3</c:v>
                </c:pt>
              </c:strCache>
            </c:strRef>
          </c:cat>
          <c:val>
            <c:numRef>
              <c:f>'Ввод данных'!$G$210:$I$210</c:f>
              <c:numCache>
                <c:formatCode>#,##0</c:formatCode>
                <c:ptCount val="3"/>
                <c:pt idx="0">
                  <c:v>3500</c:v>
                </c:pt>
                <c:pt idx="1">
                  <c:v>3475</c:v>
                </c:pt>
                <c:pt idx="2">
                  <c:v>3450</c:v>
                </c:pt>
              </c:numCache>
            </c:numRef>
          </c:val>
          <c:extLst>
            <c:ext xmlns:c16="http://schemas.microsoft.com/office/drawing/2014/chart" uri="{C3380CC4-5D6E-409C-BE32-E72D297353CC}">
              <c16:uniqueId val="{00000000-3B9B-49FD-BF6F-70EC39C3254D}"/>
            </c:ext>
          </c:extLst>
        </c:ser>
        <c:ser>
          <c:idx val="1"/>
          <c:order val="1"/>
          <c:tx>
            <c:strRef>
              <c:f>'Ввод данных'!$F$211</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данных'!$G$209:$I$209</c:f>
              <c:strCache>
                <c:ptCount val="3"/>
                <c:pt idx="0">
                  <c:v>Р1</c:v>
                </c:pt>
                <c:pt idx="1">
                  <c:v>Р2</c:v>
                </c:pt>
                <c:pt idx="2">
                  <c:v>P3</c:v>
                </c:pt>
              </c:strCache>
            </c:strRef>
          </c:cat>
          <c:val>
            <c:numRef>
              <c:f>'Ввод данных'!$G$211:$I$211</c:f>
              <c:numCache>
                <c:formatCode>#,##0</c:formatCode>
                <c:ptCount val="3"/>
                <c:pt idx="0">
                  <c:v>3191</c:v>
                </c:pt>
                <c:pt idx="1">
                  <c:v>3023</c:v>
                </c:pt>
                <c:pt idx="2">
                  <c:v>3241</c:v>
                </c:pt>
              </c:numCache>
            </c:numRef>
          </c:val>
          <c:extLst>
            <c:ext xmlns:c16="http://schemas.microsoft.com/office/drawing/2014/chart" uri="{C3380CC4-5D6E-409C-BE32-E72D297353CC}">
              <c16:uniqueId val="{00000001-3B9B-49FD-BF6F-70EC39C3254D}"/>
            </c:ext>
          </c:extLst>
        </c:ser>
        <c:dLbls>
          <c:showLegendKey val="0"/>
          <c:showVal val="1"/>
          <c:showCatName val="0"/>
          <c:showSerName val="0"/>
          <c:showPercent val="0"/>
          <c:showBubbleSize val="0"/>
        </c:dLbls>
        <c:gapWidth val="150"/>
        <c:overlap val="-25"/>
        <c:axId val="1511056208"/>
        <c:axId val="1511056752"/>
      </c:barChart>
      <c:catAx>
        <c:axId val="151105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6752"/>
        <c:crosses val="autoZero"/>
        <c:auto val="1"/>
        <c:lblAlgn val="ctr"/>
        <c:lblOffset val="100"/>
        <c:noMultiLvlLbl val="0"/>
      </c:catAx>
      <c:valAx>
        <c:axId val="1511056752"/>
        <c:scaling>
          <c:orientation val="minMax"/>
        </c:scaling>
        <c:delete val="1"/>
        <c:axPos val="l"/>
        <c:numFmt formatCode="#,##0" sourceLinked="1"/>
        <c:majorTickMark val="none"/>
        <c:minorTickMark val="none"/>
        <c:tickLblPos val="nextTo"/>
        <c:crossAx val="151105620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TB-2: </a:t>
            </a:r>
            <a:r>
              <a:rPr lang="ru-RU" sz="1000" b="0" i="0" u="none" strike="noStrike" baseline="0">
                <a:effectLst/>
              </a:rPr>
              <a:t>Количество бактериологически подтвержденных зарегистрированных ЛУ-ТБ случаев (РУ-ТБ и/или МЛУ-ТБ) </a:t>
            </a:r>
            <a:endParaRPr lang="ru-RU"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данных'!$F$212</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данных'!$G$209:$I$209</c:f>
              <c:strCache>
                <c:ptCount val="3"/>
                <c:pt idx="0">
                  <c:v>Р1</c:v>
                </c:pt>
                <c:pt idx="1">
                  <c:v>Р2</c:v>
                </c:pt>
                <c:pt idx="2">
                  <c:v>P3</c:v>
                </c:pt>
              </c:strCache>
            </c:strRef>
          </c:cat>
          <c:val>
            <c:numRef>
              <c:f>'Ввод данных'!$G$212:$I$212</c:f>
              <c:numCache>
                <c:formatCode>#,##0</c:formatCode>
                <c:ptCount val="3"/>
                <c:pt idx="0">
                  <c:v>700</c:v>
                </c:pt>
                <c:pt idx="1">
                  <c:v>720</c:v>
                </c:pt>
                <c:pt idx="2">
                  <c:v>720</c:v>
                </c:pt>
              </c:numCache>
            </c:numRef>
          </c:val>
          <c:extLst>
            <c:ext xmlns:c16="http://schemas.microsoft.com/office/drawing/2014/chart" uri="{C3380CC4-5D6E-409C-BE32-E72D297353CC}">
              <c16:uniqueId val="{00000000-0FA3-483E-9E00-1641FC511067}"/>
            </c:ext>
          </c:extLst>
        </c:ser>
        <c:ser>
          <c:idx val="1"/>
          <c:order val="1"/>
          <c:tx>
            <c:strRef>
              <c:f>'Ввод данных'!$F$213</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данных'!$G$209:$I$209</c:f>
              <c:strCache>
                <c:ptCount val="3"/>
                <c:pt idx="0">
                  <c:v>Р1</c:v>
                </c:pt>
                <c:pt idx="1">
                  <c:v>Р2</c:v>
                </c:pt>
                <c:pt idx="2">
                  <c:v>P3</c:v>
                </c:pt>
              </c:strCache>
            </c:strRef>
          </c:cat>
          <c:val>
            <c:numRef>
              <c:f>'Ввод данных'!$G$213:$I$213</c:f>
              <c:numCache>
                <c:formatCode>#,##0</c:formatCode>
                <c:ptCount val="3"/>
                <c:pt idx="0">
                  <c:v>847</c:v>
                </c:pt>
                <c:pt idx="1">
                  <c:v>709</c:v>
                </c:pt>
                <c:pt idx="2">
                  <c:v>731</c:v>
                </c:pt>
              </c:numCache>
            </c:numRef>
          </c:val>
          <c:extLst>
            <c:ext xmlns:c16="http://schemas.microsoft.com/office/drawing/2014/chart" uri="{C3380CC4-5D6E-409C-BE32-E72D297353CC}">
              <c16:uniqueId val="{00000000-69CA-4A9F-9CC5-45ABBCD47E45}"/>
            </c:ext>
          </c:extLst>
        </c:ser>
        <c:dLbls>
          <c:showLegendKey val="0"/>
          <c:showVal val="1"/>
          <c:showCatName val="0"/>
          <c:showSerName val="0"/>
          <c:showPercent val="0"/>
          <c:showBubbleSize val="0"/>
        </c:dLbls>
        <c:gapWidth val="150"/>
        <c:overlap val="-25"/>
        <c:axId val="1512274016"/>
        <c:axId val="1512273472"/>
      </c:barChart>
      <c:catAx>
        <c:axId val="15122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73472"/>
        <c:crosses val="autoZero"/>
        <c:auto val="1"/>
        <c:lblAlgn val="ctr"/>
        <c:lblOffset val="100"/>
        <c:noMultiLvlLbl val="0"/>
      </c:catAx>
      <c:valAx>
        <c:axId val="1512273472"/>
        <c:scaling>
          <c:orientation val="minMax"/>
        </c:scaling>
        <c:delete val="1"/>
        <c:axPos val="l"/>
        <c:numFmt formatCode="#,##0" sourceLinked="1"/>
        <c:majorTickMark val="none"/>
        <c:minorTickMark val="none"/>
        <c:tickLblPos val="nextTo"/>
        <c:crossAx val="15122740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TB-3: </a:t>
            </a:r>
            <a:r>
              <a:rPr lang="ru-RU" sz="1000" b="0" i="0" u="none" strike="noStrike" baseline="0">
                <a:effectLst/>
              </a:rPr>
              <a:t>Количество случаев с РУ/МЛУ ТБ, начавших лечение препаратами второго ряда </a:t>
            </a:r>
            <a:endParaRPr lang="ru-RU"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2.6907577767137161E-2"/>
          <c:y val="0.28708574224016331"/>
          <c:w val="0.97309242223286285"/>
          <c:h val="0.59200153327338678"/>
        </c:manualLayout>
      </c:layout>
      <c:barChart>
        <c:barDir val="col"/>
        <c:grouping val="clustered"/>
        <c:varyColors val="0"/>
        <c:ser>
          <c:idx val="0"/>
          <c:order val="0"/>
          <c:tx>
            <c:strRef>
              <c:f>'Ввод данных'!$F$214</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данных'!$G$209:$I$209</c:f>
              <c:strCache>
                <c:ptCount val="3"/>
                <c:pt idx="0">
                  <c:v>Р1</c:v>
                </c:pt>
                <c:pt idx="1">
                  <c:v>Р2</c:v>
                </c:pt>
                <c:pt idx="2">
                  <c:v>P3</c:v>
                </c:pt>
              </c:strCache>
            </c:strRef>
          </c:cat>
          <c:val>
            <c:numRef>
              <c:f>'Ввод данных'!$G$214:$I$214</c:f>
              <c:numCache>
                <c:formatCode>#,##0</c:formatCode>
                <c:ptCount val="3"/>
                <c:pt idx="0">
                  <c:v>700</c:v>
                </c:pt>
                <c:pt idx="1">
                  <c:v>720</c:v>
                </c:pt>
                <c:pt idx="2">
                  <c:v>720</c:v>
                </c:pt>
              </c:numCache>
            </c:numRef>
          </c:val>
          <c:extLst>
            <c:ext xmlns:c16="http://schemas.microsoft.com/office/drawing/2014/chart" uri="{C3380CC4-5D6E-409C-BE32-E72D297353CC}">
              <c16:uniqueId val="{00000000-C5F8-4F29-8519-CACFFDA40A9D}"/>
            </c:ext>
          </c:extLst>
        </c:ser>
        <c:ser>
          <c:idx val="1"/>
          <c:order val="1"/>
          <c:tx>
            <c:strRef>
              <c:f>'Ввод данных'!$F$215</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данных'!$G$209:$I$209</c:f>
              <c:strCache>
                <c:ptCount val="3"/>
                <c:pt idx="0">
                  <c:v>Р1</c:v>
                </c:pt>
                <c:pt idx="1">
                  <c:v>Р2</c:v>
                </c:pt>
                <c:pt idx="2">
                  <c:v>P3</c:v>
                </c:pt>
              </c:strCache>
            </c:strRef>
          </c:cat>
          <c:val>
            <c:numRef>
              <c:f>'Ввод данных'!$G$215:$I$215</c:f>
              <c:numCache>
                <c:formatCode>#,##0</c:formatCode>
                <c:ptCount val="3"/>
                <c:pt idx="0">
                  <c:v>671</c:v>
                </c:pt>
                <c:pt idx="1">
                  <c:v>674</c:v>
                </c:pt>
                <c:pt idx="2">
                  <c:v>665</c:v>
                </c:pt>
              </c:numCache>
            </c:numRef>
          </c:val>
          <c:extLst>
            <c:ext xmlns:c16="http://schemas.microsoft.com/office/drawing/2014/chart" uri="{C3380CC4-5D6E-409C-BE32-E72D297353CC}">
              <c16:uniqueId val="{00000000-8AF3-4410-BD28-247F6DF8EDFC}"/>
            </c:ext>
          </c:extLst>
        </c:ser>
        <c:dLbls>
          <c:showLegendKey val="0"/>
          <c:showVal val="1"/>
          <c:showCatName val="0"/>
          <c:showSerName val="0"/>
          <c:showPercent val="0"/>
          <c:showBubbleSize val="0"/>
        </c:dLbls>
        <c:gapWidth val="150"/>
        <c:overlap val="-25"/>
        <c:axId val="1512272384"/>
        <c:axId val="1512268032"/>
      </c:barChart>
      <c:catAx>
        <c:axId val="151227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68032"/>
        <c:crosses val="autoZero"/>
        <c:auto val="1"/>
        <c:lblAlgn val="ctr"/>
        <c:lblOffset val="100"/>
        <c:noMultiLvlLbl val="0"/>
      </c:catAx>
      <c:valAx>
        <c:axId val="1512268032"/>
        <c:scaling>
          <c:orientation val="minMax"/>
        </c:scaling>
        <c:delete val="1"/>
        <c:axPos val="l"/>
        <c:numFmt formatCode="#,##0" sourceLinked="1"/>
        <c:majorTickMark val="none"/>
        <c:minorTickMark val="none"/>
        <c:tickLblPos val="nextTo"/>
        <c:crossAx val="15122723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'Ввод данных'!$A$33</c:f>
              <c:strCache>
                <c:ptCount val="1"/>
                <c:pt idx="0">
                  <c:v>Общий бюджет</c:v>
                </c:pt>
              </c:strCache>
            </c:strRef>
          </c:tx>
          <c:spPr>
            <a:solidFill>
              <a:srgbClr val="339966"/>
            </a:solidFill>
            <a:ln w="12700">
              <a:solidFill>
                <a:srgbClr val="0000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данных'!$B$33:$L$33</c:f>
              <c:numCache>
                <c:formatCode>#,##0</c:formatCode>
                <c:ptCount val="11"/>
                <c:pt idx="0">
                  <c:v>3229329.58</c:v>
                </c:pt>
                <c:pt idx="1">
                  <c:v>7403519.0300000003</c:v>
                </c:pt>
                <c:pt idx="2">
                  <c:v>17491630.309999999</c:v>
                </c:pt>
                <c:pt idx="3">
                  <c:v>0</c:v>
                </c:pt>
              </c:numCache>
            </c:numRef>
          </c:val>
          <c:extLst>
            <c:ext xmlns:c16="http://schemas.microsoft.com/office/drawing/2014/chart" uri="{C3380CC4-5D6E-409C-BE32-E72D297353CC}">
              <c16:uniqueId val="{00000000-745B-4750-98B5-D01D83B5846C}"/>
            </c:ext>
          </c:extLst>
        </c:ser>
        <c:ser>
          <c:idx val="1"/>
          <c:order val="1"/>
          <c:tx>
            <c:strRef>
              <c:f>'Ввод данных'!$A$34</c:f>
              <c:strCache>
                <c:ptCount val="1"/>
                <c:pt idx="0">
                  <c:v>Общая сумма выплат</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данных'!$B$34:$L$34</c:f>
              <c:numCache>
                <c:formatCode>#,##0</c:formatCode>
                <c:ptCount val="11"/>
                <c:pt idx="0">
                  <c:v>9283289</c:v>
                </c:pt>
                <c:pt idx="1">
                  <c:v>12361316.41</c:v>
                </c:pt>
                <c:pt idx="2">
                  <c:v>17555626.91</c:v>
                </c:pt>
                <c:pt idx="3">
                  <c:v>0</c:v>
                </c:pt>
              </c:numCache>
            </c:numRef>
          </c:val>
          <c:extLst>
            <c:ext xmlns:c16="http://schemas.microsoft.com/office/drawing/2014/chart" uri="{C3380CC4-5D6E-409C-BE32-E72D297353CC}">
              <c16:uniqueId val="{00000001-745B-4750-98B5-D01D83B5846C}"/>
            </c:ext>
          </c:extLst>
        </c:ser>
        <c:dLbls>
          <c:showLegendKey val="0"/>
          <c:showVal val="0"/>
          <c:showCatName val="0"/>
          <c:showSerName val="0"/>
          <c:showPercent val="0"/>
          <c:showBubbleSize val="0"/>
        </c:dLbls>
        <c:dropLines>
          <c:spPr>
            <a:ln w="3175">
              <a:solidFill>
                <a:srgbClr val="000000"/>
              </a:solidFill>
              <a:prstDash val="solid"/>
            </a:ln>
          </c:spPr>
        </c:dropLines>
        <c:axId val="1512269664"/>
        <c:axId val="1512270208"/>
      </c:areaChart>
      <c:catAx>
        <c:axId val="151226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1512270208"/>
        <c:crosses val="autoZero"/>
        <c:auto val="1"/>
        <c:lblAlgn val="ctr"/>
        <c:lblOffset val="100"/>
        <c:tickLblSkip val="8"/>
        <c:tickMarkSkip val="1"/>
        <c:noMultiLvlLbl val="0"/>
      </c:catAx>
      <c:valAx>
        <c:axId val="151227020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15122696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1052;&#1077;&#1085;&#1102;!A1"/><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hyperlink" Target="#&#1052;&#1077;&#1085;&#1102;!A1"/><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9.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a:extLst>
            <a:ext uri="{FF2B5EF4-FFF2-40B4-BE49-F238E27FC236}">
              <a16:creationId xmlns:a16="http://schemas.microsoft.com/office/drawing/2014/main" id="{00000000-0008-0000-0000-000096F93B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a:extLst>
            <a:ext uri="{FF2B5EF4-FFF2-40B4-BE49-F238E27FC236}">
              <a16:creationId xmlns:a16="http://schemas.microsoft.com/office/drawing/2014/main" id="{00000000-0008-0000-0000-000097F93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a:extLst>
            <a:ext uri="{FF2B5EF4-FFF2-40B4-BE49-F238E27FC236}">
              <a16:creationId xmlns:a16="http://schemas.microsoft.com/office/drawing/2014/main" id="{00000000-0008-0000-0000-000098F93B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a:extLst>
            <a:ext uri="{FF2B5EF4-FFF2-40B4-BE49-F238E27FC236}">
              <a16:creationId xmlns:a16="http://schemas.microsoft.com/office/drawing/2014/main" id="{00000000-0008-0000-0000-000099F93B00}"/>
            </a:ext>
          </a:extLst>
        </xdr:cNvPr>
        <xdr:cNvGrpSpPr>
          <a:grpSpLocks/>
        </xdr:cNvGrpSpPr>
      </xdr:nvGrpSpPr>
      <xdr:grpSpPr bwMode="auto">
        <a:xfrm>
          <a:off x="3257550" y="2390775"/>
          <a:ext cx="1285875" cy="409575"/>
          <a:chOff x="1200" y="1912"/>
          <a:chExt cx="3456" cy="774"/>
        </a:xfrm>
      </xdr:grpSpPr>
      <xdr:sp macro="" textlink="">
        <xdr:nvSpPr>
          <xdr:cNvPr id="3930565" name="AutoShape 26">
            <a:extLst>
              <a:ext uri="{FF2B5EF4-FFF2-40B4-BE49-F238E27FC236}">
                <a16:creationId xmlns:a16="http://schemas.microsoft.com/office/drawing/2014/main" id="{00000000-0008-0000-0000-0000C5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a:extLst>
            <a:ext uri="{FF2B5EF4-FFF2-40B4-BE49-F238E27FC236}">
              <a16:creationId xmlns:a16="http://schemas.microsoft.com/office/drawing/2014/main" id="{00000000-0008-0000-0000-00009AF93B00}"/>
            </a:ext>
          </a:extLst>
        </xdr:cNvPr>
        <xdr:cNvGrpSpPr>
          <a:grpSpLocks/>
        </xdr:cNvGrpSpPr>
      </xdr:nvGrpSpPr>
      <xdr:grpSpPr bwMode="auto">
        <a:xfrm>
          <a:off x="3257550" y="3457575"/>
          <a:ext cx="1314450" cy="371475"/>
          <a:chOff x="1200" y="1912"/>
          <a:chExt cx="3456" cy="774"/>
        </a:xfrm>
      </xdr:grpSpPr>
      <xdr:sp macro="" textlink="">
        <xdr:nvSpPr>
          <xdr:cNvPr id="3930562" name="AutoShape 26">
            <a:extLst>
              <a:ext uri="{FF2B5EF4-FFF2-40B4-BE49-F238E27FC236}">
                <a16:creationId xmlns:a16="http://schemas.microsoft.com/office/drawing/2014/main" id="{00000000-0008-0000-0000-0000C2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a:extLst>
              <a:ext uri="{FF2B5EF4-FFF2-40B4-BE49-F238E27FC236}">
                <a16:creationId xmlns:a16="http://schemas.microsoft.com/office/drawing/2014/main" id="{00000000-0008-0000-0000-00001A000000}"/>
              </a:ext>
            </a:extLst>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a:extLst>
            <a:ext uri="{FF2B5EF4-FFF2-40B4-BE49-F238E27FC236}">
              <a16:creationId xmlns:a16="http://schemas.microsoft.com/office/drawing/2014/main" id="{00000000-0008-0000-0000-00009BF93B00}"/>
            </a:ext>
          </a:extLst>
        </xdr:cNvPr>
        <xdr:cNvGrpSpPr>
          <a:grpSpLocks/>
        </xdr:cNvGrpSpPr>
      </xdr:nvGrpSpPr>
      <xdr:grpSpPr bwMode="auto">
        <a:xfrm>
          <a:off x="3248025" y="2924175"/>
          <a:ext cx="1314450" cy="390525"/>
          <a:chOff x="1200" y="1912"/>
          <a:chExt cx="3456" cy="774"/>
        </a:xfrm>
      </xdr:grpSpPr>
      <xdr:sp macro="" textlink="">
        <xdr:nvSpPr>
          <xdr:cNvPr id="3930559" name="AutoShape 26">
            <a:extLst>
              <a:ext uri="{FF2B5EF4-FFF2-40B4-BE49-F238E27FC236}">
                <a16:creationId xmlns:a16="http://schemas.microsoft.com/office/drawing/2014/main" id="{00000000-0008-0000-0000-0000BF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a:extLst>
              <a:ext uri="{FF2B5EF4-FFF2-40B4-BE49-F238E27FC236}">
                <a16:creationId xmlns:a16="http://schemas.microsoft.com/office/drawing/2014/main" id="{00000000-0008-0000-0000-0000452C0300}"/>
              </a:ext>
            </a:extLst>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a:extLst>
            <a:ext uri="{FF2B5EF4-FFF2-40B4-BE49-F238E27FC236}">
              <a16:creationId xmlns:a16="http://schemas.microsoft.com/office/drawing/2014/main" id="{00000000-0008-0000-0000-00004E753000}"/>
            </a:ext>
          </a:extLst>
        </xdr:cNvPr>
        <xdr:cNvSpPr>
          <a:spLocks noChangeArrowheads="1"/>
        </xdr:cNvSpPr>
      </xdr:nvSpPr>
      <xdr:spPr bwMode="auto">
        <a:xfrm>
          <a:off x="2247900" y="1428750"/>
          <a:ext cx="3362325" cy="238125"/>
        </a:xfrm>
        <a:prstGeom prst="rect">
          <a:avLst/>
        </a:prstGeom>
        <a:noFill/>
        <a:ln>
          <a:noFill/>
        </a:ln>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a:extLst>
            <a:ext uri="{FF2B5EF4-FFF2-40B4-BE49-F238E27FC236}">
              <a16:creationId xmlns:a16="http://schemas.microsoft.com/office/drawing/2014/main" id="{00000000-0008-0000-0000-00009DF93B00}"/>
            </a:ext>
          </a:extLst>
        </xdr:cNvPr>
        <xdr:cNvGrpSpPr>
          <a:grpSpLocks/>
        </xdr:cNvGrpSpPr>
      </xdr:nvGrpSpPr>
      <xdr:grpSpPr bwMode="auto">
        <a:xfrm>
          <a:off x="5705475" y="2571750"/>
          <a:ext cx="1504950" cy="409575"/>
          <a:chOff x="599" y="262"/>
          <a:chExt cx="158" cy="43"/>
        </a:xfrm>
      </xdr:grpSpPr>
      <xdr:sp macro="" textlink="">
        <xdr:nvSpPr>
          <xdr:cNvPr id="3930555" name="AutoShape 30">
            <a:extLst>
              <a:ext uri="{FF2B5EF4-FFF2-40B4-BE49-F238E27FC236}">
                <a16:creationId xmlns:a16="http://schemas.microsoft.com/office/drawing/2014/main" id="{00000000-0008-0000-0000-0000BBF93B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a:extLst>
              <a:ext uri="{FF2B5EF4-FFF2-40B4-BE49-F238E27FC236}">
                <a16:creationId xmlns:a16="http://schemas.microsoft.com/office/drawing/2014/main" id="{00000000-0008-0000-0000-0000BCF93B00}"/>
              </a:ext>
            </a:extLst>
          </xdr:cNvPr>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a:extLst>
                <a:ext uri="{FF2B5EF4-FFF2-40B4-BE49-F238E27FC236}">
                  <a16:creationId xmlns:a16="http://schemas.microsoft.com/office/drawing/2014/main" id="{00000000-0008-0000-0000-0000BEF93B00}"/>
                </a:ext>
              </a:extLst>
            </xdr:cNvPr>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a:extLst>
            <a:ext uri="{FF2B5EF4-FFF2-40B4-BE49-F238E27FC236}">
              <a16:creationId xmlns:a16="http://schemas.microsoft.com/office/drawing/2014/main" id="{00000000-0008-0000-0000-00009EF93B00}"/>
            </a:ext>
          </a:extLst>
        </xdr:cNvPr>
        <xdr:cNvGrpSpPr>
          <a:grpSpLocks/>
        </xdr:cNvGrpSpPr>
      </xdr:nvGrpSpPr>
      <xdr:grpSpPr bwMode="auto">
        <a:xfrm>
          <a:off x="323850" y="1895475"/>
          <a:ext cx="2143125" cy="2124075"/>
          <a:chOff x="32" y="188"/>
          <a:chExt cx="225" cy="225"/>
        </a:xfrm>
      </xdr:grpSpPr>
      <xdr:sp macro="" textlink="">
        <xdr:nvSpPr>
          <xdr:cNvPr id="3930553" name="AutoShape 31">
            <a:extLst>
              <a:ext uri="{FF2B5EF4-FFF2-40B4-BE49-F238E27FC236}">
                <a16:creationId xmlns:a16="http://schemas.microsoft.com/office/drawing/2014/main" id="{00000000-0008-0000-0000-0000B9F93B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a:extLst>
            <a:ext uri="{FF2B5EF4-FFF2-40B4-BE49-F238E27FC236}">
              <a16:creationId xmlns:a16="http://schemas.microsoft.com/office/drawing/2014/main" id="{00000000-0008-0000-0000-00009FF93B00}"/>
            </a:ext>
          </a:extLst>
        </xdr:cNvPr>
        <xdr:cNvGrpSpPr>
          <a:grpSpLocks/>
        </xdr:cNvGrpSpPr>
      </xdr:nvGrpSpPr>
      <xdr:grpSpPr bwMode="auto">
        <a:xfrm>
          <a:off x="5695950" y="3200400"/>
          <a:ext cx="1504950" cy="409575"/>
          <a:chOff x="578" y="328"/>
          <a:chExt cx="158" cy="43"/>
        </a:xfrm>
      </xdr:grpSpPr>
      <xdr:sp macro="" textlink="">
        <xdr:nvSpPr>
          <xdr:cNvPr id="3930549" name="AutoShape 30">
            <a:extLst>
              <a:ext uri="{FF2B5EF4-FFF2-40B4-BE49-F238E27FC236}">
                <a16:creationId xmlns:a16="http://schemas.microsoft.com/office/drawing/2014/main" id="{00000000-0008-0000-0000-0000B5F93B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a:extLst>
              <a:ext uri="{FF2B5EF4-FFF2-40B4-BE49-F238E27FC236}">
                <a16:creationId xmlns:a16="http://schemas.microsoft.com/office/drawing/2014/main" id="{00000000-0008-0000-0000-0000B6F93B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a:extLst>
                <a:ext uri="{FF2B5EF4-FFF2-40B4-BE49-F238E27FC236}">
                  <a16:creationId xmlns:a16="http://schemas.microsoft.com/office/drawing/2014/main" id="{00000000-0008-0000-0000-0000B8F93B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a:extLst>
            <a:ext uri="{FF2B5EF4-FFF2-40B4-BE49-F238E27FC236}">
              <a16:creationId xmlns:a16="http://schemas.microsoft.com/office/drawing/2014/main" id="{00000000-0008-0000-0000-0000A0F93B00}"/>
            </a:ext>
          </a:extLst>
        </xdr:cNvPr>
        <xdr:cNvGrpSpPr>
          <a:grpSpLocks/>
        </xdr:cNvGrpSpPr>
      </xdr:nvGrpSpPr>
      <xdr:grpSpPr bwMode="auto">
        <a:xfrm>
          <a:off x="590550" y="3467100"/>
          <a:ext cx="1504950" cy="342900"/>
          <a:chOff x="56" y="259"/>
          <a:chExt cx="158" cy="40"/>
        </a:xfrm>
      </xdr:grpSpPr>
      <xdr:sp macro="" textlink="">
        <xdr:nvSpPr>
          <xdr:cNvPr id="3930545" name="AutoShape 30">
            <a:extLst>
              <a:ext uri="{FF2B5EF4-FFF2-40B4-BE49-F238E27FC236}">
                <a16:creationId xmlns:a16="http://schemas.microsoft.com/office/drawing/2014/main" id="{00000000-0008-0000-0000-0000B1F93B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a:extLst>
              <a:ext uri="{FF2B5EF4-FFF2-40B4-BE49-F238E27FC236}">
                <a16:creationId xmlns:a16="http://schemas.microsoft.com/office/drawing/2014/main" id="{00000000-0008-0000-0000-0000B2F93B00}"/>
              </a:ext>
            </a:extLst>
          </xdr:cNvPr>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a:extLst>
            <a:ext uri="{FF2B5EF4-FFF2-40B4-BE49-F238E27FC236}">
              <a16:creationId xmlns:a16="http://schemas.microsoft.com/office/drawing/2014/main" id="{00000000-0008-0000-0000-0000A1F93B00}"/>
            </a:ext>
          </a:extLst>
        </xdr:cNvPr>
        <xdr:cNvGrpSpPr>
          <a:grpSpLocks/>
        </xdr:cNvGrpSpPr>
      </xdr:nvGrpSpPr>
      <xdr:grpSpPr bwMode="auto">
        <a:xfrm>
          <a:off x="590550" y="2409825"/>
          <a:ext cx="1504950" cy="371475"/>
          <a:chOff x="1343025" y="2428876"/>
          <a:chExt cx="3240982" cy="617274"/>
        </a:xfrm>
      </xdr:grpSpPr>
      <xdr:sp macro="" textlink="">
        <xdr:nvSpPr>
          <xdr:cNvPr id="3930541" name="AutoShape 30">
            <a:extLst>
              <a:ext uri="{FF2B5EF4-FFF2-40B4-BE49-F238E27FC236}">
                <a16:creationId xmlns:a16="http://schemas.microsoft.com/office/drawing/2014/main" id="{00000000-0008-0000-0000-0000AD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a:extLst>
              <a:ext uri="{FF2B5EF4-FFF2-40B4-BE49-F238E27FC236}">
                <a16:creationId xmlns:a16="http://schemas.microsoft.com/office/drawing/2014/main" id="{00000000-0008-0000-0000-0000AEF93B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a:extLst>
            <a:ext uri="{FF2B5EF4-FFF2-40B4-BE49-F238E27FC236}">
              <a16:creationId xmlns:a16="http://schemas.microsoft.com/office/drawing/2014/main" id="{00000000-0008-0000-0000-0000A2F93B00}"/>
            </a:ext>
          </a:extLst>
        </xdr:cNvPr>
        <xdr:cNvGrpSpPr>
          <a:grpSpLocks/>
        </xdr:cNvGrpSpPr>
      </xdr:nvGrpSpPr>
      <xdr:grpSpPr bwMode="auto">
        <a:xfrm>
          <a:off x="590550" y="2943225"/>
          <a:ext cx="1504950" cy="371475"/>
          <a:chOff x="1343025" y="2428876"/>
          <a:chExt cx="3240982" cy="617274"/>
        </a:xfrm>
      </xdr:grpSpPr>
      <xdr:sp macro="" textlink="">
        <xdr:nvSpPr>
          <xdr:cNvPr id="3930537" name="AutoShape 30">
            <a:extLst>
              <a:ext uri="{FF2B5EF4-FFF2-40B4-BE49-F238E27FC236}">
                <a16:creationId xmlns:a16="http://schemas.microsoft.com/office/drawing/2014/main" id="{00000000-0008-0000-0000-0000A9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a:extLst>
              <a:ext uri="{FF2B5EF4-FFF2-40B4-BE49-F238E27FC236}">
                <a16:creationId xmlns:a16="http://schemas.microsoft.com/office/drawing/2014/main" id="{00000000-0008-0000-0000-0000AAF93B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a:extLst>
            <a:ext uri="{FF2B5EF4-FFF2-40B4-BE49-F238E27FC236}">
              <a16:creationId xmlns:a16="http://schemas.microsoft.com/office/drawing/2014/main" id="{00000000-0008-0000-0000-0000A3F93B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a:extLst>
            <a:ext uri="{FF2B5EF4-FFF2-40B4-BE49-F238E27FC236}">
              <a16:creationId xmlns:a16="http://schemas.microsoft.com/office/drawing/2014/main" id="{00000000-0008-0000-0000-0000A5F93B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a:extLst>
            <a:ext uri="{FF2B5EF4-FFF2-40B4-BE49-F238E27FC236}">
              <a16:creationId xmlns:a16="http://schemas.microsoft.com/office/drawing/2014/main" id="{00000000-0008-0000-0000-0000A7F93B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55</xdr:row>
      <xdr:rowOff>144991</xdr:rowOff>
    </xdr:from>
    <xdr:to>
      <xdr:col>3</xdr:col>
      <xdr:colOff>885825</xdr:colOff>
      <xdr:row>55</xdr:row>
      <xdr:rowOff>144991</xdr:rowOff>
    </xdr:to>
    <xdr:cxnSp macro="">
      <xdr:nvCxnSpPr>
        <xdr:cNvPr id="7137" name="AutoShape 101">
          <a:extLst>
            <a:ext uri="{FF2B5EF4-FFF2-40B4-BE49-F238E27FC236}">
              <a16:creationId xmlns:a16="http://schemas.microsoft.com/office/drawing/2014/main" id="{00000000-0008-0000-0200-0000E11B0000}"/>
            </a:ext>
          </a:extLst>
        </xdr:cNvPr>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55</xdr:row>
      <xdr:rowOff>10583</xdr:rowOff>
    </xdr:to>
    <xdr:cxnSp macro="">
      <xdr:nvCxnSpPr>
        <xdr:cNvPr id="7138" name="Straight Arrow Connector 9">
          <a:extLst>
            <a:ext uri="{FF2B5EF4-FFF2-40B4-BE49-F238E27FC236}">
              <a16:creationId xmlns:a16="http://schemas.microsoft.com/office/drawing/2014/main" id="{00000000-0008-0000-0200-0000E21B0000}"/>
            </a:ext>
          </a:extLst>
        </xdr:cNvPr>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a:extLst>
            <a:ext uri="{FF2B5EF4-FFF2-40B4-BE49-F238E27FC236}">
              <a16:creationId xmlns:a16="http://schemas.microsoft.com/office/drawing/2014/main" id="{00000000-0008-0000-0400-0000BC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0</xdr:colOff>
      <xdr:row>23</xdr:row>
      <xdr:rowOff>0</xdr:rowOff>
    </xdr:from>
    <xdr:to>
      <xdr:col>6</xdr:col>
      <xdr:colOff>139211</xdr:colOff>
      <xdr:row>33</xdr:row>
      <xdr:rowOff>21981</xdr:rowOff>
    </xdr:to>
    <xdr:graphicFrame macro="">
      <xdr:nvGraphicFramePr>
        <xdr:cNvPr id="2854334" name="Chart 34">
          <a:extLst>
            <a:ext uri="{FF2B5EF4-FFF2-40B4-BE49-F238E27FC236}">
              <a16:creationId xmlns:a16="http://schemas.microsoft.com/office/drawing/2014/main" id="{00000000-0008-0000-0400-0000BE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a:extLst>
            <a:ext uri="{FF2B5EF4-FFF2-40B4-BE49-F238E27FC236}">
              <a16:creationId xmlns:a16="http://schemas.microsoft.com/office/drawing/2014/main" id="{00000000-0008-0000-0400-0000BF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a:extLst>
            <a:ext uri="{FF2B5EF4-FFF2-40B4-BE49-F238E27FC236}">
              <a16:creationId xmlns:a16="http://schemas.microsoft.com/office/drawing/2014/main" id="{00000000-0008-0000-0400-0000C08D2B00}"/>
            </a:ext>
          </a:extLst>
        </xdr:cNvPr>
        <xdr:cNvGrpSpPr>
          <a:grpSpLocks/>
        </xdr:cNvGrpSpPr>
      </xdr:nvGrpSpPr>
      <xdr:grpSpPr bwMode="auto">
        <a:xfrm>
          <a:off x="4760302" y="4343401"/>
          <a:ext cx="3393098" cy="162658"/>
          <a:chOff x="0" y="0"/>
          <a:chExt cx="37352" cy="2842"/>
        </a:xfrm>
      </xdr:grpSpPr>
      <xdr:sp macro="" textlink="">
        <xdr:nvSpPr>
          <xdr:cNvPr id="2854337" name="Rectangle 1">
            <a:extLst>
              <a:ext uri="{FF2B5EF4-FFF2-40B4-BE49-F238E27FC236}">
                <a16:creationId xmlns:a16="http://schemas.microsoft.com/office/drawing/2014/main" id="{00000000-0008-0000-0400-0000C18D2B00}"/>
              </a:ext>
            </a:extLst>
          </xdr:cNvPr>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a:extLst>
              <a:ext uri="{FF2B5EF4-FFF2-40B4-BE49-F238E27FC236}">
                <a16:creationId xmlns:a16="http://schemas.microsoft.com/office/drawing/2014/main" id="{00000000-0008-0000-0400-0000578D2B00}"/>
              </a:ext>
            </a:extLst>
          </xdr:cNvPr>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a:extLst>
              <a:ext uri="{FF2B5EF4-FFF2-40B4-BE49-F238E27FC236}">
                <a16:creationId xmlns:a16="http://schemas.microsoft.com/office/drawing/2014/main" id="{00000000-0008-0000-0400-0000C38D2B00}"/>
              </a:ext>
            </a:extLst>
          </xdr:cNvPr>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a:extLst>
              <a:ext uri="{FF2B5EF4-FFF2-40B4-BE49-F238E27FC236}">
                <a16:creationId xmlns:a16="http://schemas.microsoft.com/office/drawing/2014/main" id="{00000000-0008-0000-0400-0000558D2B00}"/>
              </a:ext>
            </a:extLst>
          </xdr:cNvPr>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18</xdr:row>
      <xdr:rowOff>2447924</xdr:rowOff>
    </xdr:from>
    <xdr:to>
      <xdr:col>12</xdr:col>
      <xdr:colOff>914400</xdr:colOff>
      <xdr:row>26</xdr:row>
      <xdr:rowOff>47625</xdr:rowOff>
    </xdr:to>
    <xdr:graphicFrame macro="">
      <xdr:nvGraphicFramePr>
        <xdr:cNvPr id="2870841" name="Chart 1054">
          <a:extLst>
            <a:ext uri="{FF2B5EF4-FFF2-40B4-BE49-F238E27FC236}">
              <a16:creationId xmlns:a16="http://schemas.microsoft.com/office/drawing/2014/main" id="{00000000-0008-0000-0500-000039CE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2"/>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7</xdr:col>
      <xdr:colOff>247650</xdr:colOff>
      <xdr:row>8</xdr:row>
      <xdr:rowOff>9524</xdr:rowOff>
    </xdr:from>
    <xdr:to>
      <xdr:col>12</xdr:col>
      <xdr:colOff>933450</xdr:colOff>
      <xdr:row>16</xdr:row>
      <xdr:rowOff>476249</xdr:rowOff>
    </xdr:to>
    <xdr:graphicFrame macro="">
      <xdr:nvGraphicFramePr>
        <xdr:cNvPr id="9" name="Диаграмма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10" name="Chart 1046">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11" name="Диаграмма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30</xdr:row>
      <xdr:rowOff>9525</xdr:rowOff>
    </xdr:from>
    <xdr:to>
      <xdr:col>5</xdr:col>
      <xdr:colOff>1085850</xdr:colOff>
      <xdr:row>37</xdr:row>
      <xdr:rowOff>114300</xdr:rowOff>
    </xdr:to>
    <xdr:graphicFrame macro="">
      <xdr:nvGraphicFramePr>
        <xdr:cNvPr id="8" name="Диаграмма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212910</xdr:colOff>
      <xdr:row>9</xdr:row>
      <xdr:rowOff>0</xdr:rowOff>
    </xdr:from>
    <xdr:to>
      <xdr:col>4</xdr:col>
      <xdr:colOff>952499</xdr:colOff>
      <xdr:row>19</xdr:row>
      <xdr:rowOff>69971</xdr:rowOff>
    </xdr:to>
    <xdr:graphicFrame macro="">
      <xdr:nvGraphicFramePr>
        <xdr:cNvPr id="10" name="Диаграмма 9">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600-00007D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5044</xdr:colOff>
      <xdr:row>9</xdr:row>
      <xdr:rowOff>0</xdr:rowOff>
    </xdr:from>
    <xdr:to>
      <xdr:col>11</xdr:col>
      <xdr:colOff>0</xdr:colOff>
      <xdr:row>19</xdr:row>
      <xdr:rowOff>67771</xdr:rowOff>
    </xdr:to>
    <xdr:graphicFrame macro="">
      <xdr:nvGraphicFramePr>
        <xdr:cNvPr id="12" name="Диаграмма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1682</xdr:rowOff>
    </xdr:from>
    <xdr:to>
      <xdr:col>17</xdr:col>
      <xdr:colOff>0</xdr:colOff>
      <xdr:row>19</xdr:row>
      <xdr:rowOff>50362</xdr:rowOff>
    </xdr:to>
    <xdr:graphicFrame macro="">
      <xdr:nvGraphicFramePr>
        <xdr:cNvPr id="13" name="Диаграмма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37</xdr:row>
      <xdr:rowOff>9525</xdr:rowOff>
    </xdr:from>
    <xdr:to>
      <xdr:col>5</xdr:col>
      <xdr:colOff>28575</xdr:colOff>
      <xdr:row>47</xdr:row>
      <xdr:rowOff>66675</xdr:rowOff>
    </xdr:to>
    <xdr:graphicFrame macro="">
      <xdr:nvGraphicFramePr>
        <xdr:cNvPr id="14" name="Диаграмма 13">
          <a:extLst>
            <a:ext uri="{FF2B5EF4-FFF2-40B4-BE49-F238E27FC236}">
              <a16:creationId xmlns:a16="http://schemas.microsoft.com/office/drawing/2014/main" id="{00000000-0008-0000-0600-00000E000000}"/>
            </a:ext>
            <a:ext uri="{147F2762-F138-4A5C-976F-8EAC2B608ADB}">
              <a16:predDERef xmlns:a16="http://schemas.microsoft.com/office/drawing/2014/main" pre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952500</xdr:colOff>
      <xdr:row>37</xdr:row>
      <xdr:rowOff>0</xdr:rowOff>
    </xdr:from>
    <xdr:to>
      <xdr:col>10</xdr:col>
      <xdr:colOff>1428750</xdr:colOff>
      <xdr:row>47</xdr:row>
      <xdr:rowOff>66675</xdr:rowOff>
    </xdr:to>
    <xdr:graphicFrame macro="">
      <xdr:nvGraphicFramePr>
        <xdr:cNvPr id="15" name="Диаграмма 14">
          <a:extLst>
            <a:ext uri="{FF2B5EF4-FFF2-40B4-BE49-F238E27FC236}">
              <a16:creationId xmlns:a16="http://schemas.microsoft.com/office/drawing/2014/main" id="{00000000-0008-0000-0600-00000F000000}"/>
            </a:ext>
            <a:ext uri="{147F2762-F138-4A5C-976F-8EAC2B608ADB}">
              <a16:predDERef xmlns:a16="http://schemas.microsoft.com/office/drawing/2014/main" pre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56029</xdr:colOff>
      <xdr:row>37</xdr:row>
      <xdr:rowOff>0</xdr:rowOff>
    </xdr:from>
    <xdr:to>
      <xdr:col>16</xdr:col>
      <xdr:colOff>2628900</xdr:colOff>
      <xdr:row>47</xdr:row>
      <xdr:rowOff>68356</xdr:rowOff>
    </xdr:to>
    <xdr:graphicFrame macro="">
      <xdr:nvGraphicFramePr>
        <xdr:cNvPr id="16" name="Диаграмма 15">
          <a:extLst>
            <a:ext uri="{FF2B5EF4-FFF2-40B4-BE49-F238E27FC236}">
              <a16:creationId xmlns:a16="http://schemas.microsoft.com/office/drawing/2014/main" id="{00000000-0008-0000-0600-000010000000}"/>
            </a:ext>
            <a:ext uri="{147F2762-F138-4A5C-976F-8EAC2B608ADB}">
              <a16:predDERef xmlns:a16="http://schemas.microsoft.com/office/drawing/2014/main" pre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5135" name="Group 41">
          <a:extLst>
            <a:ext uri="{FF2B5EF4-FFF2-40B4-BE49-F238E27FC236}">
              <a16:creationId xmlns:a16="http://schemas.microsoft.com/office/drawing/2014/main" id="{00000000-0008-0000-0700-00007F6A3400}"/>
            </a:ext>
          </a:extLst>
        </xdr:cNvPr>
        <xdr:cNvGrpSpPr>
          <a:grpSpLocks/>
        </xdr:cNvGrpSpPr>
      </xdr:nvGrpSpPr>
      <xdr:grpSpPr bwMode="auto">
        <a:xfrm>
          <a:off x="5553075" y="5562600"/>
          <a:ext cx="85725" cy="0"/>
          <a:chOff x="595" y="540"/>
          <a:chExt cx="9" cy="9"/>
        </a:xfrm>
      </xdr:grpSpPr>
      <xdr:sp macro="" textlink="">
        <xdr:nvSpPr>
          <xdr:cNvPr id="3435146" name="Rectangle 11">
            <a:extLst>
              <a:ext uri="{FF2B5EF4-FFF2-40B4-BE49-F238E27FC236}">
                <a16:creationId xmlns:a16="http://schemas.microsoft.com/office/drawing/2014/main" id="{00000000-0008-0000-0700-00008A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7" name="Arc 12">
            <a:extLst>
              <a:ext uri="{FF2B5EF4-FFF2-40B4-BE49-F238E27FC236}">
                <a16:creationId xmlns:a16="http://schemas.microsoft.com/office/drawing/2014/main" id="{00000000-0008-0000-0700-00008B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5136" name="Group 44">
          <a:extLst>
            <a:ext uri="{FF2B5EF4-FFF2-40B4-BE49-F238E27FC236}">
              <a16:creationId xmlns:a16="http://schemas.microsoft.com/office/drawing/2014/main" id="{00000000-0008-0000-0700-0000806A3400}"/>
            </a:ext>
          </a:extLst>
        </xdr:cNvPr>
        <xdr:cNvGrpSpPr>
          <a:grpSpLocks/>
        </xdr:cNvGrpSpPr>
      </xdr:nvGrpSpPr>
      <xdr:grpSpPr bwMode="auto">
        <a:xfrm>
          <a:off x="6534150" y="5562600"/>
          <a:ext cx="85725" cy="0"/>
          <a:chOff x="698" y="540"/>
          <a:chExt cx="9" cy="9"/>
        </a:xfrm>
      </xdr:grpSpPr>
      <xdr:sp macro="" textlink="">
        <xdr:nvSpPr>
          <xdr:cNvPr id="3435144" name="Rectangle 47">
            <a:extLst>
              <a:ext uri="{FF2B5EF4-FFF2-40B4-BE49-F238E27FC236}">
                <a16:creationId xmlns:a16="http://schemas.microsoft.com/office/drawing/2014/main" id="{00000000-0008-0000-0700-000088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5" name="Arc 48">
            <a:extLst>
              <a:ext uri="{FF2B5EF4-FFF2-40B4-BE49-F238E27FC236}">
                <a16:creationId xmlns:a16="http://schemas.microsoft.com/office/drawing/2014/main" id="{00000000-0008-0000-0700-000089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3435137" name="Group 47">
          <a:extLst>
            <a:ext uri="{FF2B5EF4-FFF2-40B4-BE49-F238E27FC236}">
              <a16:creationId xmlns:a16="http://schemas.microsoft.com/office/drawing/2014/main" id="{00000000-0008-0000-0700-0000816A3400}"/>
            </a:ext>
          </a:extLst>
        </xdr:cNvPr>
        <xdr:cNvGrpSpPr>
          <a:grpSpLocks/>
        </xdr:cNvGrpSpPr>
      </xdr:nvGrpSpPr>
      <xdr:grpSpPr bwMode="auto">
        <a:xfrm>
          <a:off x="5181600" y="5562600"/>
          <a:ext cx="85725" cy="0"/>
          <a:chOff x="698" y="540"/>
          <a:chExt cx="9" cy="9"/>
        </a:xfrm>
      </xdr:grpSpPr>
      <xdr:sp macro="" textlink="">
        <xdr:nvSpPr>
          <xdr:cNvPr id="3435142" name="Rectangle 47">
            <a:extLst>
              <a:ext uri="{FF2B5EF4-FFF2-40B4-BE49-F238E27FC236}">
                <a16:creationId xmlns:a16="http://schemas.microsoft.com/office/drawing/2014/main" id="{00000000-0008-0000-0700-000086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3" name="Arc 48">
            <a:extLst>
              <a:ext uri="{FF2B5EF4-FFF2-40B4-BE49-F238E27FC236}">
                <a16:creationId xmlns:a16="http://schemas.microsoft.com/office/drawing/2014/main" id="{00000000-0008-0000-0700-000087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3435138" name="Group 50">
          <a:extLst>
            <a:ext uri="{FF2B5EF4-FFF2-40B4-BE49-F238E27FC236}">
              <a16:creationId xmlns:a16="http://schemas.microsoft.com/office/drawing/2014/main" id="{00000000-0008-0000-0700-0000826A3400}"/>
            </a:ext>
          </a:extLst>
        </xdr:cNvPr>
        <xdr:cNvGrpSpPr>
          <a:grpSpLocks/>
        </xdr:cNvGrpSpPr>
      </xdr:nvGrpSpPr>
      <xdr:grpSpPr bwMode="auto">
        <a:xfrm>
          <a:off x="1438275" y="5562600"/>
          <a:ext cx="85725" cy="0"/>
          <a:chOff x="595" y="540"/>
          <a:chExt cx="9" cy="9"/>
        </a:xfrm>
      </xdr:grpSpPr>
      <xdr:sp macro="" textlink="">
        <xdr:nvSpPr>
          <xdr:cNvPr id="3435140" name="Rectangle 11">
            <a:extLst>
              <a:ext uri="{FF2B5EF4-FFF2-40B4-BE49-F238E27FC236}">
                <a16:creationId xmlns:a16="http://schemas.microsoft.com/office/drawing/2014/main" id="{00000000-0008-0000-0700-000084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1" name="Arc 12">
            <a:extLst>
              <a:ext uri="{FF2B5EF4-FFF2-40B4-BE49-F238E27FC236}">
                <a16:creationId xmlns:a16="http://schemas.microsoft.com/office/drawing/2014/main" id="{00000000-0008-0000-0700-000085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518" name="Chart 1">
          <a:extLst>
            <a:ext uri="{FF2B5EF4-FFF2-40B4-BE49-F238E27FC236}">
              <a16:creationId xmlns:a16="http://schemas.microsoft.com/office/drawing/2014/main" id="{00000000-0008-0000-0800-0000E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a:extLst>
            <a:ext uri="{FF2B5EF4-FFF2-40B4-BE49-F238E27FC236}">
              <a16:creationId xmlns:a16="http://schemas.microsoft.com/office/drawing/2014/main" id="{00000000-0008-0000-0900-00002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D32" sqref="D3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725" t="str">
        <f>+"Панель показателей:  "&amp;"  "&amp;IF(+'Ввод данных'!B4="Выберите","",'Ввод данных'!B4&amp;" - ")&amp;IF('Ввод данных'!F6="Выберите","",'Ввод данных'!F6)</f>
        <v>Панель показателей:    Кыргызстан - ВИЧ/СПИД/ТБ</v>
      </c>
      <c r="C2" s="725"/>
      <c r="D2" s="725"/>
      <c r="E2" s="725"/>
      <c r="F2" s="725"/>
      <c r="G2" s="725"/>
      <c r="H2" s="725"/>
      <c r="I2" s="725"/>
      <c r="J2" s="725"/>
      <c r="K2" s="725"/>
      <c r="L2" s="725"/>
      <c r="M2" s="725"/>
      <c r="N2" s="1"/>
      <c r="O2" s="1"/>
    </row>
    <row r="4" spans="2:15" ht="21">
      <c r="B4" s="721" t="str">
        <f>+IF('Ввод данных'!F6="Выберите", "",'Ввод данных'!F6) &amp;"  "&amp;+IF('Ввод данных'!F8="Выберите", "", 'Ввод данных'!F8&amp;",  ")&amp;+IF('Ввод данных'!H8="Выберите","",'Ввод данных'!H8)</f>
        <v xml:space="preserve">ВИЧ/СПИД/ТБ  ,  </v>
      </c>
      <c r="C4" s="721"/>
      <c r="D4" s="721"/>
      <c r="E4" s="722"/>
      <c r="F4" s="193"/>
      <c r="G4" s="193"/>
      <c r="H4" s="256" t="str">
        <f>+'Ввод данных'!A6&amp;" "&amp;+'Ввод данных'!B6</f>
        <v>Грант № KGZ-C-UNDP</v>
      </c>
      <c r="I4" s="256"/>
      <c r="J4" s="192"/>
      <c r="K4" s="193"/>
      <c r="L4" s="193"/>
    </row>
    <row r="22" spans="2:12" ht="26.25">
      <c r="B22" s="723" t="s">
        <v>0</v>
      </c>
      <c r="C22" s="724"/>
      <c r="D22" s="724"/>
      <c r="E22" s="724"/>
      <c r="F22" s="724"/>
      <c r="G22" s="724"/>
      <c r="H22" s="724"/>
      <c r="I22" s="724"/>
      <c r="J22" s="724"/>
      <c r="K22" s="724"/>
      <c r="L22" s="724"/>
    </row>
  </sheetData>
  <sheetProtection password="CFC9" sheet="1"/>
  <mergeCells count="3">
    <mergeCell ref="B4:E4"/>
    <mergeCell ref="B22:L22"/>
    <mergeCell ref="B2:M2"/>
  </mergeCells>
  <phoneticPr fontId="30"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77"/>
  <sheetViews>
    <sheetView showGridLines="0" zoomScale="75" zoomScaleNormal="100" workbookViewId="0">
      <pane ySplit="2" topLeftCell="A27" activePane="bottomLeft" state="frozen"/>
      <selection activeCell="E22" sqref="E22"/>
      <selection pane="bottomLeft" activeCell="E22" sqref="E22:I22"/>
    </sheetView>
  </sheetViews>
  <sheetFormatPr defaultColWidth="11" defaultRowHeight="15"/>
  <cols>
    <col min="1" max="1" width="2.7109375" customWidth="1"/>
    <col min="2" max="2" width="21.42578125" customWidth="1"/>
    <col min="3" max="3" width="11.42578125" customWidth="1"/>
    <col min="4" max="4" width="22.57031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33.7109375" customWidth="1"/>
    <col min="13" max="13" width="49.42578125" customWidth="1"/>
    <col min="14" max="14" width="2.5703125" style="33" customWidth="1"/>
    <col min="15" max="15" width="3" style="33"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820" t="str">
        <f>+"Панель показателей: "&amp;" "&amp;+IF('Ввод данных'!B4="Выберите","",'Ввод данных'!B4&amp;" - ")&amp;+IF('Ввод данных'!F6="Выберите","",'Ввод данных'!F6)</f>
        <v>Панель показателей:  Кыргызстан - ВИЧ/СПИД/ТБ</v>
      </c>
      <c r="C2" s="820"/>
      <c r="D2" s="820"/>
      <c r="E2" s="820"/>
      <c r="F2" s="820"/>
      <c r="G2" s="820"/>
      <c r="H2" s="820"/>
      <c r="I2" s="820"/>
      <c r="J2" s="820"/>
      <c r="K2" s="820"/>
      <c r="L2" s="820"/>
      <c r="M2" s="820"/>
    </row>
    <row r="3" spans="1:15" ht="15.75" customHeight="1">
      <c r="A3" s="3"/>
      <c r="B3" s="185"/>
      <c r="C3" s="185"/>
      <c r="D3" s="185"/>
      <c r="E3" s="185"/>
      <c r="F3" s="185"/>
      <c r="G3" s="185"/>
      <c r="H3" s="185"/>
      <c r="I3" s="185"/>
      <c r="J3" s="185"/>
      <c r="K3" s="186"/>
      <c r="L3" s="186"/>
      <c r="M3" s="3"/>
    </row>
    <row r="5" spans="1:15" ht="23.25">
      <c r="B5" s="805" t="s">
        <v>1</v>
      </c>
      <c r="C5" s="805"/>
      <c r="D5" s="805"/>
      <c r="E5" s="805"/>
      <c r="F5" s="805"/>
      <c r="G5" s="805"/>
      <c r="H5" s="805"/>
      <c r="I5" s="805"/>
      <c r="J5" s="805"/>
      <c r="K5" s="805"/>
      <c r="L5" s="805"/>
      <c r="M5" s="805"/>
      <c r="N5" s="805"/>
      <c r="O5" s="805"/>
    </row>
    <row r="7" spans="1:15" s="325" customFormat="1" ht="21">
      <c r="A7" s="717"/>
      <c r="B7" s="821" t="s">
        <v>2</v>
      </c>
      <c r="C7" s="822"/>
      <c r="D7" s="823"/>
      <c r="E7" s="821" t="s">
        <v>3</v>
      </c>
      <c r="F7" s="822"/>
      <c r="G7" s="822"/>
      <c r="H7" s="822"/>
      <c r="I7" s="823"/>
      <c r="J7" s="821" t="s">
        <v>4</v>
      </c>
      <c r="K7" s="822"/>
      <c r="L7" s="823"/>
      <c r="M7" s="821" t="s">
        <v>5</v>
      </c>
      <c r="N7" s="822"/>
      <c r="O7" s="823"/>
    </row>
    <row r="8" spans="1:15" ht="117.75" customHeight="1">
      <c r="B8" s="790" t="str">
        <f>+'Ввод данных'!A27</f>
        <v>F1: Бюджет и выплаты Глобальным фондом</v>
      </c>
      <c r="C8" s="827"/>
      <c r="D8" s="828"/>
      <c r="E8" s="824" t="s">
        <v>6</v>
      </c>
      <c r="F8" s="825"/>
      <c r="G8" s="825"/>
      <c r="H8" s="825"/>
      <c r="I8" s="826"/>
      <c r="J8" s="815" t="s">
        <v>7</v>
      </c>
      <c r="K8" s="816"/>
      <c r="L8" s="817"/>
      <c r="M8" s="815" t="s">
        <v>8</v>
      </c>
      <c r="N8" s="816"/>
      <c r="O8" s="817"/>
    </row>
    <row r="9" spans="1:15" ht="117.75" customHeight="1">
      <c r="B9" s="778" t="str">
        <f>+'Ввод данных'!A36</f>
        <v>F2: Бюджет и фактические расходы согласно задачам гранта</v>
      </c>
      <c r="C9" s="829"/>
      <c r="D9" s="830"/>
      <c r="E9" s="781" t="s">
        <v>9</v>
      </c>
      <c r="F9" s="782"/>
      <c r="G9" s="782"/>
      <c r="H9" s="782"/>
      <c r="I9" s="783"/>
      <c r="J9" s="815" t="s">
        <v>10</v>
      </c>
      <c r="K9" s="816"/>
      <c r="L9" s="817"/>
      <c r="M9" s="815" t="s">
        <v>8</v>
      </c>
      <c r="N9" s="816"/>
      <c r="O9" s="817"/>
    </row>
    <row r="10" spans="1:15" ht="247.5" customHeight="1">
      <c r="B10" s="778" t="str">
        <f>+'Ввод данных'!A58</f>
        <v>F3: Выплаты и расходы</v>
      </c>
      <c r="C10" s="829"/>
      <c r="D10" s="830"/>
      <c r="E10" s="781" t="s">
        <v>11</v>
      </c>
      <c r="F10" s="782"/>
      <c r="G10" s="782"/>
      <c r="H10" s="782"/>
      <c r="I10" s="783"/>
      <c r="J10" s="815" t="s">
        <v>12</v>
      </c>
      <c r="K10" s="816"/>
      <c r="L10" s="817"/>
      <c r="M10" s="815" t="s">
        <v>13</v>
      </c>
      <c r="N10" s="816"/>
      <c r="O10" s="817"/>
    </row>
    <row r="11" spans="1:15" ht="252.75" customHeight="1">
      <c r="B11" s="778" t="str">
        <f>+'Ввод данных'!A67</f>
        <v>F4: Последний отчетный и платежный цикл ОР</v>
      </c>
      <c r="C11" s="779"/>
      <c r="D11" s="780"/>
      <c r="E11" s="781" t="s">
        <v>14</v>
      </c>
      <c r="F11" s="782"/>
      <c r="G11" s="782"/>
      <c r="H11" s="782"/>
      <c r="I11" s="783"/>
      <c r="J11" s="815" t="s">
        <v>15</v>
      </c>
      <c r="K11" s="816"/>
      <c r="L11" s="817"/>
      <c r="M11" s="815" t="s">
        <v>16</v>
      </c>
      <c r="N11" s="816"/>
      <c r="O11" s="817"/>
    </row>
    <row r="12" spans="1:15" s="19" customFormat="1">
      <c r="B12" s="832"/>
      <c r="C12" s="832"/>
      <c r="D12" s="832"/>
      <c r="E12" s="818"/>
      <c r="F12" s="818"/>
      <c r="G12" s="818"/>
      <c r="H12" s="818"/>
      <c r="I12" s="818"/>
      <c r="J12" s="818"/>
      <c r="K12" s="818"/>
      <c r="L12" s="818"/>
      <c r="M12" s="818"/>
      <c r="N12" s="818"/>
      <c r="O12" s="818"/>
    </row>
    <row r="13" spans="1:15" s="19" customFormat="1">
      <c r="B13" s="831"/>
      <c r="C13" s="831"/>
      <c r="D13" s="831"/>
      <c r="E13" s="819"/>
      <c r="F13" s="819"/>
      <c r="G13" s="819"/>
      <c r="H13" s="819"/>
      <c r="I13" s="819"/>
      <c r="J13" s="819"/>
      <c r="K13" s="819"/>
      <c r="L13" s="819"/>
      <c r="M13" s="819"/>
      <c r="N13" s="819"/>
      <c r="O13" s="819"/>
    </row>
    <row r="14" spans="1:15" s="19" customFormat="1">
      <c r="B14" s="831"/>
      <c r="C14" s="831"/>
      <c r="D14" s="831"/>
      <c r="E14" s="819"/>
      <c r="F14" s="819"/>
      <c r="G14" s="819"/>
      <c r="H14" s="819"/>
      <c r="I14" s="819"/>
      <c r="J14" s="819"/>
      <c r="K14" s="819"/>
      <c r="L14" s="819"/>
      <c r="M14" s="819"/>
      <c r="N14" s="819"/>
      <c r="O14" s="819"/>
    </row>
    <row r="15" spans="1:15" s="19" customFormat="1">
      <c r="B15" s="831"/>
      <c r="C15" s="831"/>
      <c r="D15" s="831"/>
      <c r="E15" s="819"/>
      <c r="F15" s="819"/>
      <c r="G15" s="819"/>
      <c r="H15" s="819"/>
      <c r="I15" s="819"/>
      <c r="J15" s="819"/>
      <c r="K15" s="819"/>
      <c r="L15" s="819"/>
      <c r="M15" s="819"/>
      <c r="N15" s="819"/>
      <c r="O15" s="819"/>
    </row>
    <row r="16" spans="1:15" ht="23.25">
      <c r="B16" s="805" t="s">
        <v>17</v>
      </c>
      <c r="C16" s="805"/>
      <c r="D16" s="805"/>
      <c r="E16" s="805"/>
      <c r="F16" s="805"/>
      <c r="G16" s="805"/>
      <c r="H16" s="805"/>
      <c r="I16" s="805"/>
      <c r="J16" s="805"/>
      <c r="K16" s="805"/>
      <c r="L16" s="805"/>
      <c r="M16" s="805"/>
      <c r="N16" s="805"/>
      <c r="O16" s="805"/>
    </row>
    <row r="18" spans="1:15" ht="21">
      <c r="B18" s="812" t="s">
        <v>2</v>
      </c>
      <c r="C18" s="813"/>
      <c r="D18" s="814"/>
      <c r="E18" s="812" t="s">
        <v>3</v>
      </c>
      <c r="F18" s="813"/>
      <c r="G18" s="813"/>
      <c r="H18" s="813"/>
      <c r="I18" s="814"/>
      <c r="J18" s="812" t="s">
        <v>4</v>
      </c>
      <c r="K18" s="813"/>
      <c r="L18" s="814"/>
      <c r="M18" s="812" t="s">
        <v>18</v>
      </c>
      <c r="N18" s="813"/>
      <c r="O18" s="814"/>
    </row>
    <row r="19" spans="1:15" ht="114" customHeight="1">
      <c r="B19" s="790" t="str">
        <f>+'Ввод данных'!A78</f>
        <v>M1: Статус Предварительных условий (ПУ) и Действий с установленным сроком исполнения (ДУС)</v>
      </c>
      <c r="C19" s="791"/>
      <c r="D19" s="792"/>
      <c r="E19" s="781" t="s">
        <v>19</v>
      </c>
      <c r="F19" s="847"/>
      <c r="G19" s="847"/>
      <c r="H19" s="847"/>
      <c r="I19" s="848"/>
      <c r="J19" s="775" t="s">
        <v>20</v>
      </c>
      <c r="K19" s="776"/>
      <c r="L19" s="777"/>
      <c r="M19" s="775" t="s">
        <v>21</v>
      </c>
      <c r="N19" s="776"/>
      <c r="O19" s="777"/>
    </row>
    <row r="20" spans="1:15" ht="102.75" customHeight="1">
      <c r="B20" s="778" t="str">
        <f>+'Ввод данных'!A87</f>
        <v>M2: Статус ключевых руководящих должностей в структуре ОР</v>
      </c>
      <c r="C20" s="779"/>
      <c r="D20" s="780"/>
      <c r="E20" s="781" t="s">
        <v>22</v>
      </c>
      <c r="F20" s="782"/>
      <c r="G20" s="782"/>
      <c r="H20" s="782"/>
      <c r="I20" s="783"/>
      <c r="J20" s="775" t="s">
        <v>23</v>
      </c>
      <c r="K20" s="776"/>
      <c r="L20" s="777"/>
      <c r="M20" s="775" t="s">
        <v>24</v>
      </c>
      <c r="N20" s="776"/>
      <c r="O20" s="777"/>
    </row>
    <row r="21" spans="1:15" ht="141.75" customHeight="1">
      <c r="B21" s="790" t="str">
        <f>+'Ввод данных'!A94</f>
        <v xml:space="preserve">M3: Контрактные соглашения (СР) </v>
      </c>
      <c r="C21" s="791"/>
      <c r="D21" s="792"/>
      <c r="E21" s="775" t="s">
        <v>25</v>
      </c>
      <c r="F21" s="782"/>
      <c r="G21" s="782"/>
      <c r="H21" s="782"/>
      <c r="I21" s="783"/>
      <c r="J21" s="844" t="s">
        <v>26</v>
      </c>
      <c r="K21" s="845"/>
      <c r="L21" s="846"/>
      <c r="M21" s="775" t="s">
        <v>27</v>
      </c>
      <c r="N21" s="776"/>
      <c r="O21" s="777"/>
    </row>
    <row r="22" spans="1:15" ht="96" customHeight="1">
      <c r="B22" s="790" t="str">
        <f>+'Ввод данных'!A100</f>
        <v>M4: Количество полных отчетов, полученных к установленному сроку</v>
      </c>
      <c r="C22" s="791"/>
      <c r="D22" s="792"/>
      <c r="E22" s="775" t="s">
        <v>28</v>
      </c>
      <c r="F22" s="776"/>
      <c r="G22" s="776"/>
      <c r="H22" s="776"/>
      <c r="I22" s="777"/>
      <c r="J22" s="775" t="s">
        <v>29</v>
      </c>
      <c r="K22" s="776"/>
      <c r="L22" s="777"/>
      <c r="M22" s="775" t="s">
        <v>30</v>
      </c>
      <c r="N22" s="776"/>
      <c r="O22" s="777"/>
    </row>
    <row r="23" spans="1:15" ht="187.5" customHeight="1">
      <c r="B23" s="793" t="str">
        <f>'Ввод данных'!A108</f>
        <v>M5: Бюджет и закупки товаров медицинского назначения, медицинского оборудования,  лекарственных средств и фармацевтических препаратов</v>
      </c>
      <c r="C23" s="794"/>
      <c r="D23" s="795"/>
      <c r="E23" s="802" t="s">
        <v>31</v>
      </c>
      <c r="F23" s="803"/>
      <c r="G23" s="803"/>
      <c r="H23" s="803"/>
      <c r="I23" s="804"/>
      <c r="J23" s="833" t="s">
        <v>32</v>
      </c>
      <c r="K23" s="834"/>
      <c r="L23" s="835"/>
      <c r="M23" s="833" t="s">
        <v>33</v>
      </c>
      <c r="N23" s="834"/>
      <c r="O23" s="835"/>
    </row>
    <row r="24" spans="1:15" ht="72.75" customHeight="1">
      <c r="B24" s="796"/>
      <c r="C24" s="797"/>
      <c r="D24" s="798"/>
      <c r="E24" s="787" t="s">
        <v>34</v>
      </c>
      <c r="F24" s="788"/>
      <c r="G24" s="788"/>
      <c r="H24" s="788"/>
      <c r="I24" s="789"/>
      <c r="J24" s="836"/>
      <c r="K24" s="837"/>
      <c r="L24" s="838"/>
      <c r="M24" s="836"/>
      <c r="N24" s="837"/>
      <c r="O24" s="838"/>
    </row>
    <row r="25" spans="1:15" ht="282.75" customHeight="1">
      <c r="B25" s="790" t="str">
        <f>+'Ввод данных'!A121</f>
        <v>M6: Разница между текущим и резервным запасами</v>
      </c>
      <c r="C25" s="791"/>
      <c r="D25" s="792"/>
      <c r="E25" s="784" t="s">
        <v>35</v>
      </c>
      <c r="F25" s="785"/>
      <c r="G25" s="785"/>
      <c r="H25" s="785"/>
      <c r="I25" s="786"/>
      <c r="J25" s="784" t="s">
        <v>36</v>
      </c>
      <c r="K25" s="842"/>
      <c r="L25" s="843"/>
      <c r="M25" s="839" t="s">
        <v>37</v>
      </c>
      <c r="N25" s="840"/>
      <c r="O25" s="841"/>
    </row>
    <row r="29" spans="1:15" ht="18.75">
      <c r="B29" s="209"/>
    </row>
    <row r="30" spans="1:15" ht="23.25">
      <c r="B30" s="805" t="s">
        <v>38</v>
      </c>
      <c r="C30" s="805"/>
      <c r="D30" s="805"/>
      <c r="E30" s="805"/>
      <c r="F30" s="805"/>
      <c r="G30" s="805"/>
      <c r="H30" s="805"/>
      <c r="I30" s="805"/>
      <c r="J30" s="805"/>
      <c r="K30" s="805"/>
      <c r="L30" s="805"/>
      <c r="M30" s="805"/>
      <c r="N30" s="805"/>
      <c r="O30" s="805"/>
    </row>
    <row r="32" spans="1:15" ht="28.5" customHeight="1">
      <c r="A32" s="207"/>
      <c r="B32" s="806" t="s">
        <v>39</v>
      </c>
      <c r="C32" s="807"/>
      <c r="D32" s="808"/>
      <c r="E32" s="809" t="s">
        <v>40</v>
      </c>
      <c r="F32" s="810"/>
      <c r="G32" s="810"/>
      <c r="H32" s="810"/>
      <c r="I32" s="811"/>
      <c r="J32" s="809" t="s">
        <v>4</v>
      </c>
      <c r="K32" s="810"/>
      <c r="L32" s="811"/>
      <c r="M32" s="809" t="s">
        <v>5</v>
      </c>
      <c r="N32" s="810"/>
      <c r="O32" s="811"/>
    </row>
    <row r="33" spans="1:15" ht="61.5" customHeight="1">
      <c r="A33" s="207"/>
      <c r="B33" s="735" t="s">
        <v>41</v>
      </c>
      <c r="C33" s="736"/>
      <c r="D33" s="737"/>
      <c r="E33" s="726" t="s">
        <v>42</v>
      </c>
      <c r="F33" s="738"/>
      <c r="G33" s="738"/>
      <c r="H33" s="738"/>
      <c r="I33" s="739"/>
      <c r="J33" s="729" t="s">
        <v>43</v>
      </c>
      <c r="K33" s="740"/>
      <c r="L33" s="741"/>
      <c r="M33" s="729" t="s">
        <v>44</v>
      </c>
      <c r="N33" s="740"/>
      <c r="O33" s="741"/>
    </row>
    <row r="34" spans="1:15" ht="61.5" customHeight="1">
      <c r="A34" s="207"/>
      <c r="B34" s="735" t="s">
        <v>45</v>
      </c>
      <c r="C34" s="736"/>
      <c r="D34" s="737"/>
      <c r="E34" s="726" t="s">
        <v>46</v>
      </c>
      <c r="F34" s="738"/>
      <c r="G34" s="738"/>
      <c r="H34" s="738"/>
      <c r="I34" s="739"/>
      <c r="J34" s="729" t="s">
        <v>47</v>
      </c>
      <c r="K34" s="740"/>
      <c r="L34" s="741"/>
      <c r="M34" s="729" t="s">
        <v>48</v>
      </c>
      <c r="N34" s="740"/>
      <c r="O34" s="741"/>
    </row>
    <row r="35" spans="1:15" ht="102.75" customHeight="1">
      <c r="A35" s="207"/>
      <c r="B35" s="735" t="s">
        <v>49</v>
      </c>
      <c r="C35" s="736"/>
      <c r="D35" s="737"/>
      <c r="E35" s="726" t="s">
        <v>50</v>
      </c>
      <c r="F35" s="738"/>
      <c r="G35" s="738"/>
      <c r="H35" s="738"/>
      <c r="I35" s="739"/>
      <c r="J35" s="729" t="s">
        <v>51</v>
      </c>
      <c r="K35" s="740"/>
      <c r="L35" s="741"/>
      <c r="M35" s="729" t="s">
        <v>48</v>
      </c>
      <c r="N35" s="740"/>
      <c r="O35" s="741"/>
    </row>
    <row r="36" spans="1:15" ht="74.25" customHeight="1">
      <c r="A36" s="207"/>
      <c r="B36" s="735" t="s">
        <v>52</v>
      </c>
      <c r="C36" s="736"/>
      <c r="D36" s="737"/>
      <c r="E36" s="729" t="s">
        <v>53</v>
      </c>
      <c r="F36" s="740"/>
      <c r="G36" s="740"/>
      <c r="H36" s="740"/>
      <c r="I36" s="741"/>
      <c r="J36" s="729" t="s">
        <v>54</v>
      </c>
      <c r="K36" s="740"/>
      <c r="L36" s="741"/>
      <c r="M36" s="729" t="s">
        <v>55</v>
      </c>
      <c r="N36" s="740"/>
      <c r="O36" s="741"/>
    </row>
    <row r="37" spans="1:15" ht="99.75" customHeight="1">
      <c r="A37" s="207"/>
      <c r="B37" s="735" t="s">
        <v>56</v>
      </c>
      <c r="C37" s="736"/>
      <c r="D37" s="737"/>
      <c r="E37" s="726" t="s">
        <v>57</v>
      </c>
      <c r="F37" s="764"/>
      <c r="G37" s="764"/>
      <c r="H37" s="764"/>
      <c r="I37" s="765"/>
      <c r="J37" s="729" t="s">
        <v>58</v>
      </c>
      <c r="K37" s="740"/>
      <c r="L37" s="741"/>
      <c r="M37" s="729" t="s">
        <v>44</v>
      </c>
      <c r="N37" s="740"/>
      <c r="O37" s="741"/>
    </row>
    <row r="38" spans="1:15" ht="85.5" customHeight="1">
      <c r="A38" s="207"/>
      <c r="B38" s="735" t="s">
        <v>59</v>
      </c>
      <c r="C38" s="736"/>
      <c r="D38" s="737"/>
      <c r="E38" s="726" t="s">
        <v>60</v>
      </c>
      <c r="F38" s="764"/>
      <c r="G38" s="764"/>
      <c r="H38" s="764"/>
      <c r="I38" s="765"/>
      <c r="J38" s="729" t="s">
        <v>61</v>
      </c>
      <c r="K38" s="740"/>
      <c r="L38" s="741"/>
      <c r="M38" s="729" t="s">
        <v>62</v>
      </c>
      <c r="N38" s="740"/>
      <c r="O38" s="741"/>
    </row>
    <row r="39" spans="1:15" ht="94.5" customHeight="1">
      <c r="A39" s="207"/>
      <c r="B39" s="735" t="s">
        <v>63</v>
      </c>
      <c r="C39" s="736"/>
      <c r="D39" s="737"/>
      <c r="E39" s="851" t="s">
        <v>64</v>
      </c>
      <c r="F39" s="852"/>
      <c r="G39" s="852"/>
      <c r="H39" s="852"/>
      <c r="I39" s="853"/>
      <c r="J39" s="729" t="s">
        <v>65</v>
      </c>
      <c r="K39" s="740"/>
      <c r="L39" s="741"/>
      <c r="M39" s="729" t="s">
        <v>66</v>
      </c>
      <c r="N39" s="740"/>
      <c r="O39" s="741"/>
    </row>
    <row r="40" spans="1:15" ht="103.5" customHeight="1">
      <c r="A40" s="207"/>
      <c r="B40" s="735" t="s">
        <v>67</v>
      </c>
      <c r="C40" s="736"/>
      <c r="D40" s="737"/>
      <c r="E40" s="726" t="s">
        <v>68</v>
      </c>
      <c r="F40" s="764"/>
      <c r="G40" s="764"/>
      <c r="H40" s="764"/>
      <c r="I40" s="765"/>
      <c r="J40" s="729" t="s">
        <v>69</v>
      </c>
      <c r="K40" s="740"/>
      <c r="L40" s="741"/>
      <c r="M40" s="729" t="s">
        <v>44</v>
      </c>
      <c r="N40" s="740"/>
      <c r="O40" s="741"/>
    </row>
    <row r="41" spans="1:15" ht="101.25" customHeight="1">
      <c r="A41" s="207"/>
      <c r="B41" s="735" t="s">
        <v>70</v>
      </c>
      <c r="C41" s="736"/>
      <c r="D41" s="737"/>
      <c r="E41" s="729" t="s">
        <v>71</v>
      </c>
      <c r="F41" s="740"/>
      <c r="G41" s="740"/>
      <c r="H41" s="740"/>
      <c r="I41" s="741"/>
      <c r="J41" s="729" t="s">
        <v>72</v>
      </c>
      <c r="K41" s="740"/>
      <c r="L41" s="741"/>
      <c r="M41" s="729" t="s">
        <v>44</v>
      </c>
      <c r="N41" s="740"/>
      <c r="O41" s="741"/>
    </row>
    <row r="42" spans="1:15" ht="94.5" customHeight="1">
      <c r="A42" s="207"/>
      <c r="B42" s="735" t="s">
        <v>73</v>
      </c>
      <c r="C42" s="736"/>
      <c r="D42" s="737"/>
      <c r="E42" s="726" t="s">
        <v>74</v>
      </c>
      <c r="F42" s="764"/>
      <c r="G42" s="764"/>
      <c r="H42" s="764"/>
      <c r="I42" s="765"/>
      <c r="J42" s="729" t="s">
        <v>75</v>
      </c>
      <c r="K42" s="740"/>
      <c r="L42" s="741"/>
      <c r="M42" s="729" t="s">
        <v>44</v>
      </c>
      <c r="N42" s="740"/>
      <c r="O42" s="741"/>
    </row>
    <row r="43" spans="1:15" ht="61.5" customHeight="1">
      <c r="A43" s="207"/>
      <c r="B43" s="735" t="s">
        <v>76</v>
      </c>
      <c r="C43" s="736"/>
      <c r="D43" s="737"/>
      <c r="E43" s="726" t="s">
        <v>77</v>
      </c>
      <c r="F43" s="738"/>
      <c r="G43" s="738"/>
      <c r="H43" s="738"/>
      <c r="I43" s="739"/>
      <c r="J43" s="729" t="s">
        <v>78</v>
      </c>
      <c r="K43" s="740"/>
      <c r="L43" s="741"/>
      <c r="M43" s="729" t="s">
        <v>48</v>
      </c>
      <c r="N43" s="740"/>
      <c r="O43" s="741"/>
    </row>
    <row r="44" spans="1:15" ht="84.75" customHeight="1">
      <c r="A44" s="207"/>
      <c r="B44" s="735" t="s">
        <v>79</v>
      </c>
      <c r="C44" s="736"/>
      <c r="D44" s="737"/>
      <c r="E44" s="726" t="s">
        <v>80</v>
      </c>
      <c r="F44" s="738"/>
      <c r="G44" s="738"/>
      <c r="H44" s="738"/>
      <c r="I44" s="739"/>
      <c r="J44" s="729" t="s">
        <v>81</v>
      </c>
      <c r="K44" s="740"/>
      <c r="L44" s="741"/>
      <c r="M44" s="729" t="s">
        <v>82</v>
      </c>
      <c r="N44" s="740"/>
      <c r="O44" s="741"/>
    </row>
    <row r="45" spans="1:15" ht="94.5" customHeight="1">
      <c r="A45" s="207"/>
      <c r="B45" s="735" t="s">
        <v>83</v>
      </c>
      <c r="C45" s="736"/>
      <c r="D45" s="737"/>
      <c r="E45" s="729" t="s">
        <v>84</v>
      </c>
      <c r="F45" s="740"/>
      <c r="G45" s="740"/>
      <c r="H45" s="740"/>
      <c r="I45" s="741"/>
      <c r="J45" s="729" t="s">
        <v>85</v>
      </c>
      <c r="K45" s="740"/>
      <c r="L45" s="741"/>
      <c r="M45" s="690" t="s">
        <v>86</v>
      </c>
      <c r="N45" s="691"/>
      <c r="O45" s="692"/>
    </row>
    <row r="46" spans="1:15" ht="61.5" customHeight="1">
      <c r="A46" s="207"/>
      <c r="B46" s="806" t="s">
        <v>87</v>
      </c>
      <c r="C46" s="807"/>
      <c r="D46" s="808"/>
      <c r="E46" s="809" t="s">
        <v>40</v>
      </c>
      <c r="F46" s="810"/>
      <c r="G46" s="810"/>
      <c r="H46" s="810"/>
      <c r="I46" s="811"/>
      <c r="J46" s="809" t="s">
        <v>4</v>
      </c>
      <c r="K46" s="810"/>
      <c r="L46" s="811"/>
      <c r="M46" s="809" t="s">
        <v>5</v>
      </c>
      <c r="N46" s="810"/>
      <c r="O46" s="811"/>
    </row>
    <row r="47" spans="1:15" ht="61.5" customHeight="1">
      <c r="A47" s="207"/>
      <c r="B47" s="799" t="s">
        <v>88</v>
      </c>
      <c r="C47" s="800"/>
      <c r="D47" s="801"/>
      <c r="E47" s="729" t="s">
        <v>89</v>
      </c>
      <c r="F47" s="849"/>
      <c r="G47" s="849"/>
      <c r="H47" s="849"/>
      <c r="I47" s="850"/>
      <c r="J47" s="729" t="s">
        <v>90</v>
      </c>
      <c r="K47" s="740"/>
      <c r="L47" s="741"/>
      <c r="M47" s="729" t="s">
        <v>91</v>
      </c>
      <c r="N47" s="740"/>
      <c r="O47" s="741"/>
    </row>
    <row r="48" spans="1:15" ht="78" customHeight="1">
      <c r="A48" s="207"/>
      <c r="B48" s="799" t="s">
        <v>92</v>
      </c>
      <c r="C48" s="800"/>
      <c r="D48" s="801"/>
      <c r="E48" s="729" t="s">
        <v>93</v>
      </c>
      <c r="F48" s="849"/>
      <c r="G48" s="849"/>
      <c r="H48" s="849"/>
      <c r="I48" s="850"/>
      <c r="J48" s="729" t="s">
        <v>90</v>
      </c>
      <c r="K48" s="740"/>
      <c r="L48" s="741"/>
      <c r="M48" s="729" t="s">
        <v>94</v>
      </c>
      <c r="N48" s="740"/>
      <c r="O48" s="741"/>
    </row>
    <row r="49" spans="1:15" ht="78" customHeight="1">
      <c r="A49" s="207"/>
      <c r="B49" s="772" t="s">
        <v>95</v>
      </c>
      <c r="C49" s="773"/>
      <c r="D49" s="774"/>
      <c r="E49" s="729" t="s">
        <v>96</v>
      </c>
      <c r="F49" s="740"/>
      <c r="G49" s="740"/>
      <c r="H49" s="740"/>
      <c r="I49" s="741"/>
      <c r="J49" s="729" t="s">
        <v>90</v>
      </c>
      <c r="K49" s="740"/>
      <c r="L49" s="741"/>
      <c r="M49" s="729" t="s">
        <v>97</v>
      </c>
      <c r="N49" s="740"/>
      <c r="O49" s="741"/>
    </row>
    <row r="50" spans="1:15" ht="78" customHeight="1">
      <c r="A50" s="207"/>
      <c r="B50" s="772" t="s">
        <v>98</v>
      </c>
      <c r="C50" s="773"/>
      <c r="D50" s="774"/>
      <c r="E50" s="729" t="s">
        <v>99</v>
      </c>
      <c r="F50" s="740"/>
      <c r="G50" s="740"/>
      <c r="H50" s="740"/>
      <c r="I50" s="741"/>
      <c r="J50" s="729" t="s">
        <v>100</v>
      </c>
      <c r="K50" s="740"/>
      <c r="L50" s="741"/>
      <c r="M50" s="729" t="s">
        <v>101</v>
      </c>
      <c r="N50" s="740"/>
      <c r="O50" s="741"/>
    </row>
    <row r="51" spans="1:15" ht="78" customHeight="1">
      <c r="A51" s="207"/>
      <c r="B51" s="772" t="s">
        <v>102</v>
      </c>
      <c r="C51" s="773"/>
      <c r="D51" s="774"/>
      <c r="E51" s="729" t="s">
        <v>103</v>
      </c>
      <c r="F51" s="740"/>
      <c r="G51" s="740"/>
      <c r="H51" s="740"/>
      <c r="I51" s="741"/>
      <c r="J51" s="766" t="s">
        <v>104</v>
      </c>
      <c r="K51" s="767"/>
      <c r="L51" s="768"/>
      <c r="M51" s="729" t="s">
        <v>94</v>
      </c>
      <c r="N51" s="740"/>
      <c r="O51" s="741"/>
    </row>
    <row r="52" spans="1:15" ht="78" customHeight="1">
      <c r="A52" s="207"/>
      <c r="B52" s="772" t="s">
        <v>105</v>
      </c>
      <c r="C52" s="773"/>
      <c r="D52" s="774"/>
      <c r="E52" s="729" t="s">
        <v>106</v>
      </c>
      <c r="F52" s="740"/>
      <c r="G52" s="740"/>
      <c r="H52" s="740"/>
      <c r="I52" s="741"/>
      <c r="J52" s="769" t="s">
        <v>107</v>
      </c>
      <c r="K52" s="770"/>
      <c r="L52" s="771"/>
      <c r="M52" s="729" t="s">
        <v>108</v>
      </c>
      <c r="N52" s="740"/>
      <c r="O52" s="741"/>
    </row>
    <row r="53" spans="1:15" ht="2.25" hidden="1" customHeight="1">
      <c r="A53" s="207"/>
      <c r="B53" s="751"/>
      <c r="C53" s="759"/>
      <c r="D53" s="760"/>
      <c r="E53" s="761"/>
      <c r="F53" s="762"/>
      <c r="G53" s="762"/>
      <c r="H53" s="762"/>
      <c r="I53" s="763"/>
      <c r="J53" s="729"/>
      <c r="K53" s="740"/>
      <c r="L53" s="741"/>
      <c r="M53" s="729"/>
      <c r="N53" s="740"/>
      <c r="O53" s="741"/>
    </row>
    <row r="54" spans="1:15" ht="3.75" customHeight="1">
      <c r="A54" s="207"/>
      <c r="B54" s="751"/>
      <c r="C54" s="759"/>
      <c r="D54" s="760"/>
      <c r="E54" s="726"/>
      <c r="F54" s="738"/>
      <c r="G54" s="738"/>
      <c r="H54" s="738"/>
      <c r="I54" s="739"/>
      <c r="J54" s="729"/>
      <c r="K54" s="740"/>
      <c r="L54" s="741"/>
      <c r="M54" s="729"/>
      <c r="N54" s="740"/>
      <c r="O54" s="741"/>
    </row>
    <row r="55" spans="1:15" ht="14.25" customHeight="1">
      <c r="A55" s="207"/>
      <c r="B55" s="751"/>
      <c r="C55" s="752"/>
      <c r="D55" s="753"/>
      <c r="E55" s="726"/>
      <c r="F55" s="754"/>
      <c r="G55" s="754"/>
      <c r="H55" s="754"/>
      <c r="I55" s="755"/>
      <c r="J55" s="729"/>
      <c r="K55" s="730"/>
      <c r="L55" s="731"/>
      <c r="M55" s="690"/>
      <c r="N55" s="691"/>
      <c r="O55" s="692"/>
    </row>
    <row r="56" spans="1:15" ht="119.25" hidden="1" customHeight="1">
      <c r="A56" s="207"/>
      <c r="B56" s="751"/>
      <c r="C56" s="752"/>
      <c r="D56" s="753"/>
      <c r="E56" s="732"/>
      <c r="F56" s="733"/>
      <c r="G56" s="733"/>
      <c r="H56" s="733"/>
      <c r="I56" s="734"/>
      <c r="J56" s="729"/>
      <c r="K56" s="730"/>
      <c r="L56" s="731"/>
      <c r="M56" s="729"/>
      <c r="N56" s="730"/>
      <c r="O56" s="731"/>
    </row>
    <row r="57" spans="1:15" ht="88.5" hidden="1" customHeight="1">
      <c r="A57" s="207"/>
      <c r="B57" s="751"/>
      <c r="C57" s="752"/>
      <c r="D57" s="753"/>
      <c r="E57" s="726"/>
      <c r="F57" s="727"/>
      <c r="G57" s="727"/>
      <c r="H57" s="727"/>
      <c r="I57" s="728"/>
      <c r="J57" s="729"/>
      <c r="K57" s="730"/>
      <c r="L57" s="731"/>
      <c r="M57" s="690"/>
      <c r="N57" s="691"/>
      <c r="O57" s="692"/>
    </row>
    <row r="58" spans="1:15" ht="30" customHeight="1">
      <c r="B58" s="748" t="s">
        <v>109</v>
      </c>
      <c r="C58" s="749"/>
      <c r="D58" s="750"/>
      <c r="E58" s="745" t="s">
        <v>3</v>
      </c>
      <c r="F58" s="746"/>
      <c r="G58" s="746"/>
      <c r="H58" s="746"/>
      <c r="I58" s="747"/>
      <c r="J58" s="745" t="s">
        <v>4</v>
      </c>
      <c r="K58" s="746"/>
      <c r="L58" s="747"/>
      <c r="M58" s="745" t="s">
        <v>5</v>
      </c>
      <c r="N58" s="746"/>
      <c r="O58" s="747"/>
    </row>
    <row r="59" spans="1:15" ht="33.75" customHeight="1">
      <c r="B59" s="205"/>
      <c r="C59" s="693"/>
      <c r="D59" s="693"/>
      <c r="E59" s="200"/>
      <c r="F59" s="202"/>
      <c r="G59" s="202"/>
      <c r="H59" s="202"/>
      <c r="I59" s="202"/>
      <c r="J59" s="200"/>
      <c r="K59" s="200"/>
      <c r="L59" s="201"/>
      <c r="M59" s="199"/>
      <c r="N59" s="200"/>
      <c r="O59" s="201"/>
    </row>
    <row r="60" spans="1:15" ht="15.75" customHeight="1">
      <c r="B60" s="756" t="s">
        <v>110</v>
      </c>
      <c r="C60" s="757"/>
      <c r="D60" s="757"/>
      <c r="E60" s="757"/>
      <c r="F60" s="757"/>
      <c r="G60" s="757"/>
      <c r="H60" s="757"/>
      <c r="I60" s="757"/>
      <c r="J60" s="757"/>
      <c r="K60" s="757"/>
      <c r="L60" s="758"/>
      <c r="M60" s="742" t="s">
        <v>111</v>
      </c>
      <c r="N60" s="743"/>
      <c r="O60" s="744"/>
    </row>
    <row r="61" spans="1:15">
      <c r="D61" s="187"/>
    </row>
    <row r="63" spans="1:15">
      <c r="D63" s="187"/>
    </row>
    <row r="64" spans="1:15">
      <c r="D64" s="187"/>
    </row>
    <row r="77" spans="1:1">
      <c r="A77" s="189"/>
    </row>
  </sheetData>
  <mergeCells count="176">
    <mergeCell ref="M44:O44"/>
    <mergeCell ref="M38:O38"/>
    <mergeCell ref="B39:D39"/>
    <mergeCell ref="E39:I39"/>
    <mergeCell ref="J39:L39"/>
    <mergeCell ref="M39:O39"/>
    <mergeCell ref="M40:O40"/>
    <mergeCell ref="B41:D41"/>
    <mergeCell ref="E41:I41"/>
    <mergeCell ref="J41:L41"/>
    <mergeCell ref="M41:O41"/>
    <mergeCell ref="M52:O52"/>
    <mergeCell ref="B46:D46"/>
    <mergeCell ref="E46:I46"/>
    <mergeCell ref="J46:L46"/>
    <mergeCell ref="M46:O46"/>
    <mergeCell ref="B45:D45"/>
    <mergeCell ref="E45:I45"/>
    <mergeCell ref="J45:L45"/>
    <mergeCell ref="M47:O47"/>
    <mergeCell ref="B48:D48"/>
    <mergeCell ref="J49:L49"/>
    <mergeCell ref="M49:O49"/>
    <mergeCell ref="M51:O51"/>
    <mergeCell ref="B51:D51"/>
    <mergeCell ref="E51:I51"/>
    <mergeCell ref="B52:D52"/>
    <mergeCell ref="E52:I52"/>
    <mergeCell ref="E47:I47"/>
    <mergeCell ref="J47:L47"/>
    <mergeCell ref="M48:O48"/>
    <mergeCell ref="B49:D49"/>
    <mergeCell ref="E48:I48"/>
    <mergeCell ref="J48:L48"/>
    <mergeCell ref="E49:I49"/>
    <mergeCell ref="B15:D15"/>
    <mergeCell ref="B13:D13"/>
    <mergeCell ref="B12:D12"/>
    <mergeCell ref="J11:L11"/>
    <mergeCell ref="E14:I14"/>
    <mergeCell ref="M23:O24"/>
    <mergeCell ref="B25:D25"/>
    <mergeCell ref="M21:O21"/>
    <mergeCell ref="M22:O22"/>
    <mergeCell ref="B21:D21"/>
    <mergeCell ref="E21:I21"/>
    <mergeCell ref="M19:O19"/>
    <mergeCell ref="J23:L24"/>
    <mergeCell ref="J20:L20"/>
    <mergeCell ref="M20:O20"/>
    <mergeCell ref="M25:O25"/>
    <mergeCell ref="J25:L25"/>
    <mergeCell ref="J21:L21"/>
    <mergeCell ref="E18:I18"/>
    <mergeCell ref="J15:L15"/>
    <mergeCell ref="E19:I19"/>
    <mergeCell ref="B18:D18"/>
    <mergeCell ref="B19:D19"/>
    <mergeCell ref="B14:D14"/>
    <mergeCell ref="J14:L14"/>
    <mergeCell ref="M14:O14"/>
    <mergeCell ref="J13:L13"/>
    <mergeCell ref="E13:I13"/>
    <mergeCell ref="M34:O34"/>
    <mergeCell ref="B2:M2"/>
    <mergeCell ref="B5:O5"/>
    <mergeCell ref="M8:O8"/>
    <mergeCell ref="J8:L8"/>
    <mergeCell ref="E7:I7"/>
    <mergeCell ref="B7:D7"/>
    <mergeCell ref="E8:I8"/>
    <mergeCell ref="J7:L7"/>
    <mergeCell ref="M7:O7"/>
    <mergeCell ref="B8:D8"/>
    <mergeCell ref="M9:O9"/>
    <mergeCell ref="B9:D9"/>
    <mergeCell ref="E9:I9"/>
    <mergeCell ref="J9:L9"/>
    <mergeCell ref="J10:L10"/>
    <mergeCell ref="E10:I10"/>
    <mergeCell ref="M10:O10"/>
    <mergeCell ref="B10:D10"/>
    <mergeCell ref="E15:I15"/>
    <mergeCell ref="B11:D11"/>
    <mergeCell ref="E11:I11"/>
    <mergeCell ref="B47:D47"/>
    <mergeCell ref="E23:I23"/>
    <mergeCell ref="E22:I22"/>
    <mergeCell ref="M33:O33"/>
    <mergeCell ref="B30:O30"/>
    <mergeCell ref="B32:D32"/>
    <mergeCell ref="E32:I32"/>
    <mergeCell ref="J32:L32"/>
    <mergeCell ref="M32:O32"/>
    <mergeCell ref="E33:I33"/>
    <mergeCell ref="M18:O18"/>
    <mergeCell ref="J18:L18"/>
    <mergeCell ref="B16:O16"/>
    <mergeCell ref="J33:L33"/>
    <mergeCell ref="B35:D35"/>
    <mergeCell ref="J19:L19"/>
    <mergeCell ref="M11:O11"/>
    <mergeCell ref="J12:L12"/>
    <mergeCell ref="M12:O12"/>
    <mergeCell ref="E12:I12"/>
    <mergeCell ref="M15:O15"/>
    <mergeCell ref="M13:O13"/>
    <mergeCell ref="M50:O50"/>
    <mergeCell ref="J22:L22"/>
    <mergeCell ref="B20:D20"/>
    <mergeCell ref="E20:I20"/>
    <mergeCell ref="E25:I25"/>
    <mergeCell ref="E24:I24"/>
    <mergeCell ref="B22:D22"/>
    <mergeCell ref="B23:D24"/>
    <mergeCell ref="B33:D33"/>
    <mergeCell ref="M36:O36"/>
    <mergeCell ref="B37:D37"/>
    <mergeCell ref="E37:I37"/>
    <mergeCell ref="J37:L37"/>
    <mergeCell ref="B40:D40"/>
    <mergeCell ref="E40:I40"/>
    <mergeCell ref="J40:L40"/>
    <mergeCell ref="E35:I35"/>
    <mergeCell ref="J35:L35"/>
    <mergeCell ref="M35:O35"/>
    <mergeCell ref="M37:O37"/>
    <mergeCell ref="M42:O42"/>
    <mergeCell ref="M43:O43"/>
    <mergeCell ref="B44:D44"/>
    <mergeCell ref="E44:I44"/>
    <mergeCell ref="B53:D53"/>
    <mergeCell ref="E53:I53"/>
    <mergeCell ref="E54:I54"/>
    <mergeCell ref="B43:D43"/>
    <mergeCell ref="E43:I43"/>
    <mergeCell ref="J43:L43"/>
    <mergeCell ref="B36:D36"/>
    <mergeCell ref="E36:I36"/>
    <mergeCell ref="J36:L36"/>
    <mergeCell ref="B38:D38"/>
    <mergeCell ref="E38:I38"/>
    <mergeCell ref="J38:L38"/>
    <mergeCell ref="B42:D42"/>
    <mergeCell ref="E42:I42"/>
    <mergeCell ref="J42:L42"/>
    <mergeCell ref="J51:L51"/>
    <mergeCell ref="J52:L52"/>
    <mergeCell ref="B50:D50"/>
    <mergeCell ref="E50:I50"/>
    <mergeCell ref="J50:L50"/>
    <mergeCell ref="J44:L44"/>
    <mergeCell ref="E57:I57"/>
    <mergeCell ref="M56:O56"/>
    <mergeCell ref="E56:I56"/>
    <mergeCell ref="B34:D34"/>
    <mergeCell ref="E34:I34"/>
    <mergeCell ref="J34:L34"/>
    <mergeCell ref="M60:O60"/>
    <mergeCell ref="M58:O58"/>
    <mergeCell ref="J54:L54"/>
    <mergeCell ref="M53:O53"/>
    <mergeCell ref="J53:L53"/>
    <mergeCell ref="B58:D58"/>
    <mergeCell ref="M54:O54"/>
    <mergeCell ref="E58:I58"/>
    <mergeCell ref="J58:L58"/>
    <mergeCell ref="B55:D55"/>
    <mergeCell ref="B56:D56"/>
    <mergeCell ref="B57:D57"/>
    <mergeCell ref="J57:L57"/>
    <mergeCell ref="E55:I55"/>
    <mergeCell ref="J55:L55"/>
    <mergeCell ref="J56:L56"/>
    <mergeCell ref="B60:L60"/>
    <mergeCell ref="B54:D54"/>
  </mergeCells>
  <phoneticPr fontId="30"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234"/>
  <sheetViews>
    <sheetView showGridLines="0" topLeftCell="I64" zoomScale="85" zoomScaleNormal="85" workbookViewId="0">
      <selection activeCell="I85" sqref="I85"/>
    </sheetView>
  </sheetViews>
  <sheetFormatPr defaultColWidth="11" defaultRowHeight="15"/>
  <cols>
    <col min="1" max="1" width="58.7109375" customWidth="1"/>
    <col min="2" max="2" width="27.140625" customWidth="1"/>
    <col min="3" max="3" width="20" customWidth="1"/>
    <col min="4" max="4" width="17.42578125" customWidth="1"/>
    <col min="5" max="5" width="16.42578125" customWidth="1"/>
    <col min="6" max="6" width="23.85546875" customWidth="1"/>
    <col min="7" max="7" width="12.42578125" customWidth="1"/>
    <col min="8" max="8" width="16.85546875" customWidth="1"/>
    <col min="9" max="9" width="13.5703125" customWidth="1"/>
    <col min="10" max="10" width="14.42578125" customWidth="1"/>
    <col min="11" max="11" width="11.28515625" customWidth="1"/>
    <col min="12" max="12" width="13.42578125" customWidth="1"/>
    <col min="13" max="13" width="11.42578125" style="33" customWidth="1"/>
    <col min="14" max="14" width="15.7109375" style="33" customWidth="1"/>
    <col min="15" max="15" width="15.5703125" customWidth="1"/>
    <col min="16" max="16" width="16.140625" customWidth="1"/>
    <col min="17" max="17" width="13.7109375" customWidth="1"/>
    <col min="18" max="18" width="14.85546875" customWidth="1"/>
    <col min="19" max="19" width="16" customWidth="1"/>
    <col min="20" max="20" width="11.42578125" hidden="1" customWidth="1"/>
    <col min="21" max="21" width="15.5703125" customWidth="1"/>
    <col min="22" max="22" width="11.42578125" customWidth="1"/>
    <col min="23" max="23" width="2.28515625" customWidth="1"/>
    <col min="24" max="24" width="1.140625" customWidth="1"/>
    <col min="25" max="25" width="3.28515625" customWidth="1"/>
    <col min="26" max="26" width="17" customWidth="1"/>
    <col min="27" max="27" width="15" customWidth="1"/>
    <col min="28" max="28" width="11.42578125" customWidth="1"/>
    <col min="29" max="29" width="13.5703125" customWidth="1"/>
    <col min="30" max="30" width="16.85546875" customWidth="1"/>
    <col min="31" max="31" width="11.42578125" customWidth="1"/>
    <col min="32" max="32" width="2" style="33" customWidth="1"/>
    <col min="33" max="33" width="3.28515625" style="33" customWidth="1"/>
    <col min="34" max="34" width="2.28515625" style="33" customWidth="1"/>
    <col min="35" max="35" width="40.7109375" customWidth="1"/>
    <col min="36" max="36" width="15.42578125" customWidth="1"/>
  </cols>
  <sheetData>
    <row r="1" spans="1:12" ht="29.25" customHeight="1">
      <c r="A1" s="3"/>
      <c r="B1" s="861"/>
      <c r="C1" s="861"/>
      <c r="D1" s="3"/>
      <c r="E1" s="3"/>
      <c r="F1" s="3"/>
      <c r="G1" s="3"/>
      <c r="H1" s="3"/>
      <c r="I1" s="3"/>
      <c r="J1" s="3"/>
      <c r="K1" s="3"/>
      <c r="L1" s="3"/>
    </row>
    <row r="2" spans="1:12" ht="15.75" customHeight="1">
      <c r="A2" s="862" t="s">
        <v>112</v>
      </c>
      <c r="B2" s="862"/>
      <c r="C2" s="862"/>
      <c r="D2" s="862"/>
      <c r="E2" s="862"/>
      <c r="F2" s="862"/>
      <c r="G2" s="862"/>
      <c r="H2" s="862"/>
      <c r="I2" s="862"/>
      <c r="J2" s="226"/>
      <c r="K2" s="226"/>
      <c r="L2" s="226"/>
    </row>
    <row r="3" spans="1:12" ht="4.5" customHeight="1">
      <c r="A3" s="3"/>
      <c r="B3" s="3"/>
      <c r="C3" s="3"/>
      <c r="D3" s="3"/>
      <c r="E3" s="3"/>
      <c r="F3" s="3"/>
      <c r="G3" s="3"/>
      <c r="H3" s="3"/>
      <c r="I3" s="3"/>
      <c r="J3" s="3"/>
      <c r="K3" s="3"/>
      <c r="L3" s="3"/>
    </row>
    <row r="4" spans="1:12">
      <c r="A4" s="699" t="s">
        <v>113</v>
      </c>
      <c r="B4" s="854" t="s">
        <v>114</v>
      </c>
      <c r="C4" s="856"/>
      <c r="D4" s="863" t="s">
        <v>115</v>
      </c>
      <c r="E4" s="863"/>
      <c r="F4" s="695" t="s">
        <v>116</v>
      </c>
      <c r="G4" s="696"/>
      <c r="H4" s="696"/>
      <c r="I4" s="697"/>
      <c r="J4" s="3"/>
      <c r="K4" s="3"/>
      <c r="L4" s="3"/>
    </row>
    <row r="5" spans="1:12" ht="3" customHeight="1">
      <c r="A5" s="699"/>
      <c r="B5" s="3"/>
      <c r="C5" s="3"/>
      <c r="D5" s="511"/>
      <c r="E5" s="511"/>
      <c r="F5" s="3"/>
      <c r="G5" s="3"/>
      <c r="H5" s="3"/>
      <c r="I5" s="3"/>
      <c r="J5" s="3"/>
      <c r="K5" s="3"/>
      <c r="L5" s="3"/>
    </row>
    <row r="6" spans="1:12">
      <c r="A6" s="699" t="s">
        <v>117</v>
      </c>
      <c r="B6" s="854" t="s">
        <v>118</v>
      </c>
      <c r="C6" s="856"/>
      <c r="D6" s="863" t="s">
        <v>119</v>
      </c>
      <c r="E6" s="863"/>
      <c r="F6" s="242" t="s">
        <v>120</v>
      </c>
      <c r="G6" s="699" t="s">
        <v>121</v>
      </c>
      <c r="H6" s="864">
        <v>22157492.059999999</v>
      </c>
      <c r="I6" s="865"/>
      <c r="J6" s="3"/>
      <c r="K6" s="3"/>
      <c r="L6" s="3"/>
    </row>
    <row r="7" spans="1:12" ht="3" customHeight="1">
      <c r="A7" s="699"/>
      <c r="B7" s="3"/>
      <c r="C7" s="3"/>
      <c r="D7" s="511"/>
      <c r="E7" s="511"/>
      <c r="F7" s="3"/>
      <c r="G7" s="699"/>
      <c r="H7" s="3"/>
      <c r="I7" s="3"/>
      <c r="J7" s="3"/>
      <c r="K7" s="3"/>
      <c r="L7" s="3"/>
    </row>
    <row r="8" spans="1:12">
      <c r="A8" s="699" t="s">
        <v>122</v>
      </c>
      <c r="B8" s="854" t="s">
        <v>123</v>
      </c>
      <c r="C8" s="856"/>
      <c r="D8" s="218"/>
      <c r="E8" s="702" t="s">
        <v>124</v>
      </c>
      <c r="F8" s="703"/>
      <c r="G8" s="702" t="s">
        <v>125</v>
      </c>
      <c r="H8" s="854"/>
      <c r="I8" s="856"/>
      <c r="J8" s="3"/>
      <c r="K8" s="3"/>
      <c r="L8" s="3"/>
    </row>
    <row r="9" spans="1:12" ht="3" customHeight="1">
      <c r="A9" s="511"/>
      <c r="B9" s="3"/>
      <c r="C9" s="3"/>
      <c r="D9" s="511"/>
      <c r="E9" s="511"/>
      <c r="F9" s="3"/>
      <c r="G9" s="3"/>
      <c r="H9" s="3"/>
      <c r="I9" s="3"/>
      <c r="J9" s="3"/>
      <c r="K9" s="3"/>
      <c r="L9" s="3"/>
    </row>
    <row r="10" spans="1:12">
      <c r="A10" s="699" t="s">
        <v>126</v>
      </c>
      <c r="B10" s="866">
        <v>43282</v>
      </c>
      <c r="C10" s="867"/>
      <c r="D10" s="868" t="s">
        <v>127</v>
      </c>
      <c r="E10" s="871"/>
      <c r="F10" s="854" t="s">
        <v>128</v>
      </c>
      <c r="G10" s="855"/>
      <c r="H10" s="855"/>
      <c r="I10" s="856"/>
      <c r="J10" s="3"/>
      <c r="K10" s="3"/>
      <c r="L10" s="3"/>
    </row>
    <row r="11" spans="1:12" ht="5.25" customHeight="1">
      <c r="A11" s="3"/>
      <c r="B11" s="3"/>
      <c r="C11" s="3"/>
      <c r="D11" s="3"/>
      <c r="E11" s="3"/>
      <c r="F11" s="3"/>
      <c r="G11" s="3"/>
      <c r="H11" s="3"/>
      <c r="I11" s="3"/>
      <c r="J11" s="3"/>
      <c r="K11" s="3"/>
      <c r="L11" s="3"/>
    </row>
    <row r="12" spans="1:12" ht="15" customHeight="1">
      <c r="A12" s="699" t="s">
        <v>129</v>
      </c>
      <c r="B12" s="872" t="s">
        <v>130</v>
      </c>
      <c r="C12" s="872"/>
      <c r="D12" s="868" t="s">
        <v>131</v>
      </c>
      <c r="E12" s="863"/>
      <c r="F12" s="869" t="s">
        <v>132</v>
      </c>
      <c r="G12" s="869"/>
      <c r="H12" s="869"/>
      <c r="I12" s="869"/>
      <c r="J12" s="3"/>
      <c r="K12" s="3"/>
      <c r="L12" s="3"/>
    </row>
    <row r="13" spans="1:12" ht="5.25" customHeight="1">
      <c r="A13" s="3"/>
      <c r="B13" s="3"/>
      <c r="C13" s="3"/>
      <c r="D13" s="3"/>
      <c r="E13" s="3"/>
      <c r="F13" s="3"/>
      <c r="G13" s="3"/>
      <c r="H13" s="3"/>
      <c r="I13" s="3"/>
      <c r="J13" s="3"/>
      <c r="K13" s="3"/>
      <c r="L13" s="3"/>
    </row>
    <row r="14" spans="1:12" ht="15.75" customHeight="1">
      <c r="A14" s="862" t="s">
        <v>133</v>
      </c>
      <c r="B14" s="862"/>
      <c r="C14" s="862"/>
      <c r="D14" s="862"/>
      <c r="E14" s="862"/>
      <c r="F14" s="862"/>
      <c r="G14" s="862"/>
      <c r="H14" s="862"/>
      <c r="I14" s="862"/>
      <c r="J14" s="3"/>
      <c r="K14" s="3"/>
      <c r="L14" s="3"/>
    </row>
    <row r="15" spans="1:12" ht="3" customHeight="1">
      <c r="A15" s="3"/>
      <c r="B15" s="3"/>
      <c r="C15" s="3"/>
      <c r="D15" s="3"/>
      <c r="E15" s="3"/>
      <c r="F15" s="3"/>
      <c r="G15" s="3"/>
      <c r="H15" s="3"/>
      <c r="I15" s="3"/>
      <c r="J15" s="3"/>
      <c r="K15" s="3"/>
      <c r="L15" s="3"/>
    </row>
    <row r="16" spans="1:12">
      <c r="A16" s="699" t="s">
        <v>134</v>
      </c>
      <c r="B16" s="703" t="s">
        <v>135</v>
      </c>
      <c r="C16" s="702" t="s">
        <v>136</v>
      </c>
      <c r="D16" s="340">
        <v>43647</v>
      </c>
      <c r="E16" s="701" t="s">
        <v>137</v>
      </c>
      <c r="F16" s="340">
        <v>43830</v>
      </c>
      <c r="G16" s="868" t="s">
        <v>138</v>
      </c>
      <c r="H16" s="871"/>
      <c r="I16" s="700">
        <v>43908</v>
      </c>
      <c r="J16" s="3"/>
      <c r="K16" s="3"/>
      <c r="L16" s="3"/>
    </row>
    <row r="17" spans="1:33" ht="3" customHeight="1">
      <c r="A17" s="3"/>
      <c r="B17" s="3"/>
      <c r="C17" s="3"/>
      <c r="D17" s="3"/>
      <c r="E17" s="3"/>
      <c r="F17" s="3"/>
      <c r="G17" s="3"/>
      <c r="H17" s="3"/>
      <c r="I17" s="3"/>
      <c r="J17" s="3"/>
      <c r="K17" s="3"/>
      <c r="L17" s="3"/>
    </row>
    <row r="18" spans="1:33">
      <c r="A18" s="870" t="s">
        <v>139</v>
      </c>
      <c r="B18" s="871"/>
      <c r="C18" s="891" t="s">
        <v>123</v>
      </c>
      <c r="D18" s="891"/>
      <c r="E18" s="891"/>
      <c r="F18" s="227"/>
      <c r="G18" s="227"/>
      <c r="H18" s="227"/>
      <c r="I18" s="227"/>
      <c r="J18" s="3"/>
      <c r="K18" s="3"/>
      <c r="L18" s="3"/>
    </row>
    <row r="19" spans="1:33" ht="3" customHeight="1">
      <c r="A19" s="3"/>
      <c r="B19" s="3"/>
      <c r="C19" s="3"/>
      <c r="D19" s="3"/>
      <c r="E19" s="3"/>
      <c r="F19" s="3"/>
      <c r="G19" s="3"/>
      <c r="H19" s="3"/>
      <c r="I19" s="3"/>
      <c r="J19" s="3"/>
      <c r="K19" s="3"/>
      <c r="L19" s="3"/>
    </row>
    <row r="20" spans="1:33" ht="5.25" customHeight="1">
      <c r="A20" s="3"/>
      <c r="B20" s="3"/>
      <c r="C20" s="3"/>
      <c r="D20" s="3"/>
      <c r="E20" s="3"/>
      <c r="F20" s="3"/>
      <c r="G20" s="3"/>
      <c r="H20" s="3"/>
      <c r="I20" s="3"/>
      <c r="J20" s="3"/>
      <c r="K20" s="3"/>
      <c r="L20" s="3"/>
    </row>
    <row r="21" spans="1:33" ht="15.75" customHeight="1">
      <c r="A21" s="862" t="s">
        <v>140</v>
      </c>
      <c r="B21" s="862"/>
      <c r="C21" s="862"/>
      <c r="D21" s="862"/>
      <c r="E21" s="862"/>
      <c r="F21" s="862"/>
      <c r="G21" s="862"/>
      <c r="H21" s="862"/>
      <c r="I21" s="862"/>
      <c r="J21" s="3"/>
      <c r="K21" s="3"/>
      <c r="L21" s="3"/>
    </row>
    <row r="22" spans="1:33">
      <c r="A22" s="511" t="s">
        <v>141</v>
      </c>
      <c r="B22" s="3"/>
      <c r="C22" s="3"/>
      <c r="D22" s="698"/>
      <c r="E22" s="698"/>
      <c r="F22" s="3"/>
      <c r="G22" s="3"/>
      <c r="H22" s="698"/>
      <c r="I22" s="698"/>
      <c r="J22" s="3"/>
      <c r="K22" s="3"/>
      <c r="L22" s="3"/>
    </row>
    <row r="23" spans="1:33" ht="3" customHeight="1">
      <c r="A23" s="3"/>
      <c r="B23" s="3"/>
      <c r="C23" s="3"/>
      <c r="D23" s="3"/>
      <c r="E23" s="3"/>
      <c r="F23" s="3"/>
      <c r="G23" s="3"/>
      <c r="H23" s="3"/>
      <c r="I23" s="3"/>
      <c r="J23" s="3"/>
      <c r="K23" s="3"/>
      <c r="L23" s="3"/>
    </row>
    <row r="24" spans="1:33" ht="15.75" thickBot="1">
      <c r="A24" s="699" t="s">
        <v>142</v>
      </c>
      <c r="B24" s="277"/>
      <c r="C24" s="863" t="s">
        <v>143</v>
      </c>
      <c r="D24" s="863"/>
      <c r="E24" s="278"/>
      <c r="F24" s="863" t="s">
        <v>144</v>
      </c>
      <c r="G24" s="863"/>
      <c r="H24" s="889"/>
      <c r="I24" s="890"/>
      <c r="J24" s="3"/>
      <c r="K24" s="3"/>
      <c r="L24" s="3"/>
      <c r="M24" s="20"/>
    </row>
    <row r="25" spans="1:33" ht="19.5" thickBot="1">
      <c r="A25" s="79" t="s">
        <v>142</v>
      </c>
      <c r="B25" s="80"/>
      <c r="C25" s="80"/>
      <c r="D25" s="80"/>
      <c r="E25" s="80"/>
      <c r="F25" s="80"/>
      <c r="G25" s="217"/>
      <c r="H25" s="512"/>
      <c r="I25" s="512"/>
      <c r="J25" s="513" t="s">
        <v>145</v>
      </c>
      <c r="K25" s="514"/>
      <c r="L25" s="514"/>
      <c r="M25" s="514"/>
      <c r="N25" s="515"/>
      <c r="AG25" s="41"/>
    </row>
    <row r="26" spans="1:33">
      <c r="A26" s="875" t="s">
        <v>146</v>
      </c>
      <c r="B26" s="876"/>
      <c r="C26" s="288" t="s">
        <v>147</v>
      </c>
      <c r="D26" s="82"/>
      <c r="E26" s="82"/>
      <c r="F26" s="82"/>
      <c r="G26" s="82"/>
      <c r="H26" s="82"/>
      <c r="I26" s="516"/>
      <c r="J26" s="82"/>
      <c r="K26" s="82"/>
      <c r="L26" s="82"/>
      <c r="M26" s="37"/>
      <c r="N26" s="37"/>
      <c r="AG26" s="41"/>
    </row>
    <row r="27" spans="1:33" ht="18.75">
      <c r="A27" s="81" t="s">
        <v>148</v>
      </c>
      <c r="B27" s="82"/>
      <c r="C27" s="82"/>
      <c r="D27" s="82"/>
      <c r="E27" s="82"/>
      <c r="F27" s="82"/>
      <c r="G27" s="82"/>
      <c r="H27" s="82"/>
      <c r="I27" s="516"/>
      <c r="J27" s="82"/>
      <c r="K27" s="82"/>
      <c r="L27" s="82"/>
      <c r="M27" s="37"/>
      <c r="N27" s="37"/>
      <c r="AG27" s="41"/>
    </row>
    <row r="28" spans="1:33" ht="15.75" thickBot="1">
      <c r="A28" s="3"/>
      <c r="B28" s="3"/>
      <c r="C28" s="3"/>
      <c r="D28" s="3"/>
      <c r="E28" s="3"/>
      <c r="F28" s="3"/>
      <c r="G28" s="3"/>
      <c r="H28" s="3"/>
      <c r="I28" s="3"/>
      <c r="J28" s="3"/>
      <c r="K28" s="3"/>
      <c r="L28" s="3"/>
    </row>
    <row r="29" spans="1:33" ht="15.75" thickBot="1">
      <c r="A29" s="884" t="s">
        <v>149</v>
      </c>
      <c r="B29" s="885"/>
      <c r="C29" s="885"/>
      <c r="D29" s="885"/>
      <c r="E29" s="885"/>
      <c r="F29" s="885"/>
      <c r="G29" s="885"/>
      <c r="H29" s="885"/>
      <c r="I29" s="885"/>
      <c r="J29" s="885"/>
      <c r="K29" s="885"/>
      <c r="L29" s="885"/>
      <c r="M29" s="886"/>
      <c r="O29" s="178"/>
      <c r="P29" s="179"/>
      <c r="Q29" s="180">
        <f>+B33</f>
        <v>3229329.58</v>
      </c>
    </row>
    <row r="30" spans="1:33">
      <c r="A30" s="83" t="s">
        <v>134</v>
      </c>
      <c r="B30" s="265" t="s">
        <v>150</v>
      </c>
      <c r="C30" s="265" t="s">
        <v>151</v>
      </c>
      <c r="D30" s="265" t="s">
        <v>135</v>
      </c>
      <c r="E30" s="265" t="s">
        <v>152</v>
      </c>
      <c r="F30" s="265" t="s">
        <v>153</v>
      </c>
      <c r="G30" s="265" t="s">
        <v>154</v>
      </c>
      <c r="H30" s="265" t="s">
        <v>155</v>
      </c>
      <c r="I30" s="265" t="s">
        <v>156</v>
      </c>
      <c r="J30" s="265" t="s">
        <v>157</v>
      </c>
      <c r="K30" s="265" t="s">
        <v>158</v>
      </c>
      <c r="L30" s="265" t="s">
        <v>159</v>
      </c>
      <c r="M30" s="266" t="s">
        <v>160</v>
      </c>
      <c r="N30" s="267" t="s">
        <v>161</v>
      </c>
      <c r="O30" s="178"/>
      <c r="P30" s="179"/>
      <c r="Q30" s="180">
        <f>+C33</f>
        <v>7403519.0300000003</v>
      </c>
    </row>
    <row r="31" spans="1:33">
      <c r="A31" s="224" t="s">
        <v>162</v>
      </c>
      <c r="B31" s="273">
        <v>3229329.58</v>
      </c>
      <c r="C31" s="272">
        <v>4174189.45</v>
      </c>
      <c r="D31" s="272">
        <v>10088111.279999999</v>
      </c>
      <c r="E31" s="398"/>
      <c r="F31" s="398"/>
      <c r="G31" s="398"/>
      <c r="H31" s="399"/>
      <c r="I31" s="398"/>
      <c r="J31" s="398"/>
      <c r="K31" s="272"/>
      <c r="L31" s="400"/>
      <c r="M31" s="272"/>
      <c r="N31" s="909"/>
      <c r="O31" s="178"/>
      <c r="P31" s="179"/>
      <c r="Q31" s="180">
        <f>+D33</f>
        <v>17491630.309999999</v>
      </c>
    </row>
    <row r="32" spans="1:33">
      <c r="A32" s="83" t="str">
        <f>CONCATENATE("Выплаты ГФ (в ", $C$26,")")</f>
        <v>Выплаты ГФ (в $)</v>
      </c>
      <c r="B32" s="273">
        <v>9283289</v>
      </c>
      <c r="C32" s="273">
        <v>3078027.41</v>
      </c>
      <c r="D32" s="273">
        <v>5194310.5</v>
      </c>
      <c r="E32" s="273"/>
      <c r="F32" s="273"/>
      <c r="G32" s="273"/>
      <c r="H32" s="385"/>
      <c r="I32" s="272"/>
      <c r="J32" s="272"/>
      <c r="K32" s="272"/>
      <c r="L32" s="272"/>
      <c r="M32" s="272"/>
      <c r="N32" s="910"/>
      <c r="O32" s="178"/>
      <c r="P32" s="179"/>
      <c r="Q32" s="180">
        <f>+E33</f>
        <v>0</v>
      </c>
    </row>
    <row r="33" spans="1:33">
      <c r="A33" s="84" t="s">
        <v>163</v>
      </c>
      <c r="B33" s="274">
        <f>+B31</f>
        <v>3229329.58</v>
      </c>
      <c r="C33" s="274">
        <f>IF(AND(C31=0,C32=0),0,+B33+C31)</f>
        <v>7403519.0300000003</v>
      </c>
      <c r="D33" s="274">
        <f>IF(AND(D31=0,D32=0),0,+C33+D31)</f>
        <v>17491630.309999999</v>
      </c>
      <c r="E33" s="274">
        <f>IF(AND(E31=0,E32=0),0,+D33+E31)</f>
        <v>0</v>
      </c>
      <c r="F33" s="396"/>
      <c r="G33" s="396"/>
      <c r="H33" s="396"/>
      <c r="I33" s="396"/>
      <c r="J33" s="396"/>
      <c r="K33" s="396"/>
      <c r="L33" s="401"/>
      <c r="M33" s="274"/>
      <c r="N33" s="910"/>
      <c r="O33" s="262"/>
      <c r="P33" s="179"/>
      <c r="Q33" s="180">
        <f>+F33</f>
        <v>0</v>
      </c>
    </row>
    <row r="34" spans="1:33" ht="15.75" thickBot="1">
      <c r="A34" s="85" t="s">
        <v>164</v>
      </c>
      <c r="B34" s="275">
        <f>+B32</f>
        <v>9283289</v>
      </c>
      <c r="C34" s="275">
        <f>IF(AND(C31=0,C32=0),0,+B34+C32)</f>
        <v>12361316.41</v>
      </c>
      <c r="D34" s="275">
        <f>IF(AND(D31=0,D32=0),0,+C34+D32)</f>
        <v>17555626.91</v>
      </c>
      <c r="E34" s="275">
        <f>IF(AND(E31=0,E32=0),0,+D34+E32)</f>
        <v>0</v>
      </c>
      <c r="F34" s="397"/>
      <c r="G34" s="397"/>
      <c r="H34" s="397"/>
      <c r="I34" s="397"/>
      <c r="J34" s="397"/>
      <c r="K34" s="397"/>
      <c r="L34" s="402"/>
      <c r="M34" s="275"/>
      <c r="N34" s="911"/>
      <c r="O34" s="262"/>
      <c r="P34" s="179"/>
      <c r="Q34" s="180">
        <f>+G33</f>
        <v>0</v>
      </c>
    </row>
    <row r="35" spans="1:33">
      <c r="A35" s="3"/>
      <c r="B35" s="253">
        <f>+IF(AND(B30=$B$16,B33&lt;&gt;0),B34/B33,0)</f>
        <v>0</v>
      </c>
      <c r="C35" s="253">
        <f t="shared" ref="C35:M35" si="0">+IF(AND(C30=$B$16,C33&lt;&gt;0),C34/C33,0)</f>
        <v>0</v>
      </c>
      <c r="D35" s="253">
        <f t="shared" si="0"/>
        <v>1.0036586984097997</v>
      </c>
      <c r="E35" s="253">
        <f>+IF(AND(E30=$B$16,E33&lt;&gt;0),E34/E33,0)</f>
        <v>0</v>
      </c>
      <c r="F35" s="253">
        <f t="shared" si="0"/>
        <v>0</v>
      </c>
      <c r="G35" s="253">
        <f t="shared" si="0"/>
        <v>0</v>
      </c>
      <c r="H35" s="253">
        <f t="shared" si="0"/>
        <v>0</v>
      </c>
      <c r="I35" s="253">
        <f t="shared" si="0"/>
        <v>0</v>
      </c>
      <c r="J35" s="253">
        <f t="shared" si="0"/>
        <v>0</v>
      </c>
      <c r="K35" s="253">
        <f t="shared" si="0"/>
        <v>0</v>
      </c>
      <c r="L35" s="253">
        <f t="shared" si="0"/>
        <v>0</v>
      </c>
      <c r="M35" s="253">
        <f t="shared" si="0"/>
        <v>0</v>
      </c>
      <c r="N35" s="228"/>
      <c r="O35" s="181"/>
      <c r="P35" s="182"/>
      <c r="Q35" s="180">
        <f>+H33</f>
        <v>0</v>
      </c>
    </row>
    <row r="36" spans="1:33" ht="18.75">
      <c r="A36" s="81" t="s">
        <v>165</v>
      </c>
      <c r="B36" s="3"/>
      <c r="C36" s="3"/>
      <c r="D36" s="259"/>
      <c r="E36" s="3"/>
      <c r="F36" s="215"/>
      <c r="G36" s="3"/>
      <c r="H36" s="3"/>
      <c r="I36" s="3"/>
      <c r="J36" s="3"/>
      <c r="K36" s="3"/>
      <c r="L36" s="3"/>
      <c r="M36" s="38"/>
      <c r="N36" s="38"/>
      <c r="AG36" s="20"/>
    </row>
    <row r="37" spans="1:33" ht="15.75" thickBot="1">
      <c r="A37" s="3"/>
      <c r="B37" s="3"/>
      <c r="C37" s="3"/>
      <c r="D37" s="3"/>
      <c r="E37" s="3"/>
      <c r="F37" s="3"/>
      <c r="G37" s="3"/>
      <c r="H37" s="3"/>
      <c r="I37" s="3"/>
      <c r="J37" s="3"/>
      <c r="K37" s="3"/>
      <c r="L37" s="3"/>
      <c r="M37" s="36"/>
      <c r="N37" s="36"/>
    </row>
    <row r="38" spans="1:33" ht="30" customHeight="1">
      <c r="A38" s="312"/>
      <c r="B38" s="517" t="str">
        <f>CONCATENATE("Общий бюджет (в ",'Ввод данных'!$C$26,")")</f>
        <v>Общий бюджет (в $)</v>
      </c>
      <c r="C38" s="518" t="str">
        <f>CONCATENATE("Общие расходы (в ",'Ввод данных'!$C$26,")")</f>
        <v>Общие расходы (в $)</v>
      </c>
      <c r="D38" s="221"/>
      <c r="E38" s="221" t="s">
        <v>166</v>
      </c>
      <c r="F38" s="3"/>
      <c r="G38" s="3"/>
      <c r="H38" s="3"/>
      <c r="I38" s="91"/>
      <c r="J38" s="39"/>
      <c r="M38"/>
      <c r="N38"/>
      <c r="AC38" s="20"/>
      <c r="AD38" s="33"/>
    </row>
    <row r="39" spans="1:33">
      <c r="A39" s="404" t="s">
        <v>167</v>
      </c>
      <c r="B39" s="279">
        <v>152459.13</v>
      </c>
      <c r="C39" s="282">
        <v>42571.33</v>
      </c>
      <c r="D39" s="15"/>
      <c r="E39" s="15" t="s">
        <v>168</v>
      </c>
      <c r="F39" s="264"/>
      <c r="G39" s="3"/>
      <c r="H39" s="3"/>
      <c r="I39" s="92"/>
      <c r="J39" s="40"/>
      <c r="M39"/>
      <c r="N39"/>
      <c r="AC39" s="20"/>
      <c r="AD39" s="33"/>
    </row>
    <row r="40" spans="1:33">
      <c r="A40" s="404" t="s">
        <v>169</v>
      </c>
      <c r="B40" s="279">
        <v>666398.04</v>
      </c>
      <c r="C40" s="282">
        <v>215015.51</v>
      </c>
      <c r="D40" s="15"/>
      <c r="E40" s="15" t="s">
        <v>170</v>
      </c>
      <c r="F40" s="264"/>
      <c r="G40" s="3"/>
      <c r="H40" s="3"/>
      <c r="I40" s="92"/>
      <c r="J40" s="40"/>
      <c r="M40"/>
      <c r="N40"/>
      <c r="AC40" s="20"/>
      <c r="AD40" s="33"/>
    </row>
    <row r="41" spans="1:33">
      <c r="A41" s="404" t="s">
        <v>171</v>
      </c>
      <c r="B41" s="279" t="s">
        <v>172</v>
      </c>
      <c r="C41" s="282" t="s">
        <v>173</v>
      </c>
      <c r="D41" s="15"/>
      <c r="E41" s="15" t="s">
        <v>174</v>
      </c>
      <c r="F41" s="264"/>
      <c r="G41" s="3"/>
      <c r="H41" s="3"/>
      <c r="I41" s="92"/>
      <c r="J41" s="40"/>
      <c r="M41"/>
      <c r="N41"/>
      <c r="AC41" s="20"/>
      <c r="AD41" s="33"/>
    </row>
    <row r="42" spans="1:33">
      <c r="A42" s="281" t="s">
        <v>175</v>
      </c>
      <c r="B42" s="279">
        <v>1867.89</v>
      </c>
      <c r="C42" s="282">
        <v>243.05</v>
      </c>
      <c r="D42" s="15"/>
      <c r="E42" s="15" t="s">
        <v>176</v>
      </c>
      <c r="F42" s="264"/>
      <c r="G42" s="3"/>
      <c r="H42" s="3"/>
      <c r="I42" s="92"/>
      <c r="J42" s="40"/>
      <c r="M42"/>
      <c r="N42"/>
      <c r="AC42" s="20"/>
      <c r="AD42" s="33"/>
    </row>
    <row r="43" spans="1:33">
      <c r="A43" s="404" t="s">
        <v>177</v>
      </c>
      <c r="B43" s="279">
        <v>1711236.28</v>
      </c>
      <c r="C43" s="282">
        <v>575128.26</v>
      </c>
      <c r="D43" s="15"/>
      <c r="E43" s="15" t="s">
        <v>178</v>
      </c>
      <c r="F43" s="264"/>
      <c r="G43" s="3"/>
      <c r="H43" s="3"/>
      <c r="I43" s="92"/>
      <c r="J43" s="40"/>
      <c r="M43"/>
      <c r="N43"/>
      <c r="AC43" s="20"/>
      <c r="AD43" s="33"/>
    </row>
    <row r="44" spans="1:33">
      <c r="A44" s="405" t="s">
        <v>179</v>
      </c>
      <c r="B44" s="279">
        <v>11433.16</v>
      </c>
      <c r="C44" s="282">
        <v>11433.16</v>
      </c>
      <c r="D44" s="15"/>
      <c r="E44" s="15" t="s">
        <v>180</v>
      </c>
      <c r="F44" s="264"/>
      <c r="G44" s="3"/>
      <c r="H44" s="3"/>
      <c r="I44" s="92"/>
      <c r="J44" s="40"/>
      <c r="M44"/>
      <c r="N44"/>
      <c r="AC44" s="20"/>
      <c r="AD44" s="33"/>
    </row>
    <row r="45" spans="1:33">
      <c r="A45" s="281" t="s">
        <v>181</v>
      </c>
      <c r="B45" s="279">
        <v>5281298.1500000004</v>
      </c>
      <c r="C45" s="282">
        <v>2149784.2999999998</v>
      </c>
      <c r="D45" s="15"/>
      <c r="E45" s="15" t="s">
        <v>182</v>
      </c>
      <c r="F45" s="264"/>
      <c r="G45" s="3"/>
      <c r="H45" s="3"/>
      <c r="I45" s="92"/>
      <c r="J45" s="40"/>
      <c r="M45"/>
      <c r="N45"/>
      <c r="AC45" s="20"/>
      <c r="AD45" s="33"/>
    </row>
    <row r="46" spans="1:33">
      <c r="A46" s="281" t="s">
        <v>183</v>
      </c>
      <c r="B46" s="279">
        <v>32786.019999999997</v>
      </c>
      <c r="C46" s="282">
        <v>27513.49</v>
      </c>
      <c r="D46" s="15"/>
      <c r="E46" s="15" t="s">
        <v>184</v>
      </c>
      <c r="F46" s="264"/>
      <c r="G46" s="3"/>
      <c r="H46" s="3"/>
      <c r="I46" s="92"/>
      <c r="J46" s="40"/>
      <c r="M46"/>
      <c r="N46"/>
      <c r="AC46" s="20"/>
      <c r="AD46" s="33"/>
    </row>
    <row r="47" spans="1:33">
      <c r="A47" s="281" t="s">
        <v>185</v>
      </c>
      <c r="B47" s="280">
        <v>42326.83</v>
      </c>
      <c r="C47" s="282">
        <v>34833.199999999997</v>
      </c>
      <c r="D47" s="15"/>
      <c r="E47" s="15" t="s">
        <v>186</v>
      </c>
      <c r="F47" s="264"/>
      <c r="G47" s="3"/>
      <c r="H47" s="3"/>
      <c r="I47" s="92"/>
      <c r="J47" s="40"/>
      <c r="M47"/>
      <c r="N47"/>
      <c r="AC47" s="20"/>
      <c r="AD47" s="33"/>
    </row>
    <row r="48" spans="1:33">
      <c r="A48" s="281" t="s">
        <v>187</v>
      </c>
      <c r="B48" s="279">
        <v>1664472.81</v>
      </c>
      <c r="C48" s="282">
        <v>1067788.4099999999</v>
      </c>
      <c r="D48" s="15"/>
      <c r="E48" s="15" t="s">
        <v>188</v>
      </c>
      <c r="F48" s="264"/>
      <c r="G48" s="3"/>
      <c r="H48" s="3"/>
      <c r="I48" s="92"/>
      <c r="J48" s="40"/>
      <c r="M48"/>
      <c r="N48"/>
      <c r="AC48" s="20"/>
      <c r="AD48" s="33"/>
    </row>
    <row r="49" spans="1:32">
      <c r="A49" s="281" t="s">
        <v>189</v>
      </c>
      <c r="B49" s="279">
        <v>78648.22</v>
      </c>
      <c r="C49" s="282">
        <v>13046.14</v>
      </c>
      <c r="D49" s="15"/>
      <c r="E49" s="15" t="s">
        <v>190</v>
      </c>
      <c r="F49" s="264"/>
      <c r="G49" s="3"/>
      <c r="H49" s="3"/>
      <c r="I49" s="92"/>
      <c r="J49" s="40"/>
      <c r="M49"/>
      <c r="N49"/>
      <c r="AC49" s="20"/>
      <c r="AD49" s="33"/>
    </row>
    <row r="50" spans="1:32">
      <c r="A50" s="281" t="s">
        <v>191</v>
      </c>
      <c r="B50" s="279">
        <v>195436.79999999999</v>
      </c>
      <c r="C50" s="282">
        <v>66008.86</v>
      </c>
      <c r="D50" s="15"/>
      <c r="E50" s="15" t="s">
        <v>192</v>
      </c>
      <c r="F50" s="264"/>
      <c r="G50" s="3"/>
      <c r="H50" s="3"/>
      <c r="I50" s="92"/>
      <c r="J50" s="40"/>
      <c r="M50"/>
      <c r="N50"/>
      <c r="AC50" s="20"/>
      <c r="AD50" s="33"/>
    </row>
    <row r="51" spans="1:32">
      <c r="A51" s="283" t="s">
        <v>193</v>
      </c>
      <c r="B51" s="280">
        <v>249747.96</v>
      </c>
      <c r="C51" s="282">
        <v>282657.53999999998</v>
      </c>
      <c r="D51" s="15"/>
      <c r="E51" s="264" t="s">
        <v>194</v>
      </c>
      <c r="F51" s="264"/>
      <c r="G51" s="3"/>
      <c r="H51" s="3"/>
      <c r="I51" s="92"/>
      <c r="J51" s="40"/>
      <c r="M51"/>
      <c r="N51"/>
      <c r="AC51" s="20"/>
      <c r="AD51" s="33"/>
    </row>
    <row r="52" spans="1:32">
      <c r="A52" s="405"/>
      <c r="B52" s="280"/>
      <c r="C52" s="282"/>
      <c r="D52" s="15"/>
      <c r="E52" s="263"/>
      <c r="F52" s="264"/>
      <c r="G52" s="3"/>
      <c r="H52" s="3"/>
      <c r="I52" s="92"/>
      <c r="J52" s="40"/>
      <c r="M52"/>
      <c r="N52"/>
      <c r="AC52" s="20"/>
      <c r="AD52" s="33"/>
    </row>
    <row r="53" spans="1:32">
      <c r="A53" s="281"/>
      <c r="B53" s="386"/>
      <c r="C53" s="282"/>
      <c r="D53" s="15"/>
      <c r="E53" s="263"/>
      <c r="F53" s="264"/>
      <c r="G53" s="3"/>
      <c r="H53" s="3"/>
      <c r="I53" s="92"/>
      <c r="J53" s="40"/>
      <c r="M53"/>
      <c r="N53"/>
      <c r="AC53" s="20"/>
      <c r="AD53" s="33"/>
    </row>
    <row r="54" spans="1:32">
      <c r="A54" s="281"/>
      <c r="B54" s="386"/>
      <c r="C54" s="282"/>
      <c r="D54" s="228"/>
      <c r="E54" s="263"/>
      <c r="F54" s="264"/>
      <c r="G54" s="3"/>
      <c r="H54" s="3"/>
      <c r="I54" s="3"/>
      <c r="J54" s="40"/>
      <c r="M54"/>
      <c r="N54"/>
      <c r="AC54" s="20"/>
      <c r="AD54" s="33"/>
    </row>
    <row r="55" spans="1:32" ht="15.75" thickBot="1">
      <c r="A55" s="283"/>
      <c r="B55" s="387"/>
      <c r="C55" s="394"/>
      <c r="D55" s="219"/>
      <c r="E55" s="263"/>
      <c r="F55" s="3"/>
      <c r="G55" s="3"/>
      <c r="H55" s="3"/>
      <c r="I55" s="3"/>
      <c r="J55" s="40"/>
      <c r="M55"/>
      <c r="N55"/>
      <c r="AC55" s="20"/>
      <c r="AD55" s="33"/>
    </row>
    <row r="56" spans="1:32" ht="15.75" thickBot="1">
      <c r="A56" s="284" t="s">
        <v>195</v>
      </c>
      <c r="B56" s="450">
        <f>SUM(B39:B55)</f>
        <v>10088111.290000003</v>
      </c>
      <c r="C56" s="686">
        <f>SUM(C39:C55)</f>
        <v>4486023.25</v>
      </c>
      <c r="D56" s="3"/>
      <c r="E56" s="904" t="str">
        <f ca="1">+IF((ROUND(B56,0)=ROUND(OFFSET(A31,0,RIGHT('Ввод данных'!$B$16,LEN('Ввод данных'!$B$16)-1),1,1),0)),"Все правильно: данные верны","Предупреждение: данные не совпадают")</f>
        <v>Все правильно: данные верны</v>
      </c>
      <c r="F56" s="905"/>
      <c r="G56" s="905"/>
      <c r="H56" s="906"/>
      <c r="I56" s="173"/>
      <c r="J56" s="173"/>
      <c r="K56" s="173"/>
      <c r="L56" s="181"/>
      <c r="M56" s="182"/>
      <c r="N56" s="180"/>
      <c r="O56" s="178"/>
      <c r="AC56" s="33"/>
      <c r="AD56" s="33"/>
    </row>
    <row r="57" spans="1:32">
      <c r="A57" s="3"/>
      <c r="B57" s="173"/>
      <c r="C57" s="173"/>
      <c r="E57" s="173"/>
      <c r="F57" s="173"/>
      <c r="G57" s="173"/>
      <c r="H57" s="173"/>
      <c r="I57" s="173"/>
      <c r="J57" s="173"/>
      <c r="K57" s="173"/>
      <c r="L57" s="173"/>
      <c r="M57" s="173"/>
      <c r="N57" s="173"/>
      <c r="O57" s="181"/>
      <c r="P57" s="182"/>
      <c r="Q57" s="180"/>
    </row>
    <row r="58" spans="1:32" ht="18.75">
      <c r="A58" s="81" t="s">
        <v>196</v>
      </c>
      <c r="B58" s="3"/>
      <c r="C58" s="173"/>
      <c r="D58" s="360"/>
      <c r="E58" s="3"/>
      <c r="F58" s="3"/>
      <c r="G58" s="3"/>
      <c r="H58" s="3"/>
      <c r="I58" s="3"/>
      <c r="J58" s="3"/>
      <c r="K58" s="3"/>
      <c r="L58" s="3"/>
      <c r="O58" s="178"/>
      <c r="P58" s="179"/>
      <c r="Q58" s="180">
        <f>+I33</f>
        <v>0</v>
      </c>
    </row>
    <row r="59" spans="1:32" ht="15.75" thickBot="1">
      <c r="A59" s="3"/>
      <c r="B59" s="3"/>
      <c r="C59" s="3"/>
      <c r="D59" s="3"/>
      <c r="E59" s="3"/>
      <c r="F59" s="3"/>
      <c r="G59" s="3"/>
      <c r="H59" s="3"/>
      <c r="I59" s="3"/>
      <c r="J59" s="3"/>
      <c r="K59" s="3"/>
      <c r="L59" s="3"/>
      <c r="O59" s="178"/>
      <c r="P59" s="179"/>
      <c r="Q59" s="180">
        <f>+J33</f>
        <v>0</v>
      </c>
    </row>
    <row r="60" spans="1:32" ht="51" customHeight="1">
      <c r="A60" s="372"/>
      <c r="B60" s="373" t="s">
        <v>197</v>
      </c>
      <c r="C60" s="373" t="s">
        <v>198</v>
      </c>
      <c r="D60" s="374" t="str">
        <f>CONCATENATE("Всего израсходовано и выплачено (в ",C26,")")</f>
        <v>Всего израсходовано и выплачено (в $)</v>
      </c>
      <c r="E60" s="3"/>
      <c r="F60" s="232"/>
      <c r="G60" s="519"/>
      <c r="H60" s="225"/>
      <c r="I60" s="225"/>
      <c r="J60" s="225"/>
      <c r="K60" s="225"/>
      <c r="L60" s="21"/>
      <c r="M60" s="21"/>
      <c r="N60" s="178"/>
      <c r="O60" s="179"/>
      <c r="P60" s="180">
        <f>+L33</f>
        <v>0</v>
      </c>
      <c r="Q60" s="178"/>
      <c r="AF60" s="20"/>
    </row>
    <row r="61" spans="1:32">
      <c r="A61" s="375" t="s">
        <v>199</v>
      </c>
      <c r="B61" s="406">
        <v>12361316</v>
      </c>
      <c r="C61" s="406">
        <v>5194311</v>
      </c>
      <c r="D61" s="377">
        <f>+C61+B61</f>
        <v>17555627</v>
      </c>
      <c r="E61" s="3"/>
      <c r="F61" s="87"/>
      <c r="G61" s="230"/>
      <c r="H61" s="86"/>
      <c r="I61" s="176"/>
      <c r="J61" s="177"/>
      <c r="K61" s="88"/>
      <c r="L61" s="34"/>
      <c r="M61" s="34"/>
      <c r="N61" s="178"/>
      <c r="O61" s="178"/>
      <c r="P61" s="178"/>
      <c r="Q61" s="178"/>
      <c r="AF61" s="20"/>
    </row>
    <row r="62" spans="1:32">
      <c r="A62" s="375" t="s">
        <v>200</v>
      </c>
      <c r="B62" s="406">
        <v>5629640</v>
      </c>
      <c r="C62" s="406">
        <v>7919246</v>
      </c>
      <c r="D62" s="377">
        <f>+C62+B62</f>
        <v>13548886</v>
      </c>
      <c r="E62" s="3"/>
      <c r="F62" s="210"/>
      <c r="G62" s="230"/>
      <c r="H62" s="86"/>
      <c r="I62" s="176"/>
      <c r="J62" s="176"/>
      <c r="K62" s="88"/>
      <c r="L62" s="35"/>
      <c r="M62" s="35"/>
      <c r="N62" s="178"/>
      <c r="O62" s="178"/>
      <c r="P62" s="178"/>
      <c r="Q62" s="178"/>
      <c r="AF62" s="20"/>
    </row>
    <row r="63" spans="1:32">
      <c r="A63" s="375" t="s">
        <v>201</v>
      </c>
      <c r="B63" s="406">
        <v>2013644</v>
      </c>
      <c r="C63" s="406">
        <v>988697</v>
      </c>
      <c r="D63" s="377">
        <f>+C63+B63</f>
        <v>3002341</v>
      </c>
      <c r="E63" s="3"/>
      <c r="F63" s="87"/>
      <c r="G63" s="230"/>
      <c r="H63" s="86"/>
      <c r="I63" s="176"/>
      <c r="J63" s="177"/>
      <c r="K63" s="88"/>
      <c r="L63" s="34"/>
      <c r="M63" s="34"/>
      <c r="N63"/>
      <c r="AF63" s="20"/>
    </row>
    <row r="64" spans="1:32">
      <c r="A64" s="376" t="s">
        <v>202</v>
      </c>
      <c r="B64" s="406">
        <v>1773879</v>
      </c>
      <c r="C64" s="406">
        <v>1021429</v>
      </c>
      <c r="D64" s="378">
        <f>+C64+B64</f>
        <v>2795308</v>
      </c>
      <c r="E64" s="173"/>
      <c r="F64" s="211"/>
      <c r="G64" s="231"/>
      <c r="H64" s="89"/>
      <c r="I64" s="89"/>
      <c r="J64" s="89"/>
      <c r="K64" s="88"/>
      <c r="L64" s="35"/>
      <c r="M64" s="35"/>
      <c r="N64"/>
      <c r="AF64" s="20"/>
    </row>
    <row r="65" spans="1:33" ht="15.75" customHeight="1">
      <c r="A65" s="3"/>
      <c r="B65" s="3"/>
      <c r="C65" s="173"/>
      <c r="D65" s="3"/>
      <c r="E65" s="173"/>
      <c r="F65" s="3"/>
      <c r="G65" s="3"/>
      <c r="H65" s="3"/>
      <c r="I65" s="3"/>
      <c r="J65" s="3"/>
      <c r="K65" s="3"/>
      <c r="L65" s="3"/>
      <c r="AG65" s="20"/>
    </row>
    <row r="66" spans="1:33">
      <c r="A66" s="3"/>
      <c r="B66" s="3"/>
      <c r="C66" s="371"/>
      <c r="D66" s="3"/>
      <c r="E66" s="3"/>
      <c r="F66" s="3"/>
      <c r="G66" s="3"/>
      <c r="H66" s="3"/>
      <c r="I66" s="3"/>
      <c r="J66" s="3"/>
      <c r="K66" s="3"/>
      <c r="L66" s="3"/>
    </row>
    <row r="67" spans="1:33" ht="18.75">
      <c r="A67" s="81" t="s">
        <v>203</v>
      </c>
      <c r="B67" s="3"/>
      <c r="C67" s="173"/>
      <c r="D67" s="3"/>
      <c r="E67" s="3"/>
      <c r="F67" s="3"/>
      <c r="G67" s="3"/>
      <c r="H67" s="3"/>
      <c r="I67" s="3"/>
      <c r="J67" s="3"/>
      <c r="K67" s="3"/>
      <c r="L67" s="3"/>
    </row>
    <row r="68" spans="1:33" ht="15.75" thickBot="1">
      <c r="A68" s="3"/>
      <c r="B68" s="3"/>
      <c r="C68" s="3"/>
      <c r="D68" s="3"/>
      <c r="E68" s="3"/>
      <c r="F68" s="3"/>
      <c r="G68" s="3"/>
      <c r="H68" s="3"/>
      <c r="I68" s="3"/>
      <c r="J68" s="3"/>
      <c r="K68" s="3"/>
      <c r="L68" s="3"/>
    </row>
    <row r="69" spans="1:33" ht="15.75" customHeight="1" thickBot="1">
      <c r="A69" s="879" t="s">
        <v>204</v>
      </c>
      <c r="B69" s="880"/>
      <c r="C69" s="881"/>
      <c r="D69" s="393"/>
      <c r="E69" s="3"/>
      <c r="F69" s="3"/>
      <c r="G69" s="3"/>
      <c r="H69" s="3"/>
      <c r="I69" s="3"/>
      <c r="J69" s="3"/>
      <c r="K69" s="3"/>
      <c r="L69" s="33"/>
      <c r="N69"/>
    </row>
    <row r="70" spans="1:33">
      <c r="A70" s="388"/>
      <c r="B70" s="324"/>
      <c r="C70" s="341" t="s">
        <v>205</v>
      </c>
      <c r="D70" s="389" t="s">
        <v>206</v>
      </c>
      <c r="E70" s="3"/>
      <c r="F70" s="3"/>
      <c r="G70" s="3"/>
      <c r="H70" s="3"/>
      <c r="I70" s="3"/>
      <c r="J70" s="3"/>
      <c r="K70" s="3"/>
      <c r="L70" s="33"/>
      <c r="N70"/>
    </row>
    <row r="71" spans="1:33">
      <c r="A71" s="390" t="s">
        <v>207</v>
      </c>
      <c r="B71" s="42"/>
      <c r="C71" s="407">
        <v>60</v>
      </c>
      <c r="D71" s="687">
        <v>64</v>
      </c>
      <c r="E71" s="3"/>
      <c r="F71" s="3"/>
      <c r="G71" s="3"/>
      <c r="H71" s="3"/>
      <c r="I71" s="3"/>
      <c r="J71" s="3"/>
      <c r="K71" s="3"/>
      <c r="L71" s="33"/>
      <c r="N71"/>
    </row>
    <row r="72" spans="1:33">
      <c r="A72" s="233" t="s">
        <v>208</v>
      </c>
      <c r="B72" s="42"/>
      <c r="C72" s="407">
        <v>60</v>
      </c>
      <c r="D72" s="688" t="s">
        <v>209</v>
      </c>
      <c r="E72" s="3"/>
      <c r="F72" s="3"/>
      <c r="G72" s="230"/>
      <c r="H72" s="230"/>
      <c r="I72" s="3"/>
      <c r="J72" s="3"/>
      <c r="K72" s="3"/>
      <c r="L72" s="33"/>
      <c r="N72"/>
    </row>
    <row r="73" spans="1:33" ht="15.75" thickBot="1">
      <c r="A73" s="391" t="s">
        <v>210</v>
      </c>
      <c r="B73" s="392"/>
      <c r="C73" s="408">
        <v>10</v>
      </c>
      <c r="D73" s="688" t="s">
        <v>209</v>
      </c>
      <c r="E73" s="3"/>
      <c r="F73" s="3"/>
      <c r="G73" s="230"/>
      <c r="H73" s="230"/>
      <c r="I73" s="3"/>
      <c r="J73" s="3"/>
      <c r="K73" s="3"/>
      <c r="L73" s="33"/>
      <c r="N73"/>
    </row>
    <row r="74" spans="1:33">
      <c r="A74" s="3"/>
      <c r="B74" s="3"/>
      <c r="C74" s="342"/>
      <c r="D74" s="342"/>
      <c r="E74" s="3"/>
      <c r="F74" s="3"/>
      <c r="G74" s="3"/>
      <c r="H74" s="3"/>
      <c r="I74" s="3"/>
      <c r="J74" s="3"/>
      <c r="K74" s="3"/>
      <c r="L74" s="3"/>
    </row>
    <row r="75" spans="1:33" ht="15.75" thickBot="1">
      <c r="A75" s="3"/>
      <c r="B75" s="3"/>
      <c r="C75" s="3"/>
      <c r="D75" s="3"/>
      <c r="E75" s="3"/>
      <c r="F75" s="3"/>
      <c r="G75" s="3"/>
      <c r="H75" s="3"/>
      <c r="I75" s="3"/>
      <c r="J75" s="3"/>
      <c r="K75" s="2"/>
      <c r="L75" s="3"/>
      <c r="AA75" s="19"/>
      <c r="AB75" s="19"/>
    </row>
    <row r="76" spans="1:33" ht="31.5" customHeight="1" thickBot="1">
      <c r="A76" s="93" t="s">
        <v>211</v>
      </c>
      <c r="B76" s="94"/>
      <c r="C76" s="94"/>
      <c r="D76" s="94"/>
      <c r="E76" s="94"/>
      <c r="F76" s="94"/>
      <c r="G76" s="520" t="s">
        <v>212</v>
      </c>
      <c r="H76" s="521"/>
      <c r="I76" s="522"/>
      <c r="J76" s="522"/>
      <c r="K76" s="523"/>
      <c r="L76" s="95"/>
      <c r="M76" s="77"/>
      <c r="N76" s="77"/>
      <c r="O76" s="77"/>
      <c r="AA76" s="19"/>
      <c r="AB76" s="19"/>
    </row>
    <row r="77" spans="1:33" ht="18.75">
      <c r="A77" s="96"/>
      <c r="B77" s="95"/>
      <c r="C77" s="95"/>
      <c r="D77" s="95"/>
      <c r="E77" s="95"/>
      <c r="F77" s="95"/>
      <c r="G77" s="95"/>
      <c r="H77" s="95"/>
      <c r="I77" s="95"/>
      <c r="J77" s="97"/>
      <c r="K77" s="97"/>
      <c r="L77" s="95"/>
      <c r="M77" s="77"/>
      <c r="N77" s="77"/>
      <c r="O77" s="77"/>
      <c r="AA77" s="19"/>
      <c r="AB77" s="19"/>
    </row>
    <row r="78" spans="1:33" ht="18.75">
      <c r="A78" s="96" t="s">
        <v>213</v>
      </c>
      <c r="B78" s="95"/>
      <c r="C78" s="95"/>
      <c r="D78" s="95"/>
      <c r="E78" s="95"/>
      <c r="F78" s="95"/>
      <c r="G78" s="95"/>
      <c r="H78" s="95"/>
      <c r="I78" s="95"/>
      <c r="J78" s="97"/>
      <c r="K78" s="97"/>
      <c r="L78" s="95"/>
      <c r="M78" s="77"/>
      <c r="N78" s="77"/>
      <c r="O78" s="77"/>
      <c r="AA78" s="19"/>
      <c r="AB78" s="19"/>
    </row>
    <row r="79" spans="1:33" ht="15.75" thickBot="1">
      <c r="A79" s="2"/>
      <c r="B79" s="98"/>
      <c r="C79" s="98"/>
      <c r="D79" s="98"/>
      <c r="E79" s="98"/>
      <c r="F79" s="98"/>
      <c r="G79" s="2"/>
      <c r="H79" s="98"/>
      <c r="I79" s="2"/>
      <c r="J79" s="2"/>
      <c r="K79" s="2"/>
      <c r="L79" s="2"/>
      <c r="M79" s="20"/>
      <c r="N79" s="19"/>
      <c r="O79" s="19"/>
      <c r="P79" s="19"/>
      <c r="Q79" s="19"/>
      <c r="AB79" s="19"/>
    </row>
    <row r="80" spans="1:33" ht="45">
      <c r="A80" s="877"/>
      <c r="B80" s="878"/>
      <c r="C80" s="99" t="s">
        <v>214</v>
      </c>
      <c r="D80" s="100" t="s">
        <v>215</v>
      </c>
      <c r="E80" s="303" t="s">
        <v>216</v>
      </c>
      <c r="F80" s="304" t="s">
        <v>217</v>
      </c>
      <c r="G80" s="524"/>
      <c r="H80" s="525"/>
      <c r="I80" s="15"/>
      <c r="J80" s="2"/>
      <c r="K80" s="2"/>
      <c r="L80" s="2"/>
      <c r="M80" s="20"/>
      <c r="N80" s="19"/>
      <c r="O80" s="19"/>
      <c r="P80" s="19"/>
      <c r="Q80" s="19"/>
    </row>
    <row r="81" spans="1:17">
      <c r="A81" s="882" t="s">
        <v>218</v>
      </c>
      <c r="B81" s="883"/>
      <c r="C81" s="212">
        <v>0</v>
      </c>
      <c r="D81" s="212">
        <v>0</v>
      </c>
      <c r="E81" s="212">
        <v>0</v>
      </c>
      <c r="F81" s="101"/>
      <c r="G81" s="524"/>
      <c r="H81" s="525"/>
      <c r="I81" s="15"/>
      <c r="J81" s="2"/>
      <c r="K81" s="2"/>
      <c r="L81" s="2"/>
      <c r="M81" s="20"/>
      <c r="N81" s="19"/>
      <c r="O81" s="19"/>
      <c r="P81" s="19"/>
      <c r="Q81" s="19"/>
    </row>
    <row r="82" spans="1:17" ht="15.75" thickBot="1">
      <c r="A82" s="887" t="s">
        <v>219</v>
      </c>
      <c r="B82" s="888"/>
      <c r="C82" s="212">
        <v>0</v>
      </c>
      <c r="D82" s="212">
        <v>0</v>
      </c>
      <c r="E82" s="212">
        <v>0</v>
      </c>
      <c r="F82" s="212">
        <v>0</v>
      </c>
      <c r="G82" s="524"/>
      <c r="H82" s="525"/>
      <c r="I82" s="15"/>
      <c r="J82" s="2"/>
      <c r="K82" s="2"/>
      <c r="L82" s="2"/>
      <c r="M82" s="20"/>
      <c r="N82" s="19"/>
      <c r="O82" s="19"/>
      <c r="P82" s="19"/>
      <c r="Q82" s="19"/>
    </row>
    <row r="83" spans="1:17">
      <c r="A83" s="882" t="s">
        <v>220</v>
      </c>
      <c r="B83" s="883"/>
      <c r="C83" s="212">
        <v>0</v>
      </c>
      <c r="D83" s="212">
        <v>0</v>
      </c>
      <c r="E83" s="212">
        <v>0</v>
      </c>
      <c r="F83" s="101">
        <f>SUM(C83:E83)</f>
        <v>0</v>
      </c>
      <c r="G83" s="229"/>
      <c r="H83" s="240"/>
      <c r="I83" s="240"/>
      <c r="J83" s="2"/>
      <c r="K83" s="2"/>
      <c r="L83" s="2"/>
      <c r="M83" s="20"/>
      <c r="N83" s="19"/>
      <c r="O83" s="19"/>
      <c r="P83" s="19"/>
      <c r="Q83" s="19"/>
    </row>
    <row r="84" spans="1:17" ht="15.75" thickBot="1">
      <c r="A84" s="887" t="s">
        <v>221</v>
      </c>
      <c r="B84" s="888"/>
      <c r="C84" s="213">
        <v>0</v>
      </c>
      <c r="D84" s="213">
        <v>0</v>
      </c>
      <c r="E84" s="213">
        <v>0</v>
      </c>
      <c r="F84" s="102">
        <f>SUM(C84:E84)</f>
        <v>0</v>
      </c>
      <c r="G84" s="229"/>
      <c r="H84" s="15"/>
      <c r="I84" s="15"/>
      <c r="J84" s="2"/>
      <c r="K84" s="2"/>
      <c r="L84" s="2"/>
      <c r="M84" s="19"/>
      <c r="N84" s="19"/>
      <c r="O84" s="19"/>
      <c r="P84" s="19"/>
      <c r="Q84" s="19"/>
    </row>
    <row r="85" spans="1:17">
      <c r="A85" s="2"/>
      <c r="B85" s="2"/>
      <c r="C85" s="2"/>
      <c r="D85" s="2"/>
      <c r="E85" s="2"/>
      <c r="F85" s="2"/>
      <c r="G85" s="2"/>
      <c r="H85" s="2"/>
      <c r="I85" s="2"/>
      <c r="J85" s="2"/>
      <c r="K85" s="2"/>
      <c r="L85" s="2"/>
      <c r="M85" s="19"/>
      <c r="N85" s="19"/>
      <c r="O85" s="19"/>
      <c r="P85" s="19"/>
      <c r="Q85" s="19"/>
    </row>
    <row r="86" spans="1:17">
      <c r="A86" s="2"/>
      <c r="B86" s="2"/>
      <c r="C86" s="2"/>
      <c r="D86" s="2"/>
      <c r="E86" s="2"/>
      <c r="F86" s="2"/>
      <c r="G86" s="2"/>
      <c r="H86" s="2"/>
      <c r="I86" s="2"/>
      <c r="J86" s="2"/>
      <c r="K86" s="2"/>
      <c r="L86" s="2"/>
      <c r="M86" s="19"/>
      <c r="N86" s="19"/>
      <c r="O86" s="19"/>
    </row>
    <row r="87" spans="1:17" ht="18.75">
      <c r="A87" s="96" t="s">
        <v>222</v>
      </c>
      <c r="B87" s="2"/>
      <c r="C87" s="2"/>
      <c r="D87" s="2"/>
      <c r="E87" s="2"/>
      <c r="F87" s="2"/>
      <c r="G87" s="2"/>
      <c r="H87" s="2"/>
      <c r="I87" s="2"/>
      <c r="J87" s="2"/>
      <c r="K87" s="2"/>
      <c r="L87" s="2"/>
      <c r="M87" s="19"/>
      <c r="N87" s="19"/>
      <c r="O87" s="19"/>
    </row>
    <row r="88" spans="1:17" ht="15.75" thickBot="1">
      <c r="A88" s="2"/>
      <c r="B88" s="2"/>
      <c r="C88" s="2"/>
      <c r="D88" s="2"/>
      <c r="E88" s="2"/>
      <c r="F88" s="2"/>
      <c r="G88" s="2"/>
      <c r="H88" s="2"/>
      <c r="I88" s="2"/>
      <c r="J88" s="2"/>
      <c r="K88" s="2"/>
      <c r="L88" s="2"/>
      <c r="M88" s="19"/>
      <c r="N88" s="19"/>
      <c r="O88" s="19"/>
    </row>
    <row r="89" spans="1:17">
      <c r="A89" s="441" t="s">
        <v>223</v>
      </c>
      <c r="B89" s="300" t="s">
        <v>224</v>
      </c>
      <c r="C89" s="300" t="s">
        <v>225</v>
      </c>
      <c r="D89" s="103" t="s">
        <v>226</v>
      </c>
      <c r="E89" s="15"/>
      <c r="F89" s="15"/>
      <c r="G89" s="15"/>
      <c r="H89" s="525"/>
      <c r="I89" s="2"/>
      <c r="J89" s="2"/>
      <c r="K89" s="2"/>
      <c r="L89" s="2"/>
      <c r="M89" s="19"/>
      <c r="N89" s="19"/>
      <c r="O89" s="19"/>
    </row>
    <row r="90" spans="1:17" ht="15.75" thickBot="1">
      <c r="A90" s="326" t="s">
        <v>227</v>
      </c>
      <c r="B90" s="212">
        <v>4</v>
      </c>
      <c r="C90" s="212">
        <v>4</v>
      </c>
      <c r="D90" s="212">
        <f>B90-C90</f>
        <v>0</v>
      </c>
      <c r="E90" s="15"/>
      <c r="F90" s="15"/>
      <c r="G90" s="15"/>
      <c r="H90" s="525"/>
      <c r="I90" s="2"/>
      <c r="J90" s="2"/>
      <c r="K90" s="2"/>
      <c r="L90" s="2"/>
      <c r="M90" s="19"/>
      <c r="N90" s="19"/>
      <c r="O90" s="19"/>
    </row>
    <row r="91" spans="1:17" ht="15.75" thickBot="1">
      <c r="A91" s="326" t="s">
        <v>228</v>
      </c>
      <c r="B91" s="601">
        <v>2</v>
      </c>
      <c r="C91" s="212">
        <v>2</v>
      </c>
      <c r="D91" s="212">
        <v>0</v>
      </c>
      <c r="E91" s="15"/>
      <c r="F91" s="15"/>
      <c r="G91" s="15"/>
      <c r="H91" s="525"/>
      <c r="I91" s="2"/>
      <c r="J91" s="2"/>
      <c r="K91" s="2"/>
      <c r="L91" s="2"/>
      <c r="M91" s="19"/>
      <c r="N91" s="19"/>
      <c r="O91" s="19"/>
    </row>
    <row r="92" spans="1:17" ht="15.75" thickBot="1">
      <c r="A92" s="326" t="s">
        <v>229</v>
      </c>
      <c r="B92" s="601">
        <v>16</v>
      </c>
      <c r="C92" s="212">
        <v>13</v>
      </c>
      <c r="D92" s="212">
        <v>3</v>
      </c>
      <c r="E92" s="216"/>
      <c r="F92" s="526"/>
      <c r="G92" s="15"/>
      <c r="H92" s="240"/>
      <c r="I92" s="2"/>
      <c r="J92" s="2"/>
      <c r="K92" s="2"/>
      <c r="L92" s="2"/>
      <c r="M92" s="19"/>
      <c r="N92" s="19"/>
      <c r="O92" s="19"/>
    </row>
    <row r="93" spans="1:17">
      <c r="A93" s="2"/>
      <c r="B93" s="527"/>
      <c r="C93" s="527"/>
      <c r="D93" s="527"/>
      <c r="E93" s="2"/>
      <c r="F93" s="2"/>
      <c r="G93" s="2"/>
      <c r="H93" s="2"/>
      <c r="I93" s="2"/>
      <c r="J93" s="2"/>
      <c r="K93" s="2"/>
      <c r="L93" s="2"/>
      <c r="M93" s="19"/>
      <c r="N93" s="19"/>
      <c r="O93" s="19"/>
    </row>
    <row r="94" spans="1:17" ht="18.75">
      <c r="A94" s="96" t="s">
        <v>230</v>
      </c>
      <c r="B94" s="2"/>
      <c r="C94" s="2"/>
      <c r="D94" s="2"/>
      <c r="E94" s="2"/>
      <c r="F94" s="2"/>
      <c r="G94" s="2"/>
      <c r="H94" s="2"/>
      <c r="I94" s="2"/>
      <c r="J94" s="2"/>
      <c r="K94" s="2"/>
      <c r="L94" s="2"/>
      <c r="M94" s="19"/>
      <c r="N94" s="19"/>
      <c r="O94" s="19"/>
    </row>
    <row r="95" spans="1:17" ht="15.75" thickBot="1">
      <c r="A95" s="2"/>
      <c r="B95" s="2"/>
      <c r="C95" s="2"/>
      <c r="D95" s="2"/>
      <c r="E95" s="2"/>
      <c r="F95" s="2"/>
      <c r="G95" s="2"/>
      <c r="H95" s="2"/>
      <c r="I95" s="2"/>
      <c r="J95" s="2"/>
      <c r="K95" s="2"/>
      <c r="L95" s="2"/>
      <c r="M95" s="19"/>
      <c r="N95" s="19"/>
      <c r="O95" s="19"/>
    </row>
    <row r="96" spans="1:17" ht="30">
      <c r="A96" s="455"/>
      <c r="B96" s="471" t="s">
        <v>231</v>
      </c>
      <c r="C96" s="472" t="s">
        <v>232</v>
      </c>
      <c r="D96" s="472" t="s">
        <v>233</v>
      </c>
      <c r="E96" s="473" t="s">
        <v>234</v>
      </c>
      <c r="F96" s="474" t="s">
        <v>235</v>
      </c>
      <c r="G96" s="220"/>
      <c r="H96" s="525"/>
      <c r="I96" s="2"/>
      <c r="J96" s="2"/>
      <c r="K96" s="2"/>
      <c r="L96" s="2"/>
      <c r="M96" s="19"/>
      <c r="N96" s="19"/>
      <c r="O96" s="19"/>
    </row>
    <row r="97" spans="1:34" ht="15.75" thickBot="1">
      <c r="A97" s="475" t="s">
        <v>236</v>
      </c>
      <c r="B97" s="442">
        <v>22</v>
      </c>
      <c r="C97" s="443">
        <v>22</v>
      </c>
      <c r="D97" s="443">
        <v>22</v>
      </c>
      <c r="E97" s="443">
        <v>22</v>
      </c>
      <c r="F97" s="443">
        <v>22</v>
      </c>
      <c r="G97" s="241"/>
      <c r="H97" s="229"/>
      <c r="I97" s="2"/>
      <c r="J97" s="2"/>
      <c r="K97" s="2"/>
      <c r="L97" s="2"/>
      <c r="M97" s="19"/>
      <c r="N97" s="19"/>
      <c r="O97" s="19"/>
    </row>
    <row r="98" spans="1:34" ht="15.75" thickBot="1">
      <c r="A98" s="476" t="s">
        <v>237</v>
      </c>
      <c r="B98" s="550">
        <v>3</v>
      </c>
      <c r="C98" s="443">
        <v>11</v>
      </c>
      <c r="D98" s="443">
        <v>11</v>
      </c>
      <c r="E98" s="443">
        <v>11</v>
      </c>
      <c r="F98" s="477">
        <v>11</v>
      </c>
      <c r="G98" s="241"/>
      <c r="H98" s="229"/>
      <c r="I98" s="2"/>
      <c r="J98" s="2"/>
      <c r="K98" s="2"/>
      <c r="L98" s="2"/>
      <c r="M98" s="19"/>
      <c r="N98" s="19"/>
      <c r="O98" s="19"/>
    </row>
    <row r="99" spans="1:34">
      <c r="A99" s="2"/>
      <c r="B99" s="2"/>
      <c r="C99" s="2"/>
      <c r="D99" s="2"/>
      <c r="E99" s="2"/>
      <c r="F99" s="2"/>
      <c r="G99" s="2"/>
      <c r="I99" s="2"/>
      <c r="J99" s="2"/>
      <c r="K99" s="2"/>
      <c r="L99" s="2"/>
      <c r="M99" s="19"/>
      <c r="N99" s="19"/>
      <c r="O99" s="19"/>
    </row>
    <row r="100" spans="1:34" ht="18.75">
      <c r="A100" s="96" t="s">
        <v>238</v>
      </c>
      <c r="B100" s="2"/>
      <c r="C100" s="2"/>
      <c r="D100" s="2"/>
      <c r="E100" s="2"/>
      <c r="F100" s="2"/>
      <c r="G100" s="2"/>
      <c r="H100" s="2"/>
      <c r="I100" s="2"/>
      <c r="J100" s="2"/>
      <c r="K100" s="2"/>
      <c r="L100" s="2"/>
      <c r="M100" s="19"/>
      <c r="N100" s="19"/>
      <c r="O100" s="19"/>
    </row>
    <row r="101" spans="1:34" ht="15.75" thickBot="1">
      <c r="A101" s="2"/>
      <c r="B101" s="2"/>
      <c r="C101" s="2"/>
      <c r="D101" s="2"/>
      <c r="E101" s="2"/>
      <c r="F101" s="2"/>
      <c r="G101" s="2"/>
      <c r="H101" s="2"/>
      <c r="I101" s="2"/>
      <c r="J101" s="2"/>
      <c r="K101" s="2"/>
      <c r="L101" s="2"/>
      <c r="M101" s="19"/>
      <c r="N101" s="19"/>
      <c r="O101" s="19"/>
    </row>
    <row r="102" spans="1:34" ht="27.75" customHeight="1">
      <c r="A102" s="455"/>
      <c r="B102" s="456" t="s">
        <v>239</v>
      </c>
      <c r="C102" s="456" t="s">
        <v>240</v>
      </c>
      <c r="D102" s="457" t="s">
        <v>241</v>
      </c>
      <c r="E102" s="2"/>
      <c r="F102" s="2"/>
      <c r="G102" s="2"/>
      <c r="H102" s="2"/>
      <c r="I102" s="19"/>
      <c r="J102" s="19"/>
      <c r="K102" s="19"/>
      <c r="M102"/>
      <c r="N102" s="19"/>
      <c r="AE102" s="33"/>
      <c r="AH102"/>
    </row>
    <row r="103" spans="1:34" ht="27.75" customHeight="1">
      <c r="A103" s="458" t="s">
        <v>242</v>
      </c>
      <c r="B103" s="212">
        <v>0</v>
      </c>
      <c r="C103" s="214">
        <v>0</v>
      </c>
      <c r="D103" s="459">
        <v>0</v>
      </c>
      <c r="E103" s="2"/>
      <c r="F103" s="2"/>
      <c r="G103" s="2"/>
      <c r="H103" s="2"/>
      <c r="I103" s="19"/>
      <c r="J103" s="19"/>
      <c r="K103" s="19"/>
      <c r="M103"/>
      <c r="N103" s="19"/>
      <c r="AE103" s="33"/>
      <c r="AH103"/>
    </row>
    <row r="104" spans="1:34" ht="27.75" customHeight="1">
      <c r="A104" s="458" t="s">
        <v>243</v>
      </c>
      <c r="B104" s="212">
        <v>28</v>
      </c>
      <c r="C104" s="214">
        <v>28</v>
      </c>
      <c r="D104" s="459">
        <f>B104-C104</f>
        <v>0</v>
      </c>
      <c r="E104" s="2"/>
      <c r="F104" s="2"/>
      <c r="G104" s="2"/>
      <c r="H104" s="2"/>
      <c r="I104" s="19"/>
      <c r="J104" s="19"/>
      <c r="K104" s="19"/>
      <c r="M104"/>
      <c r="N104" s="19"/>
      <c r="AE104" s="33"/>
      <c r="AH104"/>
    </row>
    <row r="105" spans="1:34">
      <c r="A105" s="458" t="s">
        <v>244</v>
      </c>
      <c r="B105" s="212"/>
      <c r="C105" s="214"/>
      <c r="D105" s="459">
        <f t="shared" ref="D105:D106" si="1">B105-C105</f>
        <v>0</v>
      </c>
      <c r="E105" s="2"/>
      <c r="F105" s="2"/>
      <c r="G105" s="2"/>
      <c r="H105" s="2"/>
      <c r="I105" s="19"/>
      <c r="J105" s="19"/>
      <c r="K105" s="19"/>
      <c r="M105"/>
      <c r="N105" s="19"/>
      <c r="AE105" s="33"/>
      <c r="AH105"/>
    </row>
    <row r="106" spans="1:34" ht="15.75" thickBot="1">
      <c r="A106" s="460" t="s">
        <v>245</v>
      </c>
      <c r="B106" s="461">
        <v>11</v>
      </c>
      <c r="C106" s="462">
        <v>11</v>
      </c>
      <c r="D106" s="463">
        <f t="shared" si="1"/>
        <v>0</v>
      </c>
      <c r="E106" s="2"/>
      <c r="F106" s="2"/>
      <c r="G106" s="2"/>
      <c r="H106" s="2"/>
      <c r="I106" s="19"/>
      <c r="J106" s="19"/>
      <c r="K106" s="19"/>
      <c r="M106"/>
      <c r="N106" s="19"/>
      <c r="AE106" s="33"/>
      <c r="AH106"/>
    </row>
    <row r="107" spans="1:34">
      <c r="A107" s="2"/>
      <c r="B107" s="2"/>
      <c r="C107" s="2"/>
      <c r="D107" s="2"/>
      <c r="E107" s="2"/>
      <c r="F107" s="2"/>
      <c r="G107" s="2"/>
      <c r="H107" s="2"/>
      <c r="I107" s="2"/>
      <c r="J107" s="2"/>
      <c r="K107" s="2"/>
      <c r="L107" s="2"/>
      <c r="M107" s="19"/>
      <c r="N107" s="19"/>
      <c r="O107" s="19"/>
    </row>
    <row r="108" spans="1:34" ht="18.75">
      <c r="A108" s="96" t="s">
        <v>246</v>
      </c>
      <c r="B108" s="2"/>
      <c r="C108" s="2"/>
      <c r="D108" s="2"/>
      <c r="E108" s="2"/>
      <c r="F108" s="2"/>
      <c r="G108" s="2"/>
      <c r="H108" s="2"/>
      <c r="I108" s="2"/>
      <c r="J108" s="2"/>
      <c r="K108" s="2"/>
      <c r="L108" s="2"/>
      <c r="M108" s="19"/>
      <c r="N108" s="19"/>
      <c r="O108" s="19"/>
    </row>
    <row r="109" spans="1:34" ht="15.75" thickBot="1">
      <c r="A109" s="2"/>
      <c r="B109" s="2"/>
      <c r="C109" s="2"/>
      <c r="D109" s="2"/>
      <c r="E109" s="2"/>
      <c r="F109" s="2"/>
      <c r="G109" s="2"/>
      <c r="H109" s="15"/>
      <c r="I109" s="15"/>
      <c r="J109" s="15"/>
      <c r="K109" s="15"/>
      <c r="L109" s="15"/>
      <c r="M109" s="20"/>
      <c r="N109" s="20"/>
      <c r="O109" s="20"/>
    </row>
    <row r="110" spans="1:34">
      <c r="A110" s="379"/>
      <c r="B110" s="268" t="s">
        <v>150</v>
      </c>
      <c r="C110" s="268" t="s">
        <v>151</v>
      </c>
      <c r="D110" s="268" t="s">
        <v>135</v>
      </c>
      <c r="E110" s="268" t="s">
        <v>152</v>
      </c>
      <c r="F110" s="268" t="s">
        <v>153</v>
      </c>
      <c r="G110" s="268" t="s">
        <v>154</v>
      </c>
      <c r="H110" s="268" t="s">
        <v>155</v>
      </c>
      <c r="I110" s="268" t="s">
        <v>156</v>
      </c>
      <c r="J110" s="268" t="s">
        <v>157</v>
      </c>
      <c r="K110" s="268" t="s">
        <v>158</v>
      </c>
      <c r="L110" s="268" t="s">
        <v>159</v>
      </c>
      <c r="M110" s="464" t="s">
        <v>160</v>
      </c>
      <c r="N110" s="20"/>
      <c r="O110" s="20"/>
    </row>
    <row r="111" spans="1:34" ht="15" customHeight="1">
      <c r="A111" s="380" t="s">
        <v>247</v>
      </c>
      <c r="B111" s="451">
        <v>1337830.7</v>
      </c>
      <c r="C111" s="451">
        <v>2375665.38</v>
      </c>
      <c r="D111" s="451">
        <v>6080776.7599999998</v>
      </c>
      <c r="E111" s="260"/>
      <c r="F111" s="260"/>
      <c r="G111" s="260"/>
      <c r="H111" s="260"/>
      <c r="I111" s="260"/>
      <c r="J111" s="260"/>
      <c r="K111" s="260"/>
      <c r="L111" s="260"/>
      <c r="M111" s="465"/>
      <c r="N111" s="20"/>
      <c r="O111" s="20"/>
    </row>
    <row r="112" spans="1:34" ht="15" customHeight="1">
      <c r="A112" s="380" t="s">
        <v>248</v>
      </c>
      <c r="B112" s="451">
        <v>2863012.59</v>
      </c>
      <c r="C112" s="451">
        <v>3484983.39</v>
      </c>
      <c r="D112" s="451">
        <v>3308441.31</v>
      </c>
      <c r="E112" s="260"/>
      <c r="F112" s="260"/>
      <c r="G112" s="260"/>
      <c r="H112" s="260"/>
      <c r="I112" s="260"/>
      <c r="J112" s="260"/>
      <c r="K112" s="260"/>
      <c r="L112" s="260"/>
      <c r="M112" s="465"/>
      <c r="N112" s="20"/>
      <c r="O112" s="20"/>
    </row>
    <row r="113" spans="1:36" ht="15" customHeight="1">
      <c r="A113" s="380" t="s">
        <v>249</v>
      </c>
      <c r="B113" s="451">
        <v>1337830.7</v>
      </c>
      <c r="C113" s="451">
        <v>2375665.38</v>
      </c>
      <c r="D113" s="451">
        <v>2146116.73</v>
      </c>
      <c r="E113" s="260"/>
      <c r="F113" s="260"/>
      <c r="G113" s="260"/>
      <c r="H113" s="260"/>
      <c r="I113" s="260"/>
      <c r="J113" s="260"/>
      <c r="K113" s="260"/>
      <c r="L113" s="260"/>
      <c r="M113" s="465"/>
      <c r="N113" s="20"/>
      <c r="O113" s="20"/>
    </row>
    <row r="114" spans="1:36" ht="15" customHeight="1">
      <c r="A114" s="381" t="s">
        <v>250</v>
      </c>
      <c r="B114" s="452">
        <f>B111</f>
        <v>1337830.7</v>
      </c>
      <c r="C114" s="452">
        <f>B114+C111</f>
        <v>3713496.08</v>
      </c>
      <c r="D114" s="452">
        <f>C114+D111</f>
        <v>9794272.8399999999</v>
      </c>
      <c r="E114" s="261"/>
      <c r="F114" s="261">
        <f>F111</f>
        <v>0</v>
      </c>
      <c r="G114" s="261"/>
      <c r="H114" s="261"/>
      <c r="I114" s="261"/>
      <c r="J114" s="261"/>
      <c r="K114" s="261"/>
      <c r="L114" s="261"/>
      <c r="M114" s="466"/>
      <c r="N114" s="20"/>
      <c r="O114" s="20"/>
    </row>
    <row r="115" spans="1:36" ht="15" customHeight="1">
      <c r="A115" s="381" t="s">
        <v>251</v>
      </c>
      <c r="B115" s="452">
        <v>2863012.59</v>
      </c>
      <c r="C115" s="452">
        <f>C112</f>
        <v>3484983.39</v>
      </c>
      <c r="D115" s="452">
        <f>D112</f>
        <v>3308441.31</v>
      </c>
      <c r="E115" s="261">
        <f>E112</f>
        <v>0</v>
      </c>
      <c r="F115" s="261">
        <f>F112</f>
        <v>0</v>
      </c>
      <c r="G115" s="261"/>
      <c r="H115" s="261"/>
      <c r="I115" s="261"/>
      <c r="J115" s="261"/>
      <c r="K115" s="261"/>
      <c r="L115" s="261"/>
      <c r="M115" s="466"/>
      <c r="N115" s="20"/>
      <c r="O115" s="20"/>
    </row>
    <row r="116" spans="1:36">
      <c r="A116" s="467" t="s">
        <v>252</v>
      </c>
      <c r="B116" s="468">
        <v>1337830.7</v>
      </c>
      <c r="C116" s="468">
        <f>B113+C113</f>
        <v>3713496.08</v>
      </c>
      <c r="D116" s="468">
        <f>C113+D113+B113</f>
        <v>5859612.8099999996</v>
      </c>
      <c r="E116" s="469"/>
      <c r="F116" s="261">
        <f>F113</f>
        <v>0</v>
      </c>
      <c r="G116" s="469"/>
      <c r="H116" s="469"/>
      <c r="I116" s="469"/>
      <c r="J116" s="469"/>
      <c r="K116" s="469"/>
      <c r="L116" s="469"/>
      <c r="M116" s="470"/>
      <c r="N116" s="20"/>
      <c r="O116" s="20"/>
    </row>
    <row r="117" spans="1:36">
      <c r="A117" s="3"/>
      <c r="B117" s="2"/>
      <c r="C117" s="2"/>
      <c r="D117" s="2"/>
      <c r="E117" s="2"/>
      <c r="F117" s="2"/>
      <c r="G117" s="2"/>
      <c r="H117" s="15"/>
      <c r="I117" s="104"/>
      <c r="J117" s="528"/>
      <c r="K117" s="15"/>
      <c r="L117" s="105"/>
      <c r="M117" s="20"/>
      <c r="N117" s="20"/>
      <c r="O117" s="20"/>
    </row>
    <row r="118" spans="1:36">
      <c r="A118" s="2" t="s">
        <v>253</v>
      </c>
      <c r="B118" s="2"/>
      <c r="C118" s="2"/>
      <c r="D118" s="2"/>
      <c r="E118" s="2"/>
      <c r="F118" s="2"/>
      <c r="G118" s="2"/>
      <c r="H118" s="15"/>
      <c r="I118" s="104"/>
      <c r="J118" s="528"/>
      <c r="K118" s="15"/>
      <c r="L118" s="105"/>
      <c r="M118" s="20"/>
      <c r="N118" s="20"/>
      <c r="O118" s="20"/>
    </row>
    <row r="119" spans="1:36">
      <c r="B119" s="2"/>
      <c r="C119" s="2"/>
      <c r="D119" s="2"/>
      <c r="E119" s="2"/>
      <c r="F119" s="2"/>
      <c r="G119" s="2"/>
      <c r="H119" s="15"/>
      <c r="I119" s="104"/>
      <c r="J119" s="105"/>
      <c r="K119" s="15"/>
      <c r="L119" s="105"/>
      <c r="M119" s="20"/>
      <c r="N119" s="20"/>
      <c r="O119" s="20"/>
    </row>
    <row r="120" spans="1:36">
      <c r="A120" s="3"/>
      <c r="B120" s="3"/>
      <c r="C120" s="3"/>
      <c r="D120" s="3"/>
      <c r="E120" s="3"/>
      <c r="F120" s="3"/>
      <c r="G120" s="3"/>
      <c r="H120" s="15"/>
      <c r="I120" s="15"/>
      <c r="J120" s="15"/>
      <c r="K120" s="15"/>
      <c r="L120" s="15"/>
      <c r="M120" s="20"/>
      <c r="N120" s="20"/>
      <c r="O120" s="20"/>
    </row>
    <row r="121" spans="1:36" ht="19.5" thickBot="1">
      <c r="A121" s="96" t="s">
        <v>254</v>
      </c>
      <c r="B121" s="3"/>
      <c r="C121" s="3"/>
      <c r="D121" s="3"/>
      <c r="E121" s="3"/>
      <c r="F121" s="3"/>
      <c r="G121" s="3"/>
      <c r="H121" s="15"/>
      <c r="I121" s="15"/>
      <c r="J121" s="15"/>
      <c r="K121" s="15"/>
      <c r="L121" s="15"/>
      <c r="M121" s="20"/>
      <c r="N121" s="20"/>
      <c r="O121" s="20"/>
    </row>
    <row r="122" spans="1:36" ht="115.5">
      <c r="A122" s="478" t="s">
        <v>255</v>
      </c>
      <c r="B122" s="479" t="s">
        <v>256</v>
      </c>
      <c r="C122" s="480" t="s">
        <v>257</v>
      </c>
      <c r="D122" s="480" t="s">
        <v>258</v>
      </c>
      <c r="E122" s="481" t="s">
        <v>259</v>
      </c>
      <c r="F122" s="482" t="s">
        <v>260</v>
      </c>
      <c r="G122" s="912" t="s">
        <v>261</v>
      </c>
      <c r="H122" s="913"/>
      <c r="I122" s="480" t="s">
        <v>262</v>
      </c>
      <c r="J122" s="480" t="s">
        <v>263</v>
      </c>
      <c r="K122" s="483" t="s">
        <v>264</v>
      </c>
      <c r="L122" s="2"/>
      <c r="M122" s="20"/>
      <c r="N122" s="20"/>
      <c r="O122" s="20"/>
      <c r="P122" s="19"/>
      <c r="R122" s="20"/>
      <c r="AF122"/>
      <c r="AG122"/>
      <c r="AI122" s="33"/>
      <c r="AJ122" s="33"/>
    </row>
    <row r="123" spans="1:36">
      <c r="A123" s="674"/>
      <c r="B123" s="675"/>
      <c r="C123" s="676"/>
      <c r="D123" s="676"/>
      <c r="E123" s="677"/>
      <c r="F123" s="678"/>
      <c r="G123" s="678" t="s">
        <v>123</v>
      </c>
      <c r="H123" s="679" t="s">
        <v>265</v>
      </c>
      <c r="I123" s="676"/>
      <c r="J123" s="676"/>
      <c r="K123" s="680"/>
      <c r="L123" s="2"/>
      <c r="M123" s="20"/>
      <c r="N123" s="20"/>
      <c r="O123" s="20"/>
      <c r="P123" s="19"/>
      <c r="R123" s="20"/>
      <c r="AF123"/>
      <c r="AG123"/>
      <c r="AI123" s="33"/>
      <c r="AJ123" s="33"/>
    </row>
    <row r="124" spans="1:36">
      <c r="A124" s="914" t="s">
        <v>266</v>
      </c>
      <c r="B124" s="502" t="s">
        <v>267</v>
      </c>
      <c r="C124" s="555">
        <v>2</v>
      </c>
      <c r="D124" s="505">
        <f t="shared" ref="D124:D136" si="2">IF(ISBLANK(C124),"",C124*30)</f>
        <v>60</v>
      </c>
      <c r="E124" s="556">
        <v>17</v>
      </c>
      <c r="F124" s="506">
        <f>E124*D124</f>
        <v>1020</v>
      </c>
      <c r="G124" s="557">
        <v>2423</v>
      </c>
      <c r="H124" s="557"/>
      <c r="I124" s="507">
        <f t="shared" ref="I124:I141" si="3">G124/F124</f>
        <v>2.3754901960784314</v>
      </c>
      <c r="J124" s="508">
        <v>3</v>
      </c>
      <c r="K124" s="509">
        <f t="shared" ref="K124:K138" si="4">IF(AND(I124&gt;0,J124&gt;0),I124-J124,"")</f>
        <v>-0.62450980392156863</v>
      </c>
      <c r="L124" s="2"/>
      <c r="M124" s="20"/>
      <c r="N124" s="20"/>
      <c r="O124" s="20"/>
      <c r="P124" s="19"/>
      <c r="R124" s="20"/>
      <c r="AF124"/>
      <c r="AG124"/>
      <c r="AI124" s="33"/>
      <c r="AJ124" s="33"/>
    </row>
    <row r="125" spans="1:36">
      <c r="A125" s="915"/>
      <c r="B125" s="502" t="s">
        <v>268</v>
      </c>
      <c r="C125" s="555">
        <v>2</v>
      </c>
      <c r="D125" s="505">
        <f t="shared" si="2"/>
        <v>60</v>
      </c>
      <c r="E125" s="556">
        <v>30</v>
      </c>
      <c r="F125" s="506">
        <f t="shared" ref="F125:F135" si="5">E125*D125</f>
        <v>1800</v>
      </c>
      <c r="G125" s="557">
        <v>12719</v>
      </c>
      <c r="H125" s="557"/>
      <c r="I125" s="507">
        <f t="shared" si="3"/>
        <v>7.0661111111111108</v>
      </c>
      <c r="J125" s="508">
        <v>3</v>
      </c>
      <c r="K125" s="509">
        <f t="shared" si="4"/>
        <v>4.0661111111111108</v>
      </c>
      <c r="L125" s="2"/>
      <c r="M125" s="20"/>
      <c r="N125" s="20"/>
      <c r="O125" s="20"/>
      <c r="P125" s="19"/>
      <c r="R125" s="20"/>
      <c r="AF125"/>
      <c r="AG125"/>
      <c r="AI125" s="33"/>
      <c r="AJ125" s="33"/>
    </row>
    <row r="126" spans="1:36">
      <c r="A126" s="915"/>
      <c r="B126" s="502" t="s">
        <v>269</v>
      </c>
      <c r="C126" s="503">
        <v>2</v>
      </c>
      <c r="D126" s="505">
        <f t="shared" si="2"/>
        <v>60</v>
      </c>
      <c r="E126" s="556">
        <v>241</v>
      </c>
      <c r="F126" s="506">
        <f t="shared" si="5"/>
        <v>14460</v>
      </c>
      <c r="G126" s="557">
        <v>101023</v>
      </c>
      <c r="H126" s="557"/>
      <c r="I126" s="507">
        <f t="shared" si="3"/>
        <v>6.9863762102351314</v>
      </c>
      <c r="J126" s="508">
        <v>3</v>
      </c>
      <c r="K126" s="509">
        <f t="shared" si="4"/>
        <v>3.9863762102351314</v>
      </c>
      <c r="L126" s="2"/>
      <c r="M126" s="20"/>
      <c r="N126" s="20"/>
      <c r="O126" s="20"/>
      <c r="P126" s="19"/>
      <c r="R126" s="20"/>
      <c r="AF126"/>
      <c r="AG126"/>
      <c r="AI126" s="33"/>
      <c r="AJ126" s="33"/>
    </row>
    <row r="127" spans="1:36">
      <c r="A127" s="915"/>
      <c r="B127" s="502" t="s">
        <v>270</v>
      </c>
      <c r="C127" s="503">
        <v>3</v>
      </c>
      <c r="D127" s="505">
        <f t="shared" si="2"/>
        <v>90</v>
      </c>
      <c r="E127" s="556">
        <v>98</v>
      </c>
      <c r="F127" s="506">
        <f t="shared" si="5"/>
        <v>8820</v>
      </c>
      <c r="G127" s="557">
        <v>18000</v>
      </c>
      <c r="H127" s="557"/>
      <c r="I127" s="507">
        <f t="shared" si="3"/>
        <v>2.0408163265306123</v>
      </c>
      <c r="J127" s="508">
        <v>3</v>
      </c>
      <c r="K127" s="509">
        <f t="shared" si="4"/>
        <v>-0.95918367346938771</v>
      </c>
      <c r="L127" s="2"/>
      <c r="M127" s="20"/>
      <c r="N127" s="20"/>
      <c r="O127" s="20"/>
      <c r="P127" s="19"/>
      <c r="R127" s="20"/>
      <c r="AF127"/>
      <c r="AG127"/>
      <c r="AI127" s="33"/>
      <c r="AJ127" s="33"/>
    </row>
    <row r="128" spans="1:36">
      <c r="A128" s="915"/>
      <c r="B128" s="502" t="s">
        <v>271</v>
      </c>
      <c r="C128" s="503">
        <v>1</v>
      </c>
      <c r="D128" s="505">
        <f t="shared" si="2"/>
        <v>30</v>
      </c>
      <c r="E128" s="556">
        <v>67</v>
      </c>
      <c r="F128" s="506">
        <f t="shared" si="5"/>
        <v>2010</v>
      </c>
      <c r="G128" s="557">
        <v>12562</v>
      </c>
      <c r="H128" s="557"/>
      <c r="I128" s="507">
        <f t="shared" si="3"/>
        <v>6.2497512437810947</v>
      </c>
      <c r="J128" s="508">
        <v>3</v>
      </c>
      <c r="K128" s="509">
        <f t="shared" si="4"/>
        <v>3.2497512437810947</v>
      </c>
      <c r="L128" s="2"/>
      <c r="M128" s="20"/>
      <c r="N128" s="20"/>
      <c r="O128" s="20"/>
      <c r="P128" s="19"/>
      <c r="R128" s="20"/>
      <c r="AF128"/>
      <c r="AG128"/>
      <c r="AI128" s="33"/>
      <c r="AJ128" s="33"/>
    </row>
    <row r="129" spans="1:36">
      <c r="A129" s="915"/>
      <c r="B129" s="502" t="s">
        <v>272</v>
      </c>
      <c r="C129" s="503">
        <v>4</v>
      </c>
      <c r="D129" s="505">
        <f t="shared" si="2"/>
        <v>120</v>
      </c>
      <c r="E129" s="556">
        <v>161</v>
      </c>
      <c r="F129" s="506">
        <f t="shared" si="5"/>
        <v>19320</v>
      </c>
      <c r="G129" s="557">
        <v>23040</v>
      </c>
      <c r="H129" s="557"/>
      <c r="I129" s="507">
        <f t="shared" si="3"/>
        <v>1.1925465838509317</v>
      </c>
      <c r="J129" s="508">
        <v>3</v>
      </c>
      <c r="K129" s="509">
        <f t="shared" si="4"/>
        <v>-1.8074534161490683</v>
      </c>
      <c r="L129" s="2"/>
      <c r="M129" s="20"/>
      <c r="N129" s="20"/>
      <c r="O129" s="20"/>
      <c r="P129" s="19"/>
      <c r="R129" s="20"/>
      <c r="AF129"/>
      <c r="AG129"/>
      <c r="AI129" s="33"/>
      <c r="AJ129" s="33"/>
    </row>
    <row r="130" spans="1:36">
      <c r="A130" s="915"/>
      <c r="B130" s="502" t="s">
        <v>273</v>
      </c>
      <c r="C130" s="503">
        <v>2</v>
      </c>
      <c r="D130" s="505">
        <f t="shared" si="2"/>
        <v>60</v>
      </c>
      <c r="E130" s="556">
        <v>75</v>
      </c>
      <c r="F130" s="506">
        <f t="shared" si="5"/>
        <v>4500</v>
      </c>
      <c r="G130" s="557">
        <v>54370</v>
      </c>
      <c r="H130" s="557"/>
      <c r="I130" s="507">
        <f t="shared" si="3"/>
        <v>12.082222222222223</v>
      </c>
      <c r="J130" s="508">
        <v>3</v>
      </c>
      <c r="K130" s="509">
        <f t="shared" si="4"/>
        <v>9.0822222222222226</v>
      </c>
      <c r="L130" s="2"/>
      <c r="M130" s="20"/>
      <c r="N130" s="20"/>
      <c r="O130" s="20"/>
      <c r="P130" s="19"/>
      <c r="R130" s="20"/>
      <c r="AF130"/>
      <c r="AG130"/>
      <c r="AI130" s="33"/>
      <c r="AJ130" s="33"/>
    </row>
    <row r="131" spans="1:36">
      <c r="A131" s="915"/>
      <c r="B131" s="502" t="s">
        <v>274</v>
      </c>
      <c r="C131" s="503">
        <v>1</v>
      </c>
      <c r="D131" s="505">
        <f t="shared" si="2"/>
        <v>30</v>
      </c>
      <c r="E131" s="556">
        <v>1</v>
      </c>
      <c r="F131" s="506">
        <f t="shared" si="5"/>
        <v>30</v>
      </c>
      <c r="G131" s="557">
        <v>1590</v>
      </c>
      <c r="H131" s="557"/>
      <c r="I131" s="507">
        <f t="shared" si="3"/>
        <v>53</v>
      </c>
      <c r="J131" s="508">
        <v>3</v>
      </c>
      <c r="K131" s="509">
        <f t="shared" si="4"/>
        <v>50</v>
      </c>
      <c r="L131" s="2"/>
      <c r="M131" s="20"/>
      <c r="N131" s="20"/>
      <c r="O131" s="20"/>
      <c r="P131" s="19"/>
      <c r="R131" s="20"/>
      <c r="AF131"/>
      <c r="AG131"/>
      <c r="AI131" s="33"/>
      <c r="AJ131" s="33"/>
    </row>
    <row r="132" spans="1:36">
      <c r="A132" s="915"/>
      <c r="B132" s="502" t="s">
        <v>275</v>
      </c>
      <c r="C132" s="555">
        <v>1</v>
      </c>
      <c r="D132" s="505">
        <f t="shared" si="2"/>
        <v>30</v>
      </c>
      <c r="E132" s="556">
        <v>249</v>
      </c>
      <c r="F132" s="562">
        <f t="shared" si="5"/>
        <v>7470</v>
      </c>
      <c r="G132" s="557">
        <v>18687</v>
      </c>
      <c r="H132" s="557"/>
      <c r="I132" s="563">
        <f t="shared" si="3"/>
        <v>2.5016064257028114</v>
      </c>
      <c r="J132" s="504">
        <v>3</v>
      </c>
      <c r="K132" s="564">
        <f t="shared" si="4"/>
        <v>-0.49839357429718856</v>
      </c>
      <c r="L132" s="2"/>
      <c r="M132" s="20"/>
      <c r="N132" s="20"/>
      <c r="O132" s="20"/>
      <c r="P132" s="19"/>
      <c r="R132" s="20"/>
      <c r="AF132"/>
      <c r="AG132"/>
      <c r="AI132" s="33"/>
      <c r="AJ132" s="33"/>
    </row>
    <row r="133" spans="1:36">
      <c r="A133" s="915"/>
      <c r="B133" s="502" t="s">
        <v>276</v>
      </c>
      <c r="C133" s="555">
        <v>1</v>
      </c>
      <c r="D133" s="505">
        <f t="shared" si="2"/>
        <v>30</v>
      </c>
      <c r="E133" s="556">
        <v>2029</v>
      </c>
      <c r="F133" s="562">
        <f t="shared" si="5"/>
        <v>60870</v>
      </c>
      <c r="G133" s="557">
        <v>144200</v>
      </c>
      <c r="H133" s="557">
        <v>26875</v>
      </c>
      <c r="I133" s="507">
        <f>(G133+H133)/F133</f>
        <v>2.8104977821586989</v>
      </c>
      <c r="J133" s="504">
        <v>3</v>
      </c>
      <c r="K133" s="564">
        <f t="shared" si="4"/>
        <v>-0.18950221784130106</v>
      </c>
      <c r="L133" s="2"/>
      <c r="M133" s="20"/>
      <c r="N133" s="20"/>
      <c r="O133" s="20"/>
      <c r="P133" s="19"/>
      <c r="R133" s="20"/>
      <c r="AF133"/>
      <c r="AG133"/>
      <c r="AI133" s="33"/>
      <c r="AJ133" s="33"/>
    </row>
    <row r="134" spans="1:36">
      <c r="A134" s="915"/>
      <c r="B134" s="502" t="s">
        <v>277</v>
      </c>
      <c r="C134" s="508">
        <v>1</v>
      </c>
      <c r="D134" s="505">
        <f t="shared" si="2"/>
        <v>30</v>
      </c>
      <c r="E134" s="681">
        <v>172</v>
      </c>
      <c r="F134" s="562">
        <f t="shared" si="5"/>
        <v>5160</v>
      </c>
      <c r="G134" s="557">
        <v>19313</v>
      </c>
      <c r="H134" s="557"/>
      <c r="I134" s="563">
        <f t="shared" si="3"/>
        <v>3.742829457364341</v>
      </c>
      <c r="J134" s="504">
        <v>3</v>
      </c>
      <c r="K134" s="564">
        <f t="shared" si="4"/>
        <v>0.74282945736434103</v>
      </c>
      <c r="L134" s="2"/>
      <c r="M134" s="20"/>
      <c r="N134" s="20"/>
      <c r="O134" s="20"/>
      <c r="P134" s="19"/>
      <c r="R134" s="20"/>
      <c r="AF134"/>
      <c r="AG134"/>
      <c r="AI134" s="33"/>
      <c r="AJ134" s="33"/>
    </row>
    <row r="135" spans="1:36">
      <c r="A135" s="915"/>
      <c r="B135" s="502" t="s">
        <v>278</v>
      </c>
      <c r="C135" s="508">
        <v>6</v>
      </c>
      <c r="D135" s="505">
        <f>IF(ISBLANK(C135),"",C135*30)</f>
        <v>180</v>
      </c>
      <c r="E135" s="681">
        <v>20</v>
      </c>
      <c r="F135" s="506">
        <f t="shared" si="5"/>
        <v>3600</v>
      </c>
      <c r="G135" s="557">
        <v>32170</v>
      </c>
      <c r="H135" s="557"/>
      <c r="I135" s="507">
        <f t="shared" si="3"/>
        <v>8.9361111111111118</v>
      </c>
      <c r="J135" s="508">
        <v>3</v>
      </c>
      <c r="K135" s="509">
        <f t="shared" si="4"/>
        <v>5.9361111111111118</v>
      </c>
      <c r="L135" s="2"/>
      <c r="M135" s="20"/>
      <c r="N135" s="20"/>
      <c r="O135" s="20"/>
      <c r="P135" s="19"/>
      <c r="R135" s="20"/>
      <c r="AF135"/>
      <c r="AG135"/>
      <c r="AI135" s="33"/>
      <c r="AJ135" s="33"/>
    </row>
    <row r="136" spans="1:36" s="60" customFormat="1">
      <c r="A136" s="915"/>
      <c r="B136" s="502" t="s">
        <v>279</v>
      </c>
      <c r="C136" s="504">
        <v>4</v>
      </c>
      <c r="D136" s="505">
        <f t="shared" si="2"/>
        <v>120</v>
      </c>
      <c r="E136" s="681">
        <v>13</v>
      </c>
      <c r="F136" s="506">
        <f>E136*D136</f>
        <v>1560</v>
      </c>
      <c r="G136" s="557">
        <v>8075</v>
      </c>
      <c r="H136" s="557"/>
      <c r="I136" s="507">
        <f t="shared" si="3"/>
        <v>5.1762820512820511</v>
      </c>
      <c r="J136" s="508">
        <v>3</v>
      </c>
      <c r="K136" s="509">
        <f t="shared" si="4"/>
        <v>2.1762820512820511</v>
      </c>
      <c r="L136" s="558"/>
      <c r="M136" s="559"/>
      <c r="N136" s="559"/>
      <c r="O136" s="559"/>
      <c r="P136" s="560"/>
      <c r="R136" s="559"/>
      <c r="AH136" s="561"/>
      <c r="AI136" s="561"/>
      <c r="AJ136" s="561"/>
    </row>
    <row r="137" spans="1:36">
      <c r="A137" s="915"/>
      <c r="B137" s="502" t="s">
        <v>280</v>
      </c>
      <c r="C137" s="504"/>
      <c r="D137" s="505">
        <v>2</v>
      </c>
      <c r="E137" s="681">
        <v>2</v>
      </c>
      <c r="F137" s="506">
        <f>E137*D137</f>
        <v>4</v>
      </c>
      <c r="G137" s="557">
        <v>12</v>
      </c>
      <c r="H137" s="557"/>
      <c r="I137" s="507">
        <f t="shared" si="3"/>
        <v>3</v>
      </c>
      <c r="J137" s="508">
        <v>3</v>
      </c>
      <c r="K137" s="509">
        <f t="shared" si="4"/>
        <v>0</v>
      </c>
      <c r="L137" s="2"/>
      <c r="M137" s="20"/>
      <c r="N137" s="20"/>
      <c r="O137" s="20"/>
      <c r="P137" s="19"/>
      <c r="R137" s="20"/>
      <c r="AF137"/>
      <c r="AG137"/>
      <c r="AI137" s="33"/>
      <c r="AJ137" s="33"/>
    </row>
    <row r="138" spans="1:36">
      <c r="A138" s="915"/>
      <c r="B138" s="502" t="s">
        <v>281</v>
      </c>
      <c r="C138" s="504">
        <v>4</v>
      </c>
      <c r="D138" s="505">
        <f>IF(ISBLANK(C138),"",C138*30)</f>
        <v>120</v>
      </c>
      <c r="E138" s="681">
        <v>4</v>
      </c>
      <c r="F138" s="506">
        <f>E138*D138</f>
        <v>480</v>
      </c>
      <c r="G138" s="557">
        <v>11520</v>
      </c>
      <c r="H138" s="557"/>
      <c r="I138" s="507">
        <f t="shared" si="3"/>
        <v>24</v>
      </c>
      <c r="J138" s="508">
        <v>3</v>
      </c>
      <c r="K138" s="509">
        <f t="shared" si="4"/>
        <v>21</v>
      </c>
      <c r="L138" s="2"/>
      <c r="M138" s="20"/>
      <c r="N138" s="20"/>
      <c r="O138" s="20"/>
      <c r="P138" s="19"/>
      <c r="R138" s="20"/>
      <c r="AF138"/>
      <c r="AG138"/>
      <c r="AI138" s="33"/>
      <c r="AJ138" s="33"/>
    </row>
    <row r="139" spans="1:36">
      <c r="A139" s="915"/>
      <c r="B139" s="510" t="s">
        <v>282</v>
      </c>
      <c r="C139" s="504">
        <v>6</v>
      </c>
      <c r="D139" s="505">
        <f>IF(ISBLANK(C139),"",C139*30)</f>
        <v>180</v>
      </c>
      <c r="E139" s="681">
        <v>2</v>
      </c>
      <c r="F139" s="506">
        <f>E139*D139</f>
        <v>360</v>
      </c>
      <c r="G139" s="557">
        <v>13560</v>
      </c>
      <c r="H139" s="557"/>
      <c r="I139" s="507">
        <f t="shared" si="3"/>
        <v>37.666666666666664</v>
      </c>
      <c r="J139" s="508">
        <v>3</v>
      </c>
      <c r="K139" s="509">
        <f>IF(AND(I139&gt;0,J139&gt;0),I139-J139,"")</f>
        <v>34.666666666666664</v>
      </c>
      <c r="L139" s="2"/>
      <c r="M139" s="20"/>
      <c r="N139" s="20"/>
      <c r="O139" s="20"/>
      <c r="P139" s="19"/>
      <c r="R139" s="20"/>
      <c r="AF139"/>
      <c r="AG139"/>
      <c r="AI139" s="33"/>
      <c r="AJ139" s="33"/>
    </row>
    <row r="140" spans="1:36">
      <c r="A140" s="915"/>
      <c r="B140" s="502" t="s">
        <v>283</v>
      </c>
      <c r="C140" s="504">
        <v>1</v>
      </c>
      <c r="D140" s="505">
        <v>30</v>
      </c>
      <c r="E140" s="681">
        <v>140</v>
      </c>
      <c r="F140" s="506">
        <f t="shared" ref="F140:F143" si="6">E140*D140</f>
        <v>4200</v>
      </c>
      <c r="G140" s="557">
        <v>38800</v>
      </c>
      <c r="H140" s="557"/>
      <c r="I140" s="507">
        <f t="shared" si="3"/>
        <v>9.2380952380952372</v>
      </c>
      <c r="J140" s="508">
        <v>3</v>
      </c>
      <c r="K140" s="509">
        <f t="shared" ref="K140:K143" si="7">IF(AND(I140&gt;0,J140&gt;0),I140-J140,"")</f>
        <v>6.2380952380952372</v>
      </c>
      <c r="L140" s="2"/>
      <c r="M140" s="20"/>
      <c r="N140" s="20"/>
      <c r="O140" s="20"/>
      <c r="P140" s="19"/>
      <c r="R140" s="20"/>
      <c r="AF140"/>
      <c r="AG140"/>
      <c r="AI140" s="33"/>
      <c r="AJ140" s="33"/>
    </row>
    <row r="141" spans="1:36">
      <c r="A141" s="915"/>
      <c r="B141" s="502" t="s">
        <v>284</v>
      </c>
      <c r="C141" s="504">
        <v>2</v>
      </c>
      <c r="D141" s="505">
        <f>IF(ISBLANK(C141),"",C141*30)</f>
        <v>60</v>
      </c>
      <c r="E141" s="681">
        <v>1</v>
      </c>
      <c r="F141" s="506">
        <f t="shared" si="6"/>
        <v>60</v>
      </c>
      <c r="G141" s="557">
        <v>4960</v>
      </c>
      <c r="H141" s="557"/>
      <c r="I141" s="507">
        <f t="shared" si="3"/>
        <v>82.666666666666671</v>
      </c>
      <c r="J141" s="508">
        <v>3</v>
      </c>
      <c r="K141" s="509">
        <f t="shared" si="7"/>
        <v>79.666666666666671</v>
      </c>
      <c r="L141" s="2"/>
      <c r="M141" s="20"/>
      <c r="N141" s="20"/>
      <c r="O141" s="20"/>
      <c r="P141" s="19"/>
      <c r="R141" s="20"/>
      <c r="AF141"/>
      <c r="AG141"/>
      <c r="AI141" s="33"/>
      <c r="AJ141" s="33"/>
    </row>
    <row r="142" spans="1:36">
      <c r="A142" s="915"/>
      <c r="B142" s="502" t="s">
        <v>285</v>
      </c>
      <c r="C142" s="504">
        <v>1</v>
      </c>
      <c r="D142" s="505">
        <v>30</v>
      </c>
      <c r="E142" s="681">
        <v>1334</v>
      </c>
      <c r="F142" s="506">
        <f>E142*D142</f>
        <v>40020</v>
      </c>
      <c r="G142" s="557">
        <v>51143</v>
      </c>
      <c r="H142" s="557">
        <v>685311</v>
      </c>
      <c r="I142" s="507">
        <f>(G142+H142)/F142</f>
        <v>18.402148925537233</v>
      </c>
      <c r="J142" s="508">
        <v>3</v>
      </c>
      <c r="K142" s="509">
        <f t="shared" si="7"/>
        <v>15.402148925537233</v>
      </c>
      <c r="L142" s="20"/>
      <c r="M142" s="20"/>
      <c r="N142" s="20"/>
      <c r="O142" s="19"/>
      <c r="Q142" s="20"/>
      <c r="AF142"/>
      <c r="AI142" s="33"/>
    </row>
    <row r="143" spans="1:36">
      <c r="A143" s="916"/>
      <c r="B143" s="510" t="s">
        <v>286</v>
      </c>
      <c r="C143" s="504">
        <v>1</v>
      </c>
      <c r="D143" s="505">
        <v>30</v>
      </c>
      <c r="E143" s="681">
        <v>139</v>
      </c>
      <c r="F143" s="506">
        <f t="shared" si="6"/>
        <v>4170</v>
      </c>
      <c r="G143" s="557">
        <v>10720</v>
      </c>
      <c r="H143" s="557"/>
      <c r="I143" s="507">
        <f t="shared" ref="I143" si="8">G143/F143</f>
        <v>2.5707434052757794</v>
      </c>
      <c r="J143" s="508">
        <v>3</v>
      </c>
      <c r="K143" s="509">
        <f t="shared" si="7"/>
        <v>-0.42925659472422062</v>
      </c>
      <c r="L143" s="20"/>
      <c r="M143" s="20"/>
      <c r="N143" s="20"/>
      <c r="O143" s="19"/>
      <c r="Q143" s="20"/>
      <c r="AF143"/>
      <c r="AI143" s="33"/>
    </row>
    <row r="144" spans="1:36">
      <c r="A144" s="917" t="s">
        <v>228</v>
      </c>
      <c r="B144" s="490" t="s">
        <v>287</v>
      </c>
      <c r="C144" s="493">
        <v>1</v>
      </c>
      <c r="D144" s="494">
        <v>26</v>
      </c>
      <c r="E144" s="495">
        <v>150</v>
      </c>
      <c r="F144" s="496">
        <f>C144*D144*E144</f>
        <v>3900</v>
      </c>
      <c r="G144" s="495">
        <v>23564</v>
      </c>
      <c r="H144" s="497">
        <f t="shared" ref="H144:H161" si="9">G144/F144</f>
        <v>6.0420512820512817</v>
      </c>
      <c r="I144" s="498">
        <v>3</v>
      </c>
      <c r="J144" s="499">
        <f>H144-I144</f>
        <v>3.0420512820512817</v>
      </c>
      <c r="K144" s="2"/>
      <c r="L144" s="20"/>
      <c r="M144" s="20"/>
      <c r="N144" s="20"/>
      <c r="O144" s="19"/>
      <c r="Q144" s="20"/>
      <c r="AF144"/>
      <c r="AI144" s="33"/>
    </row>
    <row r="145" spans="1:35">
      <c r="A145" s="918"/>
      <c r="B145" s="383" t="s">
        <v>288</v>
      </c>
      <c r="C145" s="500">
        <v>1</v>
      </c>
      <c r="D145" s="501">
        <v>26</v>
      </c>
      <c r="E145" s="495">
        <v>111</v>
      </c>
      <c r="F145" s="496">
        <f t="shared" ref="F145:F159" si="10">C145*D145*E145</f>
        <v>2886</v>
      </c>
      <c r="G145" s="495">
        <v>47449</v>
      </c>
      <c r="H145" s="497">
        <f t="shared" si="9"/>
        <v>16.441094941094942</v>
      </c>
      <c r="I145" s="498">
        <v>3</v>
      </c>
      <c r="J145" s="499">
        <f t="shared" ref="J145:J161" si="11">H145-I145</f>
        <v>13.441094941094942</v>
      </c>
      <c r="K145" s="2"/>
      <c r="L145" s="20"/>
      <c r="M145" s="20"/>
      <c r="N145" s="20"/>
      <c r="O145" s="19"/>
      <c r="Q145" s="20"/>
      <c r="AF145"/>
      <c r="AI145" s="33"/>
    </row>
    <row r="146" spans="1:35">
      <c r="A146" s="918"/>
      <c r="B146" s="383" t="s">
        <v>289</v>
      </c>
      <c r="C146" s="565">
        <v>2</v>
      </c>
      <c r="D146" s="566">
        <v>30</v>
      </c>
      <c r="E146" s="567">
        <v>90</v>
      </c>
      <c r="F146" s="568">
        <f t="shared" si="10"/>
        <v>5400</v>
      </c>
      <c r="G146" s="567">
        <v>62705</v>
      </c>
      <c r="H146" s="569">
        <f t="shared" si="9"/>
        <v>11.612037037037037</v>
      </c>
      <c r="I146" s="570">
        <v>3</v>
      </c>
      <c r="J146" s="571">
        <f t="shared" si="11"/>
        <v>8.6120370370370374</v>
      </c>
      <c r="K146" s="2"/>
      <c r="L146" s="20"/>
      <c r="M146" s="20"/>
      <c r="N146" s="20"/>
      <c r="O146" s="19"/>
      <c r="Q146" s="20"/>
      <c r="AF146"/>
      <c r="AI146" s="33"/>
    </row>
    <row r="147" spans="1:35">
      <c r="A147" s="918"/>
      <c r="B147" s="383" t="s">
        <v>290</v>
      </c>
      <c r="C147" s="565">
        <v>2</v>
      </c>
      <c r="D147" s="566">
        <v>30</v>
      </c>
      <c r="E147" s="567">
        <v>16</v>
      </c>
      <c r="F147" s="568">
        <f t="shared" ref="F147" si="12">C147*D147*E147</f>
        <v>960</v>
      </c>
      <c r="G147" s="567">
        <v>52377</v>
      </c>
      <c r="H147" s="569">
        <f t="shared" ref="H147" si="13">G147/F147</f>
        <v>54.559375000000003</v>
      </c>
      <c r="I147" s="570">
        <v>3</v>
      </c>
      <c r="J147" s="571">
        <f t="shared" ref="J147" si="14">H147-I147</f>
        <v>51.559375000000003</v>
      </c>
      <c r="K147" s="2"/>
      <c r="L147" s="20"/>
      <c r="M147" s="20"/>
      <c r="N147" s="20"/>
      <c r="O147" s="19"/>
      <c r="Q147" s="20"/>
      <c r="AF147"/>
      <c r="AI147" s="33"/>
    </row>
    <row r="148" spans="1:35">
      <c r="A148" s="918"/>
      <c r="B148" s="383" t="s">
        <v>291</v>
      </c>
      <c r="C148" s="565">
        <v>3</v>
      </c>
      <c r="D148" s="566">
        <v>30</v>
      </c>
      <c r="E148" s="567">
        <v>956</v>
      </c>
      <c r="F148" s="568">
        <f t="shared" si="10"/>
        <v>86040</v>
      </c>
      <c r="G148" s="567">
        <v>970850</v>
      </c>
      <c r="H148" s="569">
        <f t="shared" si="9"/>
        <v>11.283705253370526</v>
      </c>
      <c r="I148" s="570">
        <v>3</v>
      </c>
      <c r="J148" s="571">
        <f t="shared" si="11"/>
        <v>8.2837052533705258</v>
      </c>
      <c r="K148" s="2"/>
      <c r="L148" s="20"/>
      <c r="M148" s="20"/>
      <c r="N148" s="20"/>
      <c r="O148" s="19"/>
      <c r="Q148" s="20"/>
      <c r="AF148"/>
      <c r="AI148" s="33"/>
    </row>
    <row r="149" spans="1:35">
      <c r="A149" s="918"/>
      <c r="B149" s="383" t="s">
        <v>292</v>
      </c>
      <c r="C149" s="565">
        <v>4</v>
      </c>
      <c r="D149" s="566">
        <v>30</v>
      </c>
      <c r="E149" s="567">
        <v>548</v>
      </c>
      <c r="F149" s="568">
        <f t="shared" si="10"/>
        <v>65760</v>
      </c>
      <c r="G149" s="567">
        <v>307103</v>
      </c>
      <c r="H149" s="569">
        <f t="shared" si="9"/>
        <v>4.6700577858880781</v>
      </c>
      <c r="I149" s="570">
        <v>3</v>
      </c>
      <c r="J149" s="571">
        <f t="shared" si="11"/>
        <v>1.6700577858880781</v>
      </c>
      <c r="K149" s="2"/>
      <c r="L149" s="20"/>
      <c r="M149" s="20"/>
      <c r="N149" s="20"/>
      <c r="O149" s="19"/>
      <c r="Q149" s="20"/>
      <c r="AF149"/>
      <c r="AI149" s="33"/>
    </row>
    <row r="150" spans="1:35">
      <c r="A150" s="918"/>
      <c r="B150" s="383" t="s">
        <v>293</v>
      </c>
      <c r="C150" s="565">
        <v>2</v>
      </c>
      <c r="D150" s="566">
        <v>30</v>
      </c>
      <c r="E150" s="567">
        <v>105</v>
      </c>
      <c r="F150" s="568">
        <f t="shared" si="10"/>
        <v>6300</v>
      </c>
      <c r="G150" s="567">
        <v>116645</v>
      </c>
      <c r="H150" s="569">
        <f t="shared" si="9"/>
        <v>18.515079365079366</v>
      </c>
      <c r="I150" s="570">
        <v>3</v>
      </c>
      <c r="J150" s="571">
        <f t="shared" si="11"/>
        <v>15.515079365079366</v>
      </c>
      <c r="K150" s="2"/>
      <c r="L150" s="20"/>
      <c r="M150" s="20"/>
      <c r="N150" s="20"/>
      <c r="O150" s="19"/>
      <c r="Q150" s="20"/>
      <c r="AF150"/>
      <c r="AI150" s="33"/>
    </row>
    <row r="151" spans="1:35">
      <c r="A151" s="918"/>
      <c r="B151" s="383" t="s">
        <v>294</v>
      </c>
      <c r="C151" s="565">
        <v>4</v>
      </c>
      <c r="D151" s="566">
        <v>30</v>
      </c>
      <c r="E151" s="567">
        <v>1275</v>
      </c>
      <c r="F151" s="568">
        <f t="shared" si="10"/>
        <v>153000</v>
      </c>
      <c r="G151" s="567">
        <v>1207747</v>
      </c>
      <c r="H151" s="569">
        <f t="shared" si="9"/>
        <v>7.8937712418300654</v>
      </c>
      <c r="I151" s="570">
        <v>3</v>
      </c>
      <c r="J151" s="571">
        <f t="shared" si="11"/>
        <v>4.8937712418300654</v>
      </c>
      <c r="K151" s="2"/>
      <c r="L151" s="20"/>
      <c r="M151" s="20"/>
      <c r="N151" s="20"/>
      <c r="O151" s="19"/>
      <c r="Q151" s="20"/>
      <c r="AF151"/>
      <c r="AI151" s="33"/>
    </row>
    <row r="152" spans="1:35">
      <c r="A152" s="918"/>
      <c r="B152" s="383" t="s">
        <v>295</v>
      </c>
      <c r="C152" s="565">
        <v>1</v>
      </c>
      <c r="D152" s="566">
        <v>30</v>
      </c>
      <c r="E152" s="567">
        <v>349</v>
      </c>
      <c r="F152" s="568">
        <f t="shared" si="10"/>
        <v>10470</v>
      </c>
      <c r="G152" s="567">
        <v>94993</v>
      </c>
      <c r="H152" s="569">
        <f t="shared" si="9"/>
        <v>9.0728748806112698</v>
      </c>
      <c r="I152" s="570">
        <v>3</v>
      </c>
      <c r="J152" s="571">
        <f t="shared" si="11"/>
        <v>6.0728748806112698</v>
      </c>
      <c r="K152" s="2"/>
      <c r="L152" s="20"/>
      <c r="M152" s="20"/>
      <c r="N152" s="20"/>
      <c r="O152" s="19"/>
      <c r="Q152" s="20"/>
      <c r="AF152"/>
      <c r="AI152" s="33"/>
    </row>
    <row r="153" spans="1:35">
      <c r="A153" s="918"/>
      <c r="B153" s="384" t="s">
        <v>296</v>
      </c>
      <c r="C153" s="565">
        <v>2</v>
      </c>
      <c r="D153" s="566">
        <v>30</v>
      </c>
      <c r="E153" s="567">
        <v>91</v>
      </c>
      <c r="F153" s="568">
        <f t="shared" si="10"/>
        <v>5460</v>
      </c>
      <c r="G153" s="567">
        <v>202149</v>
      </c>
      <c r="H153" s="569">
        <f t="shared" si="9"/>
        <v>37.023626373626371</v>
      </c>
      <c r="I153" s="570">
        <v>3</v>
      </c>
      <c r="J153" s="571">
        <f t="shared" si="11"/>
        <v>34.023626373626371</v>
      </c>
      <c r="K153" s="2"/>
      <c r="L153" s="20"/>
      <c r="M153" s="20"/>
      <c r="N153" s="20"/>
      <c r="O153" s="19"/>
      <c r="Q153" s="20"/>
      <c r="AF153"/>
      <c r="AI153" s="33"/>
    </row>
    <row r="154" spans="1:35">
      <c r="A154" s="918"/>
      <c r="B154" s="384" t="s">
        <v>297</v>
      </c>
      <c r="C154" s="565">
        <v>3</v>
      </c>
      <c r="D154" s="566">
        <v>30</v>
      </c>
      <c r="E154" s="567">
        <v>479</v>
      </c>
      <c r="F154" s="568">
        <f t="shared" si="10"/>
        <v>43110</v>
      </c>
      <c r="G154" s="567">
        <v>935575</v>
      </c>
      <c r="H154" s="569">
        <f t="shared" si="9"/>
        <v>21.702041289723962</v>
      </c>
      <c r="I154" s="570">
        <v>3</v>
      </c>
      <c r="J154" s="571">
        <f t="shared" si="11"/>
        <v>18.702041289723962</v>
      </c>
      <c r="K154" s="2"/>
      <c r="L154" s="20"/>
      <c r="M154" s="20"/>
      <c r="N154" s="20"/>
      <c r="O154" s="19"/>
      <c r="Q154" s="20"/>
      <c r="AF154"/>
      <c r="AI154" s="33"/>
    </row>
    <row r="155" spans="1:35">
      <c r="A155" s="918"/>
      <c r="B155" s="572" t="s">
        <v>298</v>
      </c>
      <c r="C155" s="565">
        <v>4</v>
      </c>
      <c r="D155" s="566">
        <v>30</v>
      </c>
      <c r="E155" s="567">
        <v>395</v>
      </c>
      <c r="F155" s="568">
        <f t="shared" si="10"/>
        <v>47400</v>
      </c>
      <c r="G155" s="567">
        <v>161223</v>
      </c>
      <c r="H155" s="569">
        <f t="shared" si="9"/>
        <v>3.4013291139240507</v>
      </c>
      <c r="I155" s="570">
        <v>3</v>
      </c>
      <c r="J155" s="571">
        <f t="shared" si="11"/>
        <v>0.40132911392405068</v>
      </c>
      <c r="K155" s="2"/>
      <c r="L155" s="20"/>
      <c r="M155" s="20"/>
      <c r="N155" s="20"/>
      <c r="O155" s="19"/>
      <c r="Q155" s="20"/>
      <c r="AF155"/>
      <c r="AI155" s="33"/>
    </row>
    <row r="156" spans="1:35">
      <c r="A156" s="918"/>
      <c r="B156" s="573" t="s">
        <v>299</v>
      </c>
      <c r="C156" s="574">
        <v>5</v>
      </c>
      <c r="D156" s="566">
        <v>30</v>
      </c>
      <c r="E156" s="567">
        <v>997</v>
      </c>
      <c r="F156" s="568">
        <f t="shared" si="10"/>
        <v>149550</v>
      </c>
      <c r="G156" s="567">
        <v>1922189</v>
      </c>
      <c r="H156" s="569">
        <f t="shared" si="9"/>
        <v>12.853152791708458</v>
      </c>
      <c r="I156" s="570">
        <v>3</v>
      </c>
      <c r="J156" s="571">
        <f t="shared" si="11"/>
        <v>9.8531527917084585</v>
      </c>
      <c r="K156" s="2"/>
      <c r="L156" s="20"/>
      <c r="M156" s="20"/>
      <c r="N156" s="20"/>
      <c r="O156" s="19"/>
      <c r="Q156" s="20"/>
      <c r="AF156"/>
      <c r="AI156" s="33"/>
    </row>
    <row r="157" spans="1:35">
      <c r="A157" s="918"/>
      <c r="B157" s="573" t="s">
        <v>300</v>
      </c>
      <c r="C157" s="574">
        <v>1</v>
      </c>
      <c r="D157" s="566">
        <v>30</v>
      </c>
      <c r="E157" s="567">
        <v>1376</v>
      </c>
      <c r="F157" s="568">
        <f t="shared" si="10"/>
        <v>41280</v>
      </c>
      <c r="G157" s="567">
        <v>432777</v>
      </c>
      <c r="H157" s="569">
        <f t="shared" si="9"/>
        <v>10.483938953488373</v>
      </c>
      <c r="I157" s="570">
        <v>3</v>
      </c>
      <c r="J157" s="571">
        <f t="shared" si="11"/>
        <v>7.4839389534883729</v>
      </c>
      <c r="K157" s="2"/>
      <c r="L157" s="20"/>
      <c r="M157" s="20"/>
      <c r="N157" s="20"/>
      <c r="O157" s="19"/>
      <c r="Q157" s="20"/>
      <c r="AF157"/>
      <c r="AI157" s="33"/>
    </row>
    <row r="158" spans="1:35">
      <c r="A158" s="918"/>
      <c r="B158" s="573" t="s">
        <v>301</v>
      </c>
      <c r="C158" s="574">
        <v>4</v>
      </c>
      <c r="D158" s="566">
        <v>30</v>
      </c>
      <c r="E158" s="575">
        <v>16</v>
      </c>
      <c r="F158" s="568">
        <f t="shared" si="10"/>
        <v>1920</v>
      </c>
      <c r="G158" s="576">
        <v>266</v>
      </c>
      <c r="H158" s="569">
        <f t="shared" si="9"/>
        <v>0.13854166666666667</v>
      </c>
      <c r="I158" s="570">
        <v>3</v>
      </c>
      <c r="J158" s="571">
        <f t="shared" si="11"/>
        <v>-2.8614583333333332</v>
      </c>
      <c r="K158" s="2"/>
      <c r="L158" s="20"/>
      <c r="M158" s="20"/>
      <c r="N158" s="20"/>
      <c r="O158" s="19"/>
      <c r="Q158" s="20"/>
      <c r="AF158"/>
      <c r="AI158" s="33"/>
    </row>
    <row r="159" spans="1:35">
      <c r="A159" s="918"/>
      <c r="B159" s="573" t="s">
        <v>302</v>
      </c>
      <c r="C159" s="574">
        <v>1</v>
      </c>
      <c r="D159" s="566">
        <v>30</v>
      </c>
      <c r="E159" s="575">
        <v>831</v>
      </c>
      <c r="F159" s="568">
        <f t="shared" si="10"/>
        <v>24930</v>
      </c>
      <c r="G159" s="576">
        <v>142784</v>
      </c>
      <c r="H159" s="569">
        <f t="shared" si="9"/>
        <v>5.7273967107902122</v>
      </c>
      <c r="I159" s="570">
        <v>3</v>
      </c>
      <c r="J159" s="571">
        <f t="shared" si="11"/>
        <v>2.7273967107902122</v>
      </c>
      <c r="K159" s="2"/>
      <c r="L159" s="20"/>
      <c r="M159" s="20"/>
      <c r="N159" s="20"/>
      <c r="O159" s="19"/>
      <c r="Q159" s="20"/>
      <c r="AF159"/>
      <c r="AI159" s="33"/>
    </row>
    <row r="160" spans="1:35">
      <c r="A160" s="918"/>
      <c r="B160" s="573" t="s">
        <v>303</v>
      </c>
      <c r="C160" s="574">
        <v>1</v>
      </c>
      <c r="D160" s="577">
        <v>26</v>
      </c>
      <c r="E160" s="578">
        <v>539</v>
      </c>
      <c r="F160" s="579">
        <f>C160*D160*E160</f>
        <v>14014</v>
      </c>
      <c r="G160" s="580">
        <v>312114</v>
      </c>
      <c r="H160" s="581">
        <f t="shared" ref="H160" si="15">G160/F160</f>
        <v>22.271585557299844</v>
      </c>
      <c r="I160" s="582">
        <v>3</v>
      </c>
      <c r="J160" s="583">
        <f t="shared" ref="J160" si="16">H160-I160</f>
        <v>19.271585557299844</v>
      </c>
      <c r="K160" s="2"/>
      <c r="L160" s="20"/>
      <c r="M160" s="20"/>
      <c r="N160" s="20"/>
      <c r="O160" s="19"/>
      <c r="Q160" s="20"/>
      <c r="AF160"/>
      <c r="AI160" s="33"/>
    </row>
    <row r="161" spans="1:35" ht="15.75" thickBot="1">
      <c r="A161" s="918"/>
      <c r="B161" s="584" t="s">
        <v>304</v>
      </c>
      <c r="C161" s="585">
        <v>4</v>
      </c>
      <c r="D161" s="586">
        <v>26</v>
      </c>
      <c r="E161" s="587">
        <v>78</v>
      </c>
      <c r="F161" s="588">
        <f>C161*D161*E161</f>
        <v>8112</v>
      </c>
      <c r="G161" s="589">
        <v>106065</v>
      </c>
      <c r="H161" s="590">
        <f t="shared" si="9"/>
        <v>13.075073964497042</v>
      </c>
      <c r="I161" s="591">
        <v>3</v>
      </c>
      <c r="J161" s="592">
        <f t="shared" si="11"/>
        <v>10.075073964497042</v>
      </c>
      <c r="K161" s="2"/>
      <c r="L161" s="20"/>
      <c r="M161" s="20"/>
      <c r="N161" s="20"/>
      <c r="O161" s="19"/>
      <c r="AF161"/>
      <c r="AI161" s="33"/>
    </row>
    <row r="162" spans="1:35">
      <c r="K162" s="2"/>
      <c r="L162" s="20"/>
      <c r="M162" s="20"/>
      <c r="N162" s="20"/>
      <c r="O162" s="19"/>
      <c r="Q162" s="20"/>
      <c r="AF162"/>
      <c r="AI162" s="33"/>
    </row>
    <row r="163" spans="1:35">
      <c r="K163" s="2"/>
      <c r="L163" s="20"/>
      <c r="M163" s="20"/>
      <c r="N163" s="20"/>
      <c r="O163" s="19"/>
      <c r="Q163" s="20"/>
      <c r="AF163"/>
      <c r="AI163" s="33"/>
    </row>
    <row r="164" spans="1:35">
      <c r="A164" s="3"/>
      <c r="K164" s="2"/>
      <c r="L164" s="15"/>
      <c r="M164" s="20"/>
      <c r="N164" s="20"/>
      <c r="O164" s="20"/>
      <c r="P164" s="19"/>
    </row>
    <row r="165" spans="1:35" ht="15.75" thickBot="1">
      <c r="A165" s="3"/>
      <c r="K165" s="2"/>
      <c r="L165" s="2"/>
      <c r="M165" s="20"/>
      <c r="N165" s="20"/>
      <c r="O165" s="20"/>
      <c r="P165" s="19"/>
    </row>
    <row r="166" spans="1:35" ht="19.5" thickBot="1">
      <c r="A166" s="203" t="s">
        <v>305</v>
      </c>
      <c r="B166" s="15"/>
      <c r="C166" s="15"/>
      <c r="D166" s="15"/>
      <c r="E166" s="15"/>
      <c r="F166" s="2"/>
      <c r="G166" s="2"/>
      <c r="H166" s="2"/>
      <c r="I166" s="15"/>
      <c r="J166" s="2"/>
      <c r="K166" s="15"/>
      <c r="L166" s="411"/>
      <c r="M166" s="412"/>
      <c r="N166" s="411"/>
      <c r="O166" s="413"/>
      <c r="P166" s="33"/>
    </row>
    <row r="167" spans="1:35" ht="15.75" thickBot="1">
      <c r="A167" s="3"/>
      <c r="B167" s="3"/>
      <c r="C167" s="3"/>
      <c r="D167" s="3"/>
      <c r="E167" s="3"/>
      <c r="F167" s="2"/>
      <c r="G167" s="2"/>
      <c r="H167" s="2" t="str">
        <f>IF(AND(F167&gt;0,G167&gt;0),G167/F167,"")</f>
        <v/>
      </c>
      <c r="I167" s="3"/>
      <c r="J167" s="3"/>
      <c r="K167" s="2"/>
      <c r="L167" s="3"/>
      <c r="M167"/>
      <c r="N167"/>
      <c r="O167" s="33"/>
      <c r="P167" s="33"/>
    </row>
    <row r="168" spans="1:35" ht="19.5" thickBot="1">
      <c r="A168" s="620" t="s">
        <v>38</v>
      </c>
      <c r="B168" s="106"/>
      <c r="C168" s="106"/>
      <c r="D168" s="107"/>
      <c r="E168" s="107"/>
      <c r="F168" s="107"/>
      <c r="G168" s="208"/>
      <c r="H168" s="204"/>
      <c r="I168" s="252"/>
      <c r="J168" s="409" t="s">
        <v>306</v>
      </c>
      <c r="K168" s="410"/>
      <c r="L168" s="276" t="s">
        <v>154</v>
      </c>
      <c r="M168" s="276" t="s">
        <v>155</v>
      </c>
      <c r="N168" s="276" t="s">
        <v>156</v>
      </c>
      <c r="O168" s="276" t="s">
        <v>157</v>
      </c>
      <c r="P168" s="276" t="s">
        <v>158</v>
      </c>
      <c r="Q168" s="276" t="s">
        <v>159</v>
      </c>
      <c r="R168" s="60"/>
    </row>
    <row r="169" spans="1:35" ht="39.75" customHeight="1" thickBot="1">
      <c r="A169" s="623" t="s">
        <v>41</v>
      </c>
      <c r="B169" s="3"/>
      <c r="C169" s="3"/>
      <c r="D169" s="3"/>
      <c r="E169" s="3"/>
      <c r="F169" s="3"/>
      <c r="G169" s="3"/>
      <c r="H169" s="3"/>
      <c r="I169" s="3"/>
      <c r="J169" s="3"/>
      <c r="K169" s="3"/>
      <c r="L169" s="415"/>
      <c r="M169" s="415"/>
      <c r="N169" s="416"/>
      <c r="O169" s="417"/>
      <c r="P169" s="417"/>
      <c r="Q169" s="418"/>
      <c r="R169" s="60"/>
    </row>
    <row r="170" spans="1:35" ht="40.5" customHeight="1">
      <c r="A170" s="626"/>
      <c r="B170" s="621"/>
      <c r="C170" s="622"/>
      <c r="D170" s="244" t="s">
        <v>307</v>
      </c>
      <c r="E170" s="305" t="s">
        <v>308</v>
      </c>
      <c r="F170" s="206"/>
      <c r="G170" s="276" t="s">
        <v>150</v>
      </c>
      <c r="H170" s="276" t="s">
        <v>151</v>
      </c>
      <c r="I170" s="276" t="s">
        <v>135</v>
      </c>
      <c r="J170" s="276" t="s">
        <v>152</v>
      </c>
      <c r="K170" s="276" t="s">
        <v>153</v>
      </c>
      <c r="L170" s="415"/>
      <c r="M170" s="415"/>
      <c r="N170" s="416"/>
      <c r="O170" s="417"/>
      <c r="P170" s="417"/>
      <c r="Q170" s="418"/>
      <c r="R170" s="60"/>
    </row>
    <row r="171" spans="1:35" ht="42" customHeight="1">
      <c r="A171" s="602" t="s">
        <v>45</v>
      </c>
      <c r="B171" s="624"/>
      <c r="C171" s="625"/>
      <c r="D171" s="857" t="s">
        <v>309</v>
      </c>
      <c r="E171" s="907" t="s">
        <v>310</v>
      </c>
      <c r="F171" s="414" t="s">
        <v>311</v>
      </c>
      <c r="G171" s="415">
        <v>16250</v>
      </c>
      <c r="H171" s="415">
        <v>16875</v>
      </c>
      <c r="I171" s="418">
        <v>17500</v>
      </c>
      <c r="J171" s="415"/>
      <c r="K171" s="415"/>
      <c r="L171" s="421"/>
      <c r="M171" s="421"/>
      <c r="N171" s="422"/>
      <c r="O171" s="423"/>
      <c r="P171" s="423"/>
      <c r="Q171" s="424"/>
      <c r="R171" s="60"/>
    </row>
    <row r="172" spans="1:35" ht="48" customHeight="1">
      <c r="A172" s="602"/>
      <c r="B172" s="627"/>
      <c r="C172" s="628"/>
      <c r="D172" s="857"/>
      <c r="E172" s="907"/>
      <c r="F172" s="414" t="s">
        <v>312</v>
      </c>
      <c r="G172" s="415">
        <v>16530</v>
      </c>
      <c r="H172" s="415">
        <v>15835</v>
      </c>
      <c r="I172" s="418">
        <v>16195</v>
      </c>
      <c r="J172" s="415"/>
      <c r="K172" s="415"/>
      <c r="L172" s="422"/>
      <c r="M172" s="422"/>
      <c r="N172" s="422"/>
      <c r="O172" s="423"/>
      <c r="P172" s="423"/>
      <c r="Q172" s="424"/>
      <c r="R172" s="60"/>
    </row>
    <row r="173" spans="1:35" ht="42" customHeight="1">
      <c r="A173" s="611" t="s">
        <v>313</v>
      </c>
      <c r="B173" s="603"/>
      <c r="C173" s="604"/>
      <c r="D173" s="860" t="s">
        <v>309</v>
      </c>
      <c r="E173" s="908" t="s">
        <v>310</v>
      </c>
      <c r="F173" s="419" t="s">
        <v>311</v>
      </c>
      <c r="G173" s="415">
        <v>4373</v>
      </c>
      <c r="H173" s="554">
        <v>5123</v>
      </c>
      <c r="I173" s="424">
        <v>5873</v>
      </c>
      <c r="J173" s="421"/>
      <c r="K173" s="421"/>
      <c r="L173" s="415"/>
      <c r="M173" s="415"/>
      <c r="N173" s="416"/>
      <c r="O173" s="417"/>
      <c r="P173" s="417"/>
      <c r="Q173" s="418"/>
      <c r="R173" s="60"/>
    </row>
    <row r="174" spans="1:35" ht="38.25" customHeight="1">
      <c r="A174" s="611"/>
      <c r="B174" s="603"/>
      <c r="C174" s="604"/>
      <c r="D174" s="860"/>
      <c r="E174" s="908"/>
      <c r="F174" s="419" t="s">
        <v>312</v>
      </c>
      <c r="G174" s="415">
        <v>3718</v>
      </c>
      <c r="H174" s="415">
        <v>3762</v>
      </c>
      <c r="I174" s="424">
        <v>4058</v>
      </c>
      <c r="J174" s="422"/>
      <c r="K174" s="422"/>
      <c r="L174" s="415"/>
      <c r="M174" s="415"/>
      <c r="N174" s="416"/>
      <c r="O174" s="417"/>
      <c r="P174" s="417"/>
      <c r="Q174" s="418"/>
      <c r="R174" s="60"/>
    </row>
    <row r="175" spans="1:35" ht="39.75" customHeight="1">
      <c r="A175" s="602" t="s">
        <v>52</v>
      </c>
      <c r="B175" s="612"/>
      <c r="C175" s="613"/>
      <c r="D175" s="857" t="s">
        <v>309</v>
      </c>
      <c r="E175" s="907" t="s">
        <v>310</v>
      </c>
      <c r="F175" s="414" t="s">
        <v>311</v>
      </c>
      <c r="G175" s="548">
        <v>0.54900000000000004</v>
      </c>
      <c r="H175" s="417"/>
      <c r="I175" s="548">
        <v>0.67</v>
      </c>
      <c r="J175" s="415"/>
      <c r="K175" s="425"/>
      <c r="L175" s="426"/>
      <c r="M175" s="427"/>
      <c r="N175" s="427"/>
      <c r="O175" s="427"/>
      <c r="P175" s="428"/>
      <c r="Q175" s="429"/>
      <c r="R175" s="60"/>
    </row>
    <row r="176" spans="1:35" ht="39.75" customHeight="1">
      <c r="A176" s="602"/>
      <c r="B176" s="612"/>
      <c r="C176" s="613"/>
      <c r="D176" s="857"/>
      <c r="E176" s="907"/>
      <c r="F176" s="414" t="s">
        <v>312</v>
      </c>
      <c r="G176" s="548">
        <v>0.68500000000000005</v>
      </c>
      <c r="H176" s="417"/>
      <c r="I176" s="548">
        <v>0.79700000000000004</v>
      </c>
      <c r="J176" s="415"/>
      <c r="K176" s="425"/>
      <c r="L176" s="426"/>
      <c r="M176" s="426"/>
      <c r="N176" s="427"/>
      <c r="O176" s="427"/>
      <c r="P176" s="428"/>
      <c r="Q176" s="429"/>
      <c r="R176" s="60"/>
    </row>
    <row r="177" spans="1:18" ht="39.75" customHeight="1">
      <c r="A177" s="611" t="s">
        <v>59</v>
      </c>
      <c r="B177" s="603"/>
      <c r="C177" s="604"/>
      <c r="D177" s="860" t="s">
        <v>309</v>
      </c>
      <c r="E177" s="908" t="s">
        <v>310</v>
      </c>
      <c r="F177" s="419" t="s">
        <v>311</v>
      </c>
      <c r="G177" s="428" t="s">
        <v>314</v>
      </c>
      <c r="H177" s="428" t="s">
        <v>315</v>
      </c>
      <c r="I177" s="428" t="s">
        <v>316</v>
      </c>
      <c r="J177" s="428"/>
      <c r="K177" s="428"/>
      <c r="L177" s="430"/>
      <c r="M177" s="430"/>
      <c r="N177" s="431"/>
      <c r="O177" s="432"/>
      <c r="P177" s="432"/>
      <c r="Q177" s="433"/>
      <c r="R177" s="60"/>
    </row>
    <row r="178" spans="1:18" ht="45" customHeight="1">
      <c r="A178" s="611"/>
      <c r="B178" s="603"/>
      <c r="C178" s="604"/>
      <c r="D178" s="860"/>
      <c r="E178" s="908"/>
      <c r="F178" s="419" t="s">
        <v>312</v>
      </c>
      <c r="G178" s="428" t="s">
        <v>317</v>
      </c>
      <c r="H178" s="428" t="s">
        <v>318</v>
      </c>
      <c r="I178" s="428" t="s">
        <v>319</v>
      </c>
      <c r="J178" s="428"/>
      <c r="K178" s="428"/>
      <c r="L178" s="430"/>
      <c r="M178" s="430"/>
      <c r="N178" s="431"/>
      <c r="O178" s="432"/>
      <c r="P178" s="432"/>
      <c r="Q178" s="433"/>
      <c r="R178" s="60"/>
    </row>
    <row r="179" spans="1:18" ht="39" customHeight="1">
      <c r="A179" s="602" t="s">
        <v>63</v>
      </c>
      <c r="B179" s="612"/>
      <c r="C179" s="613"/>
      <c r="D179" s="857" t="s">
        <v>309</v>
      </c>
      <c r="E179" s="907" t="s">
        <v>310</v>
      </c>
      <c r="F179" s="414" t="s">
        <v>311</v>
      </c>
      <c r="G179" s="432" t="s">
        <v>320</v>
      </c>
      <c r="H179" s="432" t="s">
        <v>321</v>
      </c>
      <c r="I179" s="432" t="s">
        <v>321</v>
      </c>
      <c r="J179" s="432"/>
      <c r="K179" s="432"/>
      <c r="L179" s="426"/>
      <c r="M179" s="426"/>
      <c r="N179" s="426"/>
      <c r="O179" s="428"/>
      <c r="P179" s="428"/>
      <c r="Q179" s="434"/>
      <c r="R179" s="60"/>
    </row>
    <row r="180" spans="1:18" ht="43.5" customHeight="1">
      <c r="A180" s="602"/>
      <c r="B180" s="612"/>
      <c r="C180" s="613"/>
      <c r="D180" s="857"/>
      <c r="E180" s="907"/>
      <c r="F180" s="414" t="s">
        <v>312</v>
      </c>
      <c r="G180" s="432" t="s">
        <v>322</v>
      </c>
      <c r="H180" s="432" t="s">
        <v>323</v>
      </c>
      <c r="I180" s="432" t="s">
        <v>324</v>
      </c>
      <c r="J180" s="432"/>
      <c r="K180" s="432"/>
      <c r="L180" s="420"/>
      <c r="M180" s="420"/>
      <c r="N180" s="426"/>
      <c r="O180" s="428"/>
      <c r="P180" s="428"/>
      <c r="Q180" s="434"/>
      <c r="R180" s="60"/>
    </row>
    <row r="181" spans="1:18" ht="40.5" customHeight="1">
      <c r="A181" s="611" t="s">
        <v>70</v>
      </c>
      <c r="B181" s="603"/>
      <c r="C181" s="604"/>
      <c r="D181" s="860" t="s">
        <v>309</v>
      </c>
      <c r="E181" s="908" t="s">
        <v>310</v>
      </c>
      <c r="F181" s="419" t="s">
        <v>311</v>
      </c>
      <c r="G181" s="428" t="s">
        <v>325</v>
      </c>
      <c r="H181" s="428" t="s">
        <v>326</v>
      </c>
      <c r="I181" s="428" t="s">
        <v>327</v>
      </c>
      <c r="J181" s="428"/>
      <c r="K181" s="428"/>
      <c r="L181" s="430"/>
      <c r="M181" s="430"/>
      <c r="N181" s="431"/>
      <c r="O181" s="432"/>
      <c r="P181" s="432"/>
      <c r="Q181" s="433"/>
      <c r="R181" s="60"/>
    </row>
    <row r="182" spans="1:18" ht="36.75" customHeight="1">
      <c r="A182" s="611"/>
      <c r="B182" s="603"/>
      <c r="C182" s="604"/>
      <c r="D182" s="860"/>
      <c r="E182" s="908"/>
      <c r="F182" s="419" t="s">
        <v>312</v>
      </c>
      <c r="G182" s="428" t="s">
        <v>328</v>
      </c>
      <c r="H182" s="428" t="s">
        <v>329</v>
      </c>
      <c r="I182" s="428" t="s">
        <v>330</v>
      </c>
      <c r="J182" s="428"/>
      <c r="K182" s="428"/>
      <c r="L182" s="430"/>
      <c r="M182" s="430"/>
      <c r="N182" s="431"/>
      <c r="O182" s="432"/>
      <c r="P182" s="432"/>
      <c r="Q182" s="430"/>
      <c r="R182" s="60"/>
    </row>
    <row r="183" spans="1:18" ht="36" customHeight="1">
      <c r="A183" s="602" t="s">
        <v>56</v>
      </c>
      <c r="B183" s="612"/>
      <c r="C183" s="613"/>
      <c r="D183" s="857" t="s">
        <v>331</v>
      </c>
      <c r="E183" s="907" t="s">
        <v>310</v>
      </c>
      <c r="F183" s="414" t="s">
        <v>311</v>
      </c>
      <c r="G183" s="432" t="s">
        <v>332</v>
      </c>
      <c r="H183" s="432" t="s">
        <v>333</v>
      </c>
      <c r="I183" s="432" t="s">
        <v>334</v>
      </c>
      <c r="J183" s="432"/>
      <c r="K183" s="432"/>
      <c r="L183" s="426"/>
      <c r="M183" s="420"/>
      <c r="N183" s="426"/>
      <c r="O183" s="428"/>
      <c r="P183" s="428"/>
      <c r="Q183" s="420"/>
      <c r="R183" s="60"/>
    </row>
    <row r="184" spans="1:18" ht="35.25" customHeight="1">
      <c r="A184" s="602"/>
      <c r="B184" s="612"/>
      <c r="C184" s="613"/>
      <c r="D184" s="857"/>
      <c r="E184" s="907"/>
      <c r="F184" s="414" t="s">
        <v>312</v>
      </c>
      <c r="G184" s="432" t="s">
        <v>335</v>
      </c>
      <c r="H184" s="432" t="s">
        <v>336</v>
      </c>
      <c r="I184" s="432" t="s">
        <v>337</v>
      </c>
      <c r="J184" s="432"/>
      <c r="K184" s="432"/>
      <c r="L184" s="426"/>
      <c r="M184" s="426"/>
      <c r="N184" s="426"/>
      <c r="O184" s="428"/>
      <c r="P184" s="428"/>
      <c r="Q184" s="426"/>
      <c r="R184" s="60"/>
    </row>
    <row r="185" spans="1:18" ht="36.75" customHeight="1">
      <c r="A185" s="611" t="s">
        <v>67</v>
      </c>
      <c r="B185" s="603"/>
      <c r="C185" s="604"/>
      <c r="D185" s="860" t="s">
        <v>331</v>
      </c>
      <c r="E185" s="908" t="s">
        <v>310</v>
      </c>
      <c r="F185" s="419" t="s">
        <v>311</v>
      </c>
      <c r="G185" s="428" t="s">
        <v>338</v>
      </c>
      <c r="H185" s="428" t="s">
        <v>339</v>
      </c>
      <c r="I185" s="428" t="s">
        <v>339</v>
      </c>
      <c r="J185" s="428"/>
      <c r="K185" s="428"/>
      <c r="L185" s="430"/>
      <c r="M185" s="430"/>
      <c r="N185" s="431"/>
      <c r="O185" s="432"/>
      <c r="P185" s="432"/>
      <c r="Q185" s="430"/>
      <c r="R185" s="60"/>
    </row>
    <row r="186" spans="1:18" ht="38.25" customHeight="1">
      <c r="A186" s="611"/>
      <c r="B186" s="603"/>
      <c r="C186" s="604"/>
      <c r="D186" s="860"/>
      <c r="E186" s="908"/>
      <c r="F186" s="419" t="s">
        <v>312</v>
      </c>
      <c r="G186" s="428" t="s">
        <v>340</v>
      </c>
      <c r="H186" s="428" t="s">
        <v>341</v>
      </c>
      <c r="I186" s="428" t="s">
        <v>342</v>
      </c>
      <c r="J186" s="428"/>
      <c r="K186" s="428"/>
      <c r="L186" s="430"/>
      <c r="M186" s="430"/>
      <c r="N186" s="431"/>
      <c r="O186" s="432"/>
      <c r="P186" s="432"/>
      <c r="Q186" s="430"/>
      <c r="R186" s="60"/>
    </row>
    <row r="187" spans="1:18" ht="42.75" customHeight="1">
      <c r="A187" s="602" t="s">
        <v>73</v>
      </c>
      <c r="B187" s="612"/>
      <c r="C187" s="613"/>
      <c r="D187" s="857" t="s">
        <v>331</v>
      </c>
      <c r="E187" s="927" t="s">
        <v>310</v>
      </c>
      <c r="F187" s="414" t="s">
        <v>311</v>
      </c>
      <c r="G187" s="432" t="s">
        <v>343</v>
      </c>
      <c r="H187" s="432" t="s">
        <v>344</v>
      </c>
      <c r="I187" s="432" t="s">
        <v>345</v>
      </c>
      <c r="J187" s="432"/>
      <c r="K187" s="432"/>
      <c r="L187" s="426"/>
      <c r="M187" s="426"/>
      <c r="N187" s="426"/>
      <c r="O187" s="428"/>
      <c r="P187" s="428"/>
      <c r="Q187" s="426"/>
      <c r="R187" s="60"/>
    </row>
    <row r="188" spans="1:18" ht="39.75" customHeight="1">
      <c r="A188" s="602"/>
      <c r="B188" s="612"/>
      <c r="C188" s="613"/>
      <c r="D188" s="857"/>
      <c r="E188" s="927"/>
      <c r="F188" s="414" t="s">
        <v>312</v>
      </c>
      <c r="G188" s="432" t="s">
        <v>346</v>
      </c>
      <c r="H188" s="432" t="s">
        <v>347</v>
      </c>
      <c r="I188" s="432" t="s">
        <v>348</v>
      </c>
      <c r="J188" s="432"/>
      <c r="K188" s="432"/>
      <c r="L188" s="426"/>
      <c r="M188" s="426"/>
      <c r="N188" s="426"/>
      <c r="O188" s="428"/>
      <c r="P188" s="428"/>
      <c r="Q188" s="426"/>
      <c r="R188" s="60"/>
    </row>
    <row r="189" spans="1:18" ht="18.75" customHeight="1">
      <c r="A189" s="611" t="s">
        <v>349</v>
      </c>
      <c r="B189" s="603"/>
      <c r="C189" s="604"/>
      <c r="D189" s="860" t="s">
        <v>331</v>
      </c>
      <c r="E189" s="908" t="s">
        <v>310</v>
      </c>
      <c r="F189" s="419" t="s">
        <v>311</v>
      </c>
      <c r="G189" s="428" t="s">
        <v>350</v>
      </c>
      <c r="H189" s="428" t="s">
        <v>351</v>
      </c>
      <c r="I189" s="428" t="s">
        <v>351</v>
      </c>
      <c r="J189" s="428"/>
      <c r="K189" s="428"/>
      <c r="L189" s="430"/>
      <c r="M189" s="430"/>
      <c r="N189" s="431"/>
      <c r="O189" s="435"/>
      <c r="P189" s="435"/>
      <c r="Q189" s="430"/>
      <c r="R189" s="60"/>
    </row>
    <row r="190" spans="1:18" ht="21" customHeight="1">
      <c r="A190" s="611"/>
      <c r="B190" s="603"/>
      <c r="C190" s="604"/>
      <c r="D190" s="860"/>
      <c r="E190" s="908"/>
      <c r="F190" s="419" t="s">
        <v>312</v>
      </c>
      <c r="G190" s="428" t="s">
        <v>352</v>
      </c>
      <c r="H190" s="428" t="s">
        <v>353</v>
      </c>
      <c r="I190" s="428" t="s">
        <v>354</v>
      </c>
      <c r="J190" s="428"/>
      <c r="K190" s="428"/>
      <c r="L190" s="430"/>
      <c r="M190" s="430"/>
      <c r="N190" s="431"/>
      <c r="O190" s="435"/>
      <c r="P190" s="431"/>
      <c r="Q190" s="430"/>
      <c r="R190" s="60"/>
    </row>
    <row r="191" spans="1:18" ht="19.5" customHeight="1">
      <c r="A191" s="602" t="s">
        <v>79</v>
      </c>
      <c r="B191" s="612"/>
      <c r="C191" s="613"/>
      <c r="D191" s="857" t="s">
        <v>309</v>
      </c>
      <c r="E191" s="927" t="s">
        <v>355</v>
      </c>
      <c r="F191" s="414" t="s">
        <v>311</v>
      </c>
      <c r="G191" s="435">
        <v>0.95</v>
      </c>
      <c r="H191" s="435">
        <v>0.95</v>
      </c>
      <c r="I191" s="435">
        <v>0.95</v>
      </c>
      <c r="J191" s="435"/>
      <c r="K191" s="435"/>
      <c r="L191" s="426"/>
      <c r="M191" s="426"/>
      <c r="N191" s="426"/>
      <c r="O191" s="427"/>
      <c r="P191" s="427"/>
      <c r="Q191" s="426"/>
      <c r="R191" s="60"/>
    </row>
    <row r="192" spans="1:18" ht="21" customHeight="1">
      <c r="A192" s="602"/>
      <c r="B192" s="612"/>
      <c r="C192" s="613"/>
      <c r="D192" s="857"/>
      <c r="E192" s="927"/>
      <c r="F192" s="414" t="s">
        <v>312</v>
      </c>
      <c r="G192" s="435">
        <v>0.96</v>
      </c>
      <c r="H192" s="435">
        <v>0.96</v>
      </c>
      <c r="I192" s="435">
        <v>0.96499999999999997</v>
      </c>
      <c r="J192" s="435"/>
      <c r="K192" s="435"/>
      <c r="L192" s="426"/>
      <c r="M192" s="426"/>
      <c r="N192" s="426"/>
      <c r="O192" s="426"/>
      <c r="P192" s="426"/>
      <c r="Q192" s="426"/>
      <c r="R192" s="60"/>
    </row>
    <row r="193" spans="1:34">
      <c r="A193" s="3"/>
      <c r="B193" s="603"/>
      <c r="C193" s="604"/>
      <c r="D193" s="860" t="s">
        <v>331</v>
      </c>
      <c r="E193" s="908" t="s">
        <v>310</v>
      </c>
      <c r="F193" s="419" t="s">
        <v>311</v>
      </c>
      <c r="G193" s="427">
        <v>0.9</v>
      </c>
      <c r="H193" s="427">
        <v>0.9</v>
      </c>
      <c r="I193" s="427">
        <v>0.9</v>
      </c>
      <c r="J193" s="427"/>
      <c r="K193" s="427"/>
      <c r="L193" s="3"/>
      <c r="M193" s="3"/>
      <c r="N193"/>
      <c r="P193" s="33"/>
      <c r="Q193" s="33"/>
    </row>
    <row r="194" spans="1:34" ht="16.5" thickBot="1">
      <c r="A194" s="245"/>
      <c r="B194" s="603"/>
      <c r="C194" s="604"/>
      <c r="D194" s="860"/>
      <c r="E194" s="908"/>
      <c r="F194" s="419" t="s">
        <v>312</v>
      </c>
      <c r="G194" s="427">
        <v>0.93</v>
      </c>
      <c r="H194" s="427">
        <v>0.92</v>
      </c>
      <c r="I194" s="427">
        <v>0.95</v>
      </c>
      <c r="J194" s="427"/>
      <c r="K194" s="427"/>
      <c r="L194" s="3"/>
      <c r="M194" s="3"/>
      <c r="N194"/>
      <c r="P194" s="33"/>
      <c r="Q194" s="33"/>
    </row>
    <row r="195" spans="1:34">
      <c r="A195" s="3" t="s">
        <v>356</v>
      </c>
      <c r="B195" s="3"/>
      <c r="C195" s="3"/>
      <c r="D195" s="3"/>
      <c r="E195" s="3"/>
      <c r="F195" s="2"/>
      <c r="G195" s="3"/>
      <c r="H195" s="3"/>
      <c r="I195" s="3"/>
      <c r="J195" s="3"/>
      <c r="K195" s="3"/>
      <c r="L195" s="276" t="s">
        <v>154</v>
      </c>
      <c r="M195" s="276" t="s">
        <v>155</v>
      </c>
      <c r="N195" s="276" t="s">
        <v>156</v>
      </c>
      <c r="O195" s="276" t="s">
        <v>157</v>
      </c>
      <c r="P195" s="276" t="s">
        <v>158</v>
      </c>
      <c r="Q195" s="276" t="s">
        <v>159</v>
      </c>
      <c r="R195" s="33"/>
      <c r="S195" s="33"/>
    </row>
    <row r="196" spans="1:34" ht="15.75" thickBot="1">
      <c r="A196" s="614" t="str">
        <f>IF(ISBLANK(A169),"",(A169))</f>
        <v>Процент ЛУИН, охваченных программами по профилактике ВИЧ</v>
      </c>
      <c r="B196" s="3"/>
      <c r="C196" s="3"/>
      <c r="D196" s="3"/>
      <c r="E196" s="3"/>
      <c r="F196" s="2"/>
      <c r="G196" s="3"/>
      <c r="H196" s="3"/>
      <c r="I196" s="3"/>
      <c r="J196" s="3"/>
      <c r="K196" s="3"/>
      <c r="L196" s="436"/>
      <c r="M196" s="436"/>
      <c r="N196" s="437"/>
      <c r="O196" s="437"/>
      <c r="P196" s="437"/>
      <c r="Q196" s="437"/>
      <c r="R196" s="33"/>
      <c r="S196" s="33"/>
    </row>
    <row r="197" spans="1:34" ht="26.25" thickBot="1">
      <c r="A197" s="617"/>
      <c r="B197" s="3"/>
      <c r="C197" s="3"/>
      <c r="D197" s="244" t="s">
        <v>307</v>
      </c>
      <c r="E197" s="305" t="s">
        <v>308</v>
      </c>
      <c r="F197" s="206"/>
      <c r="G197" s="276" t="s">
        <v>150</v>
      </c>
      <c r="H197" s="276" t="s">
        <v>151</v>
      </c>
      <c r="I197" s="276" t="s">
        <v>135</v>
      </c>
      <c r="J197" s="276" t="s">
        <v>152</v>
      </c>
      <c r="K197" s="276" t="s">
        <v>153</v>
      </c>
      <c r="L197" s="436"/>
      <c r="M197" s="436"/>
      <c r="N197" s="437"/>
      <c r="O197" s="437"/>
      <c r="P197" s="437"/>
      <c r="Q197" s="437"/>
      <c r="R197" s="33"/>
      <c r="S197" s="33"/>
    </row>
    <row r="198" spans="1:34" ht="15" customHeight="1">
      <c r="A198" s="605" t="str">
        <f>IF(ISBLANK(A171),"",(A171))</f>
        <v>Процент взрослых и детей, получающих в настоящее время антиретровирусную терапию, от оценочного числа всех взрослых и детей, живущих с ВИЧ</v>
      </c>
      <c r="B198" s="615"/>
      <c r="C198" s="616"/>
      <c r="D198" s="921" t="str">
        <f>IF(ISBLANK(D171),"",(D171))</f>
        <v>Топ 10</v>
      </c>
      <c r="E198" s="925" t="str">
        <f>IF(ISBLANK(E171),"",(E171))</f>
        <v>с текущим грантом</v>
      </c>
      <c r="F198" s="414" t="s">
        <v>311</v>
      </c>
      <c r="G198" s="436">
        <f t="shared" ref="G198:H203" si="17">G171</f>
        <v>16250</v>
      </c>
      <c r="H198" s="436">
        <f t="shared" si="17"/>
        <v>16875</v>
      </c>
      <c r="I198" s="436">
        <v>17500</v>
      </c>
      <c r="J198" s="436"/>
      <c r="K198" s="436"/>
      <c r="L198" s="438"/>
      <c r="M198" s="438"/>
      <c r="N198" s="439"/>
      <c r="O198" s="439"/>
      <c r="P198" s="439"/>
      <c r="Q198" s="439"/>
      <c r="R198" s="33"/>
      <c r="S198" s="33"/>
    </row>
    <row r="199" spans="1:34" ht="15.75" thickBot="1">
      <c r="A199" s="608"/>
      <c r="B199" s="618"/>
      <c r="C199" s="619"/>
      <c r="D199" s="921"/>
      <c r="E199" s="925"/>
      <c r="F199" s="414" t="s">
        <v>312</v>
      </c>
      <c r="G199" s="436">
        <f t="shared" si="17"/>
        <v>16530</v>
      </c>
      <c r="H199" s="436">
        <f t="shared" si="17"/>
        <v>15835</v>
      </c>
      <c r="I199" s="436">
        <v>16195</v>
      </c>
      <c r="J199" s="436"/>
      <c r="K199" s="436"/>
      <c r="L199" s="438"/>
      <c r="M199" s="438"/>
      <c r="N199" s="439"/>
      <c r="O199" s="439"/>
      <c r="P199" s="439"/>
      <c r="Q199" s="439"/>
      <c r="R199" s="33"/>
      <c r="S199" s="33"/>
    </row>
    <row r="200" spans="1:34" ht="15" customHeight="1">
      <c r="A200" s="614" t="str">
        <f>IF(ISBLANK(A173),"",(A173))</f>
        <v>Процент ЛЖВ, получающих АРТ и достигших неопределяемую вирусную нагрузку (т.е. ≤1000 копий)</v>
      </c>
      <c r="B200" s="606"/>
      <c r="C200" s="607"/>
      <c r="D200" s="922" t="str">
        <f>IF(ISBLANK(D173),"",(D173))</f>
        <v>Топ 10</v>
      </c>
      <c r="E200" s="923" t="str">
        <f>IF(ISBLANK(E173),"",(E173))</f>
        <v>с текущим грантом</v>
      </c>
      <c r="F200" s="419" t="s">
        <v>311</v>
      </c>
      <c r="G200" s="438">
        <f t="shared" si="17"/>
        <v>4373</v>
      </c>
      <c r="H200" s="438">
        <f t="shared" si="17"/>
        <v>5123</v>
      </c>
      <c r="I200" s="438">
        <v>5873</v>
      </c>
      <c r="J200" s="438"/>
      <c r="K200" s="438"/>
      <c r="L200" s="436"/>
      <c r="M200" s="436"/>
      <c r="N200" s="437"/>
      <c r="O200" s="437"/>
      <c r="P200" s="437"/>
      <c r="Q200" s="437"/>
      <c r="R200" s="33"/>
      <c r="S200" s="33"/>
    </row>
    <row r="201" spans="1:34" ht="15.75" thickBot="1">
      <c r="A201" s="617"/>
      <c r="B201" s="609"/>
      <c r="C201" s="610"/>
      <c r="D201" s="922"/>
      <c r="E201" s="923"/>
      <c r="F201" s="419" t="s">
        <v>312</v>
      </c>
      <c r="G201" s="438">
        <f t="shared" si="17"/>
        <v>3718</v>
      </c>
      <c r="H201" s="438">
        <f t="shared" si="17"/>
        <v>3762</v>
      </c>
      <c r="I201" s="438">
        <v>4058</v>
      </c>
      <c r="J201" s="438"/>
      <c r="K201" s="438"/>
      <c r="L201" s="436"/>
      <c r="M201" s="436"/>
      <c r="N201" s="437"/>
      <c r="O201" s="437"/>
      <c r="P201" s="437"/>
      <c r="Q201" s="437"/>
      <c r="R201" s="33"/>
      <c r="S201" s="33"/>
    </row>
    <row r="202" spans="1:34" s="19" customFormat="1" ht="15" customHeight="1">
      <c r="A202" s="611" t="s">
        <v>83</v>
      </c>
      <c r="B202" s="615"/>
      <c r="C202" s="616"/>
      <c r="D202" s="921" t="str">
        <f>IF(ISBLANK(D175),"",(D175))</f>
        <v>Топ 10</v>
      </c>
      <c r="E202" s="925" t="str">
        <f>IF(ISBLANK(E175),"",(E175))</f>
        <v>с текущим грантом</v>
      </c>
      <c r="F202" s="440" t="s">
        <v>311</v>
      </c>
      <c r="G202" s="549">
        <f t="shared" si="17"/>
        <v>0.54900000000000004</v>
      </c>
      <c r="H202" s="549">
        <f t="shared" si="17"/>
        <v>0</v>
      </c>
      <c r="I202" s="549">
        <v>0.67</v>
      </c>
      <c r="J202" s="436"/>
      <c r="K202" s="436"/>
      <c r="L202" s="430"/>
      <c r="M202" s="431"/>
      <c r="N202" s="435"/>
      <c r="O202" s="435"/>
      <c r="P202" s="435"/>
      <c r="Q202" s="435"/>
      <c r="AF202" s="20"/>
      <c r="AG202" s="20"/>
      <c r="AH202" s="20"/>
    </row>
    <row r="203" spans="1:34" ht="15.75" thickBot="1">
      <c r="A203" s="611"/>
      <c r="B203" s="618"/>
      <c r="C203" s="619"/>
      <c r="D203" s="924"/>
      <c r="E203" s="926"/>
      <c r="F203" s="414" t="s">
        <v>312</v>
      </c>
      <c r="G203" s="549">
        <f t="shared" si="17"/>
        <v>0.68500000000000005</v>
      </c>
      <c r="H203" s="549">
        <f t="shared" si="17"/>
        <v>0</v>
      </c>
      <c r="I203" s="549">
        <v>0.79700000000000004</v>
      </c>
      <c r="J203" s="436"/>
      <c r="K203" s="436"/>
      <c r="L203" s="430"/>
      <c r="M203" s="431"/>
      <c r="N203" s="435"/>
      <c r="O203" s="435"/>
      <c r="P203" s="435"/>
      <c r="Q203" s="435"/>
    </row>
    <row r="204" spans="1:34" ht="15.75" thickBot="1">
      <c r="A204" s="3"/>
      <c r="B204" s="612"/>
      <c r="C204" s="613"/>
      <c r="D204" s="857" t="s">
        <v>331</v>
      </c>
      <c r="E204" s="919" t="s">
        <v>310</v>
      </c>
      <c r="F204" s="414" t="s">
        <v>311</v>
      </c>
      <c r="G204" s="435">
        <v>0.95</v>
      </c>
      <c r="H204" s="435"/>
      <c r="I204" s="435">
        <v>0.95</v>
      </c>
      <c r="J204" s="430"/>
      <c r="K204" s="435"/>
      <c r="L204" s="3"/>
    </row>
    <row r="205" spans="1:34" ht="19.5" thickBot="1">
      <c r="A205" s="454" t="s">
        <v>357</v>
      </c>
      <c r="B205" s="612"/>
      <c r="C205" s="613"/>
      <c r="D205" s="857"/>
      <c r="E205" s="920"/>
      <c r="F205" s="414" t="s">
        <v>312</v>
      </c>
      <c r="G205" s="435">
        <v>0.98</v>
      </c>
      <c r="H205" s="435"/>
      <c r="I205" s="435">
        <v>0.95</v>
      </c>
      <c r="J205" s="430"/>
      <c r="K205" s="435"/>
      <c r="L205" s="531"/>
      <c r="M205" s="532"/>
      <c r="N205" s="531"/>
      <c r="O205" s="533"/>
      <c r="P205" s="33"/>
    </row>
    <row r="206" spans="1:34" ht="15.75" thickBot="1">
      <c r="A206" s="3"/>
      <c r="B206" s="3"/>
      <c r="C206" s="3"/>
      <c r="D206" s="3"/>
      <c r="E206" s="3"/>
      <c r="F206" s="3"/>
      <c r="G206" s="3"/>
      <c r="H206" s="2" t="str">
        <f>IF(AND(F206&gt;0,G206&gt;0),G206/F206,"")</f>
        <v/>
      </c>
      <c r="I206" s="95"/>
      <c r="J206" s="95"/>
      <c r="K206" s="3"/>
      <c r="L206" s="3"/>
      <c r="M206"/>
      <c r="N206"/>
      <c r="O206" s="33"/>
      <c r="P206" s="33"/>
    </row>
    <row r="207" spans="1:34" ht="39.75" customHeight="1" thickBot="1">
      <c r="A207" s="620" t="s">
        <v>38</v>
      </c>
      <c r="B207" s="106"/>
      <c r="C207" s="106"/>
      <c r="D207" s="107"/>
      <c r="E207" s="107"/>
      <c r="F207" s="107"/>
      <c r="G207" s="208"/>
      <c r="H207" s="204"/>
      <c r="I207" s="252"/>
      <c r="J207" s="529" t="s">
        <v>306</v>
      </c>
      <c r="K207" s="530"/>
      <c r="L207" s="276" t="s">
        <v>154</v>
      </c>
      <c r="M207" s="276" t="s">
        <v>155</v>
      </c>
      <c r="N207" s="276" t="s">
        <v>156</v>
      </c>
      <c r="O207" s="276" t="s">
        <v>157</v>
      </c>
      <c r="P207" s="276" t="s">
        <v>158</v>
      </c>
      <c r="Q207" s="276" t="s">
        <v>159</v>
      </c>
      <c r="R207" s="60"/>
    </row>
    <row r="208" spans="1:34" ht="40.5" customHeight="1" thickBot="1">
      <c r="A208" s="656" t="s">
        <v>88</v>
      </c>
      <c r="B208" s="3"/>
      <c r="C208" s="3"/>
      <c r="D208" s="3"/>
      <c r="E208" s="3"/>
      <c r="F208" s="3"/>
      <c r="G208" s="3"/>
      <c r="H208" s="3"/>
      <c r="I208" s="3"/>
      <c r="J208" s="3"/>
      <c r="K208" s="3"/>
      <c r="L208" s="222"/>
      <c r="M208" s="222"/>
      <c r="N208" s="222"/>
      <c r="O208" s="222"/>
      <c r="P208" s="222"/>
      <c r="Q208" s="222"/>
      <c r="R208" s="60"/>
    </row>
    <row r="209" spans="1:19" ht="23.25" customHeight="1">
      <c r="A209" s="659"/>
      <c r="B209" s="621"/>
      <c r="C209" s="622"/>
      <c r="D209" s="244" t="s">
        <v>307</v>
      </c>
      <c r="E209" s="305" t="s">
        <v>308</v>
      </c>
      <c r="F209" s="206"/>
      <c r="G209" s="276" t="s">
        <v>358</v>
      </c>
      <c r="H209" s="276" t="s">
        <v>359</v>
      </c>
      <c r="I209" s="276" t="s">
        <v>135</v>
      </c>
      <c r="J209" s="276" t="s">
        <v>152</v>
      </c>
      <c r="K209" s="276" t="s">
        <v>153</v>
      </c>
      <c r="L209" s="222"/>
      <c r="M209" s="222"/>
      <c r="N209" s="222"/>
      <c r="O209" s="222"/>
      <c r="P209" s="222"/>
      <c r="Q209" s="222"/>
      <c r="R209" s="60"/>
    </row>
    <row r="210" spans="1:19" ht="48" customHeight="1">
      <c r="A210" s="656" t="s">
        <v>360</v>
      </c>
      <c r="B210" s="657"/>
      <c r="C210" s="658"/>
      <c r="D210" s="857" t="s">
        <v>331</v>
      </c>
      <c r="E210" s="858" t="s">
        <v>361</v>
      </c>
      <c r="F210" s="534" t="s">
        <v>311</v>
      </c>
      <c r="G210" s="222">
        <v>3500</v>
      </c>
      <c r="H210" s="222">
        <v>3475</v>
      </c>
      <c r="I210" s="222">
        <v>3450</v>
      </c>
      <c r="J210" s="222"/>
      <c r="K210" s="222"/>
      <c r="L210" s="223"/>
      <c r="M210" s="223"/>
      <c r="N210" s="223"/>
      <c r="O210" s="223"/>
      <c r="P210" s="223"/>
      <c r="Q210" s="223"/>
      <c r="R210" s="60"/>
    </row>
    <row r="211" spans="1:19" ht="15.75" customHeight="1">
      <c r="A211" s="659"/>
      <c r="B211" s="660"/>
      <c r="C211" s="661"/>
      <c r="D211" s="857"/>
      <c r="E211" s="859"/>
      <c r="F211" s="534" t="s">
        <v>362</v>
      </c>
      <c r="G211" s="222">
        <v>3191</v>
      </c>
      <c r="H211" s="222">
        <v>3023</v>
      </c>
      <c r="I211" s="222">
        <v>3241</v>
      </c>
      <c r="J211" s="222"/>
      <c r="K211" s="222"/>
      <c r="L211" s="243"/>
      <c r="M211" s="243"/>
      <c r="N211" s="243"/>
      <c r="O211" s="223"/>
      <c r="P211" s="223"/>
      <c r="Q211" s="223"/>
      <c r="R211" s="60"/>
    </row>
    <row r="212" spans="1:19" ht="38.25" customHeight="1">
      <c r="A212" s="650" t="s">
        <v>363</v>
      </c>
      <c r="B212" s="657"/>
      <c r="C212" s="658"/>
      <c r="D212" s="860" t="s">
        <v>309</v>
      </c>
      <c r="E212" s="873" t="s">
        <v>361</v>
      </c>
      <c r="F212" s="534" t="s">
        <v>311</v>
      </c>
      <c r="G212" s="328">
        <v>700</v>
      </c>
      <c r="H212" s="328">
        <v>720</v>
      </c>
      <c r="I212" s="223">
        <v>720</v>
      </c>
      <c r="J212" s="223"/>
      <c r="K212" s="382"/>
      <c r="L212" s="222"/>
      <c r="M212" s="222"/>
      <c r="N212" s="222"/>
      <c r="O212" s="222"/>
      <c r="P212" s="222"/>
      <c r="Q212" s="222"/>
      <c r="R212" s="60"/>
    </row>
    <row r="213" spans="1:19" ht="39.75" customHeight="1">
      <c r="A213" s="653"/>
      <c r="B213" s="660"/>
      <c r="C213" s="661"/>
      <c r="D213" s="860"/>
      <c r="E213" s="874"/>
      <c r="F213" s="535" t="s">
        <v>362</v>
      </c>
      <c r="G213" s="328">
        <v>847</v>
      </c>
      <c r="H213" s="328">
        <v>709</v>
      </c>
      <c r="I213" s="243">
        <v>731</v>
      </c>
      <c r="J213" s="243"/>
      <c r="K213" s="243"/>
      <c r="L213" s="222"/>
      <c r="M213" s="222"/>
      <c r="N213" s="222"/>
      <c r="O213" s="222"/>
      <c r="P213" s="222"/>
      <c r="Q213" s="222"/>
      <c r="R213" s="60"/>
    </row>
    <row r="214" spans="1:19" ht="39.75" customHeight="1">
      <c r="A214" s="650" t="s">
        <v>98</v>
      </c>
      <c r="B214" s="651"/>
      <c r="C214" s="652"/>
      <c r="D214" s="857" t="s">
        <v>331</v>
      </c>
      <c r="E214" s="858" t="s">
        <v>361</v>
      </c>
      <c r="F214" s="534" t="s">
        <v>311</v>
      </c>
      <c r="G214" s="328">
        <v>700</v>
      </c>
      <c r="H214" s="328">
        <v>720</v>
      </c>
      <c r="I214" s="223">
        <v>720</v>
      </c>
      <c r="J214" s="223"/>
      <c r="K214" s="382"/>
      <c r="L214" s="328"/>
      <c r="M214" s="328"/>
      <c r="N214" s="328"/>
      <c r="O214" s="328"/>
      <c r="P214" s="328"/>
      <c r="Q214" s="328"/>
      <c r="R214" s="60"/>
    </row>
    <row r="215" spans="1:19" ht="39.75" customHeight="1">
      <c r="A215" s="653" t="s">
        <v>98</v>
      </c>
      <c r="B215" s="654"/>
      <c r="C215" s="655"/>
      <c r="D215" s="857"/>
      <c r="E215" s="859"/>
      <c r="F215" s="534" t="s">
        <v>362</v>
      </c>
      <c r="G215" s="328">
        <v>671</v>
      </c>
      <c r="H215" s="328">
        <v>674</v>
      </c>
      <c r="I215" s="328">
        <v>665</v>
      </c>
      <c r="J215" s="328"/>
      <c r="K215" s="328"/>
      <c r="L215" s="328"/>
      <c r="M215" s="328"/>
      <c r="N215" s="328"/>
      <c r="O215" s="328"/>
      <c r="P215" s="328"/>
      <c r="Q215" s="328"/>
      <c r="R215" s="60"/>
    </row>
    <row r="216" spans="1:19" ht="35.25" customHeight="1">
      <c r="A216" s="629" t="s">
        <v>364</v>
      </c>
      <c r="B216" s="651"/>
      <c r="C216" s="652"/>
      <c r="D216" s="860" t="s">
        <v>309</v>
      </c>
      <c r="E216" s="873" t="s">
        <v>361</v>
      </c>
      <c r="F216" s="534" t="s">
        <v>311</v>
      </c>
      <c r="G216" s="453">
        <v>0.55000000000000004</v>
      </c>
      <c r="H216" s="453">
        <v>0.6</v>
      </c>
      <c r="I216" s="453">
        <v>0.65</v>
      </c>
      <c r="J216" s="453"/>
      <c r="K216" s="453"/>
      <c r="L216" s="329"/>
      <c r="M216" s="329"/>
      <c r="N216" s="329"/>
      <c r="O216" s="329"/>
      <c r="P216" s="329"/>
      <c r="Q216" s="329"/>
      <c r="R216" s="60"/>
    </row>
    <row r="217" spans="1:19" ht="39" customHeight="1">
      <c r="A217" s="632"/>
      <c r="B217" s="654"/>
      <c r="C217" s="655"/>
      <c r="D217" s="860"/>
      <c r="E217" s="874"/>
      <c r="F217" s="534" t="s">
        <v>362</v>
      </c>
      <c r="G217" s="453">
        <v>0.51900000000000002</v>
      </c>
      <c r="H217" s="453">
        <v>0.65</v>
      </c>
      <c r="I217" s="453">
        <v>0.66</v>
      </c>
      <c r="J217" s="453"/>
      <c r="K217" s="453"/>
      <c r="L217" s="329"/>
      <c r="M217" s="329"/>
      <c r="N217" s="329"/>
      <c r="O217" s="329"/>
      <c r="P217" s="329"/>
      <c r="Q217" s="329"/>
      <c r="R217" s="60"/>
    </row>
    <row r="218" spans="1:19" ht="43.5" customHeight="1">
      <c r="A218" s="650" t="s">
        <v>365</v>
      </c>
      <c r="B218" s="630"/>
      <c r="C218" s="631"/>
      <c r="D218" s="857" t="s">
        <v>331</v>
      </c>
      <c r="E218" s="858" t="s">
        <v>361</v>
      </c>
      <c r="F218" s="534" t="s">
        <v>311</v>
      </c>
      <c r="G218" s="329">
        <v>42</v>
      </c>
      <c r="H218" s="329">
        <v>53</v>
      </c>
      <c r="I218" s="329">
        <v>53</v>
      </c>
      <c r="J218" s="329"/>
      <c r="K218" s="329"/>
      <c r="L218" s="330"/>
      <c r="M218" s="330"/>
      <c r="N218" s="330"/>
      <c r="O218" s="330"/>
      <c r="P218" s="330"/>
      <c r="Q218" s="395"/>
      <c r="R218" s="60"/>
    </row>
    <row r="219" spans="1:19" ht="40.5" customHeight="1">
      <c r="A219" s="653"/>
      <c r="B219" s="633"/>
      <c r="C219" s="634"/>
      <c r="D219" s="857"/>
      <c r="E219" s="859"/>
      <c r="F219" s="535" t="s">
        <v>362</v>
      </c>
      <c r="G219" s="329">
        <v>45</v>
      </c>
      <c r="H219" s="329">
        <v>54</v>
      </c>
      <c r="I219" s="329">
        <v>48</v>
      </c>
      <c r="J219" s="329"/>
      <c r="K219" s="329"/>
      <c r="L219" s="328"/>
      <c r="M219" s="328"/>
      <c r="N219" s="328"/>
      <c r="O219" s="330"/>
      <c r="P219" s="330"/>
      <c r="Q219" s="330"/>
      <c r="R219" s="60"/>
    </row>
    <row r="220" spans="1:19" ht="20.25" customHeight="1">
      <c r="A220" s="3"/>
      <c r="B220" s="651"/>
      <c r="C220" s="652"/>
      <c r="D220" s="900" t="s">
        <v>309</v>
      </c>
      <c r="E220" s="873" t="s">
        <v>361</v>
      </c>
      <c r="F220" s="534" t="s">
        <v>311</v>
      </c>
      <c r="G220" s="453">
        <v>0.9</v>
      </c>
      <c r="H220" s="453">
        <v>0.91</v>
      </c>
      <c r="I220" s="453">
        <v>0.92</v>
      </c>
      <c r="J220" s="453"/>
      <c r="K220" s="453"/>
      <c r="L220" s="3"/>
      <c r="M220" s="3"/>
      <c r="N220" s="3"/>
      <c r="Q220" s="33"/>
    </row>
    <row r="221" spans="1:19">
      <c r="A221" s="3"/>
      <c r="B221" s="654"/>
      <c r="C221" s="655"/>
      <c r="D221" s="901"/>
      <c r="E221" s="874"/>
      <c r="F221" s="534" t="s">
        <v>362</v>
      </c>
      <c r="G221" s="453">
        <v>0.93</v>
      </c>
      <c r="H221" s="453">
        <v>0.92</v>
      </c>
      <c r="I221" s="453">
        <v>0.95</v>
      </c>
      <c r="J221" s="453"/>
      <c r="K221" s="453"/>
      <c r="L221" s="3"/>
      <c r="M221" s="3"/>
      <c r="N221" s="3"/>
      <c r="Q221" s="33"/>
    </row>
    <row r="222" spans="1:19" ht="4.5" customHeight="1" thickBot="1">
      <c r="A222" s="3"/>
      <c r="B222" s="3"/>
      <c r="C222" s="3"/>
      <c r="D222" s="3"/>
      <c r="E222" s="3"/>
      <c r="F222" s="2"/>
      <c r="G222" s="3"/>
      <c r="H222" s="3"/>
      <c r="I222" s="3"/>
      <c r="J222" s="3"/>
      <c r="K222" s="3"/>
      <c r="L222" s="3"/>
      <c r="M222" s="3"/>
      <c r="N222" s="3"/>
      <c r="Q222" s="33"/>
    </row>
    <row r="223" spans="1:19" ht="16.5" hidden="1" thickBot="1">
      <c r="A223" s="245"/>
      <c r="B223" s="3"/>
      <c r="C223" s="3"/>
      <c r="D223" s="3"/>
      <c r="E223" s="3"/>
      <c r="F223" s="2"/>
      <c r="G223" s="3"/>
      <c r="H223" s="3"/>
      <c r="I223" s="3"/>
      <c r="J223" s="3"/>
      <c r="K223" s="3"/>
      <c r="L223" s="3"/>
      <c r="M223" s="3"/>
      <c r="N223" s="3"/>
      <c r="Q223" s="33"/>
    </row>
    <row r="224" spans="1:19" ht="72" customHeight="1">
      <c r="A224" s="3" t="s">
        <v>356</v>
      </c>
      <c r="B224" s="3"/>
      <c r="C224" s="3"/>
      <c r="D224" s="3"/>
      <c r="E224" s="3"/>
      <c r="F224" s="2"/>
      <c r="G224" s="3"/>
      <c r="H224" s="3"/>
      <c r="I224" s="3"/>
      <c r="J224" s="3"/>
      <c r="K224" s="3"/>
      <c r="L224" s="276" t="str">
        <f t="shared" ref="L224:Q224" si="18">G30</f>
        <v>P6</v>
      </c>
      <c r="M224" s="276" t="str">
        <f t="shared" si="18"/>
        <v>P7</v>
      </c>
      <c r="N224" s="276" t="str">
        <f t="shared" si="18"/>
        <v>P8</v>
      </c>
      <c r="O224" s="276" t="str">
        <f t="shared" si="18"/>
        <v>P9</v>
      </c>
      <c r="P224" s="276" t="str">
        <f t="shared" si="18"/>
        <v>P10</v>
      </c>
      <c r="Q224" s="276" t="str">
        <f t="shared" si="18"/>
        <v>P11</v>
      </c>
      <c r="R224" s="33"/>
      <c r="S224" s="33"/>
    </row>
    <row r="225" spans="1:19" ht="15" customHeight="1" thickBot="1">
      <c r="A225" s="641" t="str">
        <f>IF(ISBLANK(A208),"",(A208))</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B225" s="3"/>
      <c r="C225" s="3"/>
      <c r="D225" s="3"/>
      <c r="E225" s="3"/>
      <c r="F225" s="2"/>
      <c r="G225" s="3"/>
      <c r="H225" s="3"/>
      <c r="I225" s="3"/>
      <c r="J225" s="3"/>
      <c r="K225" s="3"/>
      <c r="L225" s="536">
        <f t="shared" ref="G225:Q227" si="19">L208</f>
        <v>0</v>
      </c>
      <c r="M225" s="536">
        <f t="shared" si="19"/>
        <v>0</v>
      </c>
      <c r="N225" s="536">
        <f t="shared" si="19"/>
        <v>0</v>
      </c>
      <c r="O225" s="536">
        <f t="shared" si="19"/>
        <v>0</v>
      </c>
      <c r="P225" s="536">
        <f t="shared" si="19"/>
        <v>0</v>
      </c>
      <c r="Q225" s="536">
        <f t="shared" si="19"/>
        <v>0</v>
      </c>
      <c r="R225" s="33"/>
      <c r="S225" s="33"/>
    </row>
    <row r="226" spans="1:19" ht="88.5" customHeight="1" thickBot="1">
      <c r="A226" s="638"/>
      <c r="B226" s="3"/>
      <c r="C226" s="3"/>
      <c r="D226" s="244" t="s">
        <v>307</v>
      </c>
      <c r="E226" s="305" t="s">
        <v>308</v>
      </c>
      <c r="F226" s="206"/>
      <c r="G226" s="276" t="str">
        <f>B30</f>
        <v>P1</v>
      </c>
      <c r="H226" s="276" t="str">
        <f>C30</f>
        <v>P2</v>
      </c>
      <c r="I226" s="276" t="str">
        <f>D30</f>
        <v>P3</v>
      </c>
      <c r="J226" s="276" t="str">
        <f>E30</f>
        <v>P4</v>
      </c>
      <c r="K226" s="276" t="str">
        <f>F30</f>
        <v>P5</v>
      </c>
      <c r="L226" s="536">
        <f t="shared" ref="K226:Q232" si="20">L209</f>
        <v>0</v>
      </c>
      <c r="M226" s="536">
        <f t="shared" si="20"/>
        <v>0</v>
      </c>
      <c r="N226" s="536">
        <f t="shared" si="20"/>
        <v>0</v>
      </c>
      <c r="O226" s="536">
        <f t="shared" si="20"/>
        <v>0</v>
      </c>
      <c r="P226" s="536">
        <f t="shared" si="20"/>
        <v>0</v>
      </c>
      <c r="Q226" s="536">
        <f t="shared" si="20"/>
        <v>0</v>
      </c>
      <c r="R226" s="33"/>
      <c r="S226" s="33"/>
    </row>
    <row r="227" spans="1:19" ht="15" customHeight="1">
      <c r="A227" s="644" t="str">
        <f>IF(ISBLANK(A210),"",(A210))</f>
        <v xml:space="preserve">MDR TB-2: Количество бактериологически подтвержденных зарегистрированных ЛУ-ТБ случаев (РУ-ТБ и/или МЛУ-ТБ)		</v>
      </c>
      <c r="B227" s="642"/>
      <c r="C227" s="643"/>
      <c r="D227" s="892" t="str">
        <f>IF(ISBLANK(D210),"",(D210))</f>
        <v xml:space="preserve"> Топ 10</v>
      </c>
      <c r="E227" s="894" t="str">
        <f>IF(ISBLANK(E210),"",(E210))</f>
        <v>да</v>
      </c>
      <c r="F227" s="534" t="s">
        <v>311</v>
      </c>
      <c r="G227" s="536">
        <f t="shared" si="19"/>
        <v>3500</v>
      </c>
      <c r="H227" s="536">
        <f t="shared" si="19"/>
        <v>3475</v>
      </c>
      <c r="I227" s="536">
        <f t="shared" si="19"/>
        <v>3450</v>
      </c>
      <c r="J227" s="536">
        <f t="shared" si="19"/>
        <v>0</v>
      </c>
      <c r="K227" s="536">
        <f t="shared" si="19"/>
        <v>0</v>
      </c>
      <c r="L227" s="538">
        <f t="shared" si="20"/>
        <v>0</v>
      </c>
      <c r="M227" s="538">
        <f t="shared" si="20"/>
        <v>0</v>
      </c>
      <c r="N227" s="538">
        <f t="shared" si="20"/>
        <v>0</v>
      </c>
      <c r="O227" s="538">
        <f t="shared" si="20"/>
        <v>0</v>
      </c>
      <c r="P227" s="538">
        <f t="shared" si="20"/>
        <v>0</v>
      </c>
      <c r="Q227" s="538">
        <f t="shared" si="20"/>
        <v>0</v>
      </c>
      <c r="R227" s="33"/>
      <c r="S227" s="33"/>
    </row>
    <row r="228" spans="1:19" ht="96.75" customHeight="1" thickBot="1">
      <c r="A228" s="647"/>
      <c r="B228" s="639"/>
      <c r="C228" s="640"/>
      <c r="D228" s="898"/>
      <c r="E228" s="899"/>
      <c r="F228" s="537" t="s">
        <v>362</v>
      </c>
      <c r="G228" s="536">
        <f t="shared" ref="G228:J232" si="21">G211</f>
        <v>3191</v>
      </c>
      <c r="H228" s="536">
        <f t="shared" si="21"/>
        <v>3023</v>
      </c>
      <c r="I228" s="536">
        <f t="shared" si="21"/>
        <v>3241</v>
      </c>
      <c r="J228" s="536">
        <f t="shared" si="21"/>
        <v>0</v>
      </c>
      <c r="K228" s="536">
        <f t="shared" si="20"/>
        <v>0</v>
      </c>
      <c r="L228" s="538">
        <f t="shared" si="20"/>
        <v>0</v>
      </c>
      <c r="M228" s="538">
        <f t="shared" si="20"/>
        <v>0</v>
      </c>
      <c r="N228" s="538">
        <f t="shared" si="20"/>
        <v>0</v>
      </c>
      <c r="O228" s="538">
        <f t="shared" si="20"/>
        <v>0</v>
      </c>
      <c r="P228" s="538">
        <f t="shared" si="20"/>
        <v>0</v>
      </c>
      <c r="Q228" s="538">
        <f t="shared" si="20"/>
        <v>0</v>
      </c>
      <c r="R228" s="33"/>
      <c r="S228" s="33"/>
    </row>
    <row r="229" spans="1:19" ht="15" customHeight="1">
      <c r="A229" s="635" t="str">
        <f>IF(ISBLANK(A212),"",(A212))</f>
        <v xml:space="preserve">MDR TB-3: Количество случаев с РУ/МЛУ ТБ, начавших лечение препаратами второго ряда		</v>
      </c>
      <c r="B229" s="645"/>
      <c r="C229" s="646"/>
      <c r="D229" s="902" t="str">
        <f>IF(ISBLANK(D212),"",(D212))</f>
        <v>Топ 10</v>
      </c>
      <c r="E229" s="896" t="str">
        <f>IF(ISBLANK(E212),"",(E212))</f>
        <v>да</v>
      </c>
      <c r="F229" s="535" t="s">
        <v>311</v>
      </c>
      <c r="G229" s="538">
        <f t="shared" si="21"/>
        <v>700</v>
      </c>
      <c r="H229" s="538">
        <f>H212</f>
        <v>720</v>
      </c>
      <c r="I229" s="538">
        <f t="shared" si="21"/>
        <v>720</v>
      </c>
      <c r="J229" s="538">
        <f>J212</f>
        <v>0</v>
      </c>
      <c r="K229" s="538">
        <f t="shared" si="20"/>
        <v>0</v>
      </c>
      <c r="L229" s="536">
        <f t="shared" si="20"/>
        <v>0</v>
      </c>
      <c r="M229" s="536">
        <f t="shared" si="20"/>
        <v>0</v>
      </c>
      <c r="N229" s="536">
        <f t="shared" si="20"/>
        <v>0</v>
      </c>
      <c r="O229" s="536">
        <f t="shared" si="20"/>
        <v>0</v>
      </c>
      <c r="P229" s="536">
        <f t="shared" si="20"/>
        <v>0</v>
      </c>
      <c r="Q229" s="536">
        <f t="shared" si="20"/>
        <v>0</v>
      </c>
      <c r="R229" s="33"/>
      <c r="S229" s="33"/>
    </row>
    <row r="230" spans="1:19" ht="96.75" customHeight="1" thickBot="1">
      <c r="A230" s="638"/>
      <c r="B230" s="648"/>
      <c r="C230" s="649"/>
      <c r="D230" s="903"/>
      <c r="E230" s="897"/>
      <c r="F230" s="535" t="s">
        <v>362</v>
      </c>
      <c r="G230" s="538">
        <f t="shared" si="21"/>
        <v>847</v>
      </c>
      <c r="H230" s="538">
        <f t="shared" si="21"/>
        <v>709</v>
      </c>
      <c r="I230" s="538">
        <f t="shared" si="21"/>
        <v>731</v>
      </c>
      <c r="J230" s="538">
        <f t="shared" si="21"/>
        <v>0</v>
      </c>
      <c r="K230" s="538">
        <f t="shared" si="20"/>
        <v>0</v>
      </c>
      <c r="L230" s="536">
        <f t="shared" si="20"/>
        <v>0</v>
      </c>
      <c r="M230" s="536">
        <f t="shared" si="20"/>
        <v>0</v>
      </c>
      <c r="N230" s="536">
        <f t="shared" si="20"/>
        <v>0</v>
      </c>
      <c r="O230" s="536">
        <f t="shared" si="20"/>
        <v>0</v>
      </c>
      <c r="P230" s="536">
        <f t="shared" si="20"/>
        <v>0</v>
      </c>
      <c r="Q230" s="536">
        <f t="shared" si="20"/>
        <v>0</v>
      </c>
      <c r="R230" s="33"/>
      <c r="S230" s="33"/>
    </row>
    <row r="231" spans="1:19">
      <c r="A231" s="3"/>
      <c r="B231" s="636"/>
      <c r="C231" s="637"/>
      <c r="D231" s="892" t="str">
        <f>IF(ISBLANK(D214),"",(D214))</f>
        <v xml:space="preserve"> Топ 10</v>
      </c>
      <c r="E231" s="894" t="str">
        <f>IF(ISBLANK(E214),"",(E214))</f>
        <v>да</v>
      </c>
      <c r="F231" s="539" t="s">
        <v>311</v>
      </c>
      <c r="G231" s="536">
        <f t="shared" si="21"/>
        <v>700</v>
      </c>
      <c r="H231" s="536">
        <f t="shared" si="21"/>
        <v>720</v>
      </c>
      <c r="I231" s="536">
        <f t="shared" si="21"/>
        <v>720</v>
      </c>
      <c r="J231" s="540">
        <f t="shared" si="21"/>
        <v>0</v>
      </c>
      <c r="K231" s="536">
        <f t="shared" si="20"/>
        <v>0</v>
      </c>
      <c r="L231" s="3"/>
      <c r="M231"/>
      <c r="N231"/>
      <c r="O231" s="33"/>
      <c r="P231" s="33"/>
    </row>
    <row r="232" spans="1:19" ht="15.75" thickBot="1">
      <c r="B232" s="639"/>
      <c r="C232" s="640"/>
      <c r="D232" s="893"/>
      <c r="E232" s="895"/>
      <c r="F232" s="541" t="s">
        <v>362</v>
      </c>
      <c r="G232" s="542">
        <f t="shared" si="21"/>
        <v>671</v>
      </c>
      <c r="H232" s="542">
        <f t="shared" si="21"/>
        <v>674</v>
      </c>
      <c r="I232" s="542">
        <f t="shared" si="21"/>
        <v>665</v>
      </c>
      <c r="J232" s="543">
        <f t="shared" si="21"/>
        <v>0</v>
      </c>
      <c r="K232" s="536">
        <f t="shared" si="20"/>
        <v>0</v>
      </c>
      <c r="M232"/>
      <c r="N232"/>
      <c r="O232" s="33"/>
      <c r="P232" s="33"/>
    </row>
    <row r="233" spans="1:19" ht="14.25" customHeight="1">
      <c r="B233" s="3"/>
      <c r="C233" s="3"/>
      <c r="D233" s="3"/>
      <c r="E233" s="3"/>
      <c r="F233" s="3"/>
      <c r="G233" s="3"/>
      <c r="H233" s="3"/>
      <c r="I233" s="3"/>
      <c r="J233" s="3"/>
      <c r="K233" s="3"/>
      <c r="M233"/>
      <c r="N233"/>
      <c r="O233" s="33"/>
      <c r="P233" s="33"/>
    </row>
    <row r="234" spans="1:19">
      <c r="M234"/>
      <c r="N234"/>
      <c r="O234" s="33"/>
      <c r="P234" s="33"/>
    </row>
  </sheetData>
  <mergeCells count="86">
    <mergeCell ref="D191:D192"/>
    <mergeCell ref="E191:E192"/>
    <mergeCell ref="D185:D186"/>
    <mergeCell ref="E185:E186"/>
    <mergeCell ref="D187:D188"/>
    <mergeCell ref="E187:E188"/>
    <mergeCell ref="D189:D190"/>
    <mergeCell ref="E189:E190"/>
    <mergeCell ref="D210:D211"/>
    <mergeCell ref="E210:E211"/>
    <mergeCell ref="D204:D205"/>
    <mergeCell ref="E204:E205"/>
    <mergeCell ref="E193:E194"/>
    <mergeCell ref="D198:D199"/>
    <mergeCell ref="D200:D201"/>
    <mergeCell ref="E200:E201"/>
    <mergeCell ref="D202:D203"/>
    <mergeCell ref="E202:E203"/>
    <mergeCell ref="E198:E199"/>
    <mergeCell ref="D193:D194"/>
    <mergeCell ref="A81:B81"/>
    <mergeCell ref="A82:B82"/>
    <mergeCell ref="N31:N34"/>
    <mergeCell ref="D173:D174"/>
    <mergeCell ref="E173:E174"/>
    <mergeCell ref="G122:H122"/>
    <mergeCell ref="D171:D172"/>
    <mergeCell ref="E171:E172"/>
    <mergeCell ref="A124:A143"/>
    <mergeCell ref="A144:A161"/>
    <mergeCell ref="E175:E176"/>
    <mergeCell ref="D177:D178"/>
    <mergeCell ref="E177:E178"/>
    <mergeCell ref="E181:E182"/>
    <mergeCell ref="D183:D184"/>
    <mergeCell ref="E183:E184"/>
    <mergeCell ref="D175:D176"/>
    <mergeCell ref="D179:D180"/>
    <mergeCell ref="A21:I21"/>
    <mergeCell ref="D231:D232"/>
    <mergeCell ref="E231:E232"/>
    <mergeCell ref="E229:E230"/>
    <mergeCell ref="D227:D228"/>
    <mergeCell ref="E227:E228"/>
    <mergeCell ref="E218:E219"/>
    <mergeCell ref="E220:E221"/>
    <mergeCell ref="D220:D221"/>
    <mergeCell ref="D218:D219"/>
    <mergeCell ref="D229:D230"/>
    <mergeCell ref="E212:E213"/>
    <mergeCell ref="D212:D213"/>
    <mergeCell ref="E56:H56"/>
    <mergeCell ref="E179:E180"/>
    <mergeCell ref="D181:D182"/>
    <mergeCell ref="D4:E4"/>
    <mergeCell ref="A18:B18"/>
    <mergeCell ref="D10:E10"/>
    <mergeCell ref="B12:C12"/>
    <mergeCell ref="E216:E217"/>
    <mergeCell ref="A26:B26"/>
    <mergeCell ref="A80:B80"/>
    <mergeCell ref="A69:C69"/>
    <mergeCell ref="A83:B83"/>
    <mergeCell ref="A29:M29"/>
    <mergeCell ref="A84:B84"/>
    <mergeCell ref="G16:H16"/>
    <mergeCell ref="C24:D24"/>
    <mergeCell ref="F24:G24"/>
    <mergeCell ref="H24:I24"/>
    <mergeCell ref="C18:E18"/>
    <mergeCell ref="F10:I10"/>
    <mergeCell ref="D214:D215"/>
    <mergeCell ref="E214:E215"/>
    <mergeCell ref="D216:D217"/>
    <mergeCell ref="B1:C1"/>
    <mergeCell ref="B8:C8"/>
    <mergeCell ref="A14:I14"/>
    <mergeCell ref="B6:C6"/>
    <mergeCell ref="D6:E6"/>
    <mergeCell ref="H6:I6"/>
    <mergeCell ref="H8:I8"/>
    <mergeCell ref="B10:C10"/>
    <mergeCell ref="D12:E12"/>
    <mergeCell ref="F12:I12"/>
    <mergeCell ref="A2:I2"/>
    <mergeCell ref="B4:C4"/>
  </mergeCells>
  <phoneticPr fontId="30" type="noConversion"/>
  <conditionalFormatting sqref="A34 E32:G32 A32 L33:M33">
    <cfRule type="expression" dxfId="85" priority="28" stopIfTrue="1">
      <formula>+AND(A31&gt;=#REF!,A31&lt;=#REF!)</formula>
    </cfRule>
  </conditionalFormatting>
  <conditionalFormatting sqref="L34:M34">
    <cfRule type="expression" dxfId="84" priority="29" stopIfTrue="1">
      <formula>+AND(L32&gt;=#REF!,L32&lt;=#REF!)</formula>
    </cfRule>
  </conditionalFormatting>
  <conditionalFormatting sqref="B110:M110 B30:M30">
    <cfRule type="cellIs" dxfId="83" priority="32" stopIfTrue="1" operator="equal">
      <formula>$B$16</formula>
    </cfRule>
  </conditionalFormatting>
  <conditionalFormatting sqref="B12:C12">
    <cfRule type="cellIs" dxfId="82" priority="34" stopIfTrue="1" operator="equal">
      <formula>"C"</formula>
    </cfRule>
    <cfRule type="cellIs" dxfId="81" priority="35" stopIfTrue="1" operator="equal">
      <formula>"B2"</formula>
    </cfRule>
    <cfRule type="cellIs" dxfId="80" priority="36" stopIfTrue="1" operator="equal">
      <formula>"B1"</formula>
    </cfRule>
  </conditionalFormatting>
  <conditionalFormatting sqref="L224:Q224 G226:K226 L168:Q168 G170:K170 L195:Q195 I197:K197 L207:Q207 G209:K209">
    <cfRule type="cellIs" dxfId="79" priority="43" stopIfTrue="1" operator="equal">
      <formula>$B$16</formula>
    </cfRule>
  </conditionalFormatting>
  <conditionalFormatting sqref="F33:K33">
    <cfRule type="expression" dxfId="78" priority="21" stopIfTrue="1">
      <formula>+AND(F32&gt;=#REF!,F32&lt;=#REF!)</formula>
    </cfRule>
  </conditionalFormatting>
  <conditionalFormatting sqref="F34:K34">
    <cfRule type="expression" dxfId="77" priority="20" stopIfTrue="1">
      <formula>+AND(F32&gt;=#REF!,F32&lt;=#REF!)</formula>
    </cfRule>
  </conditionalFormatting>
  <conditionalFormatting sqref="E56:H56">
    <cfRule type="expression" dxfId="76" priority="17" stopIfTrue="1">
      <formula>LEFT($E$56,3)="Все"</formula>
    </cfRule>
  </conditionalFormatting>
  <conditionalFormatting sqref="B33:C33 B31:B32">
    <cfRule type="expression" dxfId="75" priority="12" stopIfTrue="1">
      <formula>+AND(B30&gt;=#REF!,B30&lt;=#REF!)</formula>
    </cfRule>
  </conditionalFormatting>
  <conditionalFormatting sqref="B34:E34">
    <cfRule type="expression" dxfId="74" priority="13" stopIfTrue="1">
      <formula>+AND(B32&gt;=#REF!,B32&lt;=#REF!)</formula>
    </cfRule>
  </conditionalFormatting>
  <conditionalFormatting sqref="H197">
    <cfRule type="cellIs" dxfId="73" priority="6" stopIfTrue="1" operator="equal">
      <formula>$B$16</formula>
    </cfRule>
  </conditionalFormatting>
  <conditionalFormatting sqref="G197">
    <cfRule type="cellIs" dxfId="72" priority="9" stopIfTrue="1" operator="equal">
      <formula>$B$16</formula>
    </cfRule>
  </conditionalFormatting>
  <conditionalFormatting sqref="D32:D33 E33">
    <cfRule type="expression" dxfId="71" priority="3" stopIfTrue="1">
      <formula>+AND(D31&gt;=#REF!,D31&lt;=#REF!)</formula>
    </cfRule>
  </conditionalFormatting>
  <dataValidations count="9">
    <dataValidation type="list" allowBlank="1" showInputMessage="1" showErrorMessage="1" sqref="F6 IW160 SS160 ACO160 AMK160 AWG160 BGC160 BPY160 BZU160 CJQ160 CTM160 DDI160 DNE160 DXA160 EGW160 EQS160 FAO160 FKK160 FUG160 GEC160 GNY160 GXU160 HHQ160 HRM160 IBI160 ILE160 IVA160 JEW160 JOS160 JYO160 KIK160 KSG160 LCC160 LLY160 LVU160 MFQ160 MPM160 MZI160 NJE160 NTA160 OCW160 OMS160 OWO160 PGK160 PQG160 QAC160 QJY160 QTU160 RDQ160 RNM160 RXI160 SHE160 SRA160 TAW160 TKS160 TUO160 UEK160 UOG160 UYC160 VHY160 VRU160 WBQ160 WLM160 WVI160 A124">
      <formula1>Component</formula1>
    </dataValidation>
    <dataValidation type="list" allowBlank="1" showInputMessage="1" showErrorMessage="1" sqref="B16">
      <formula1>PERIOD</formula1>
    </dataValidation>
    <dataValidation type="list" allowBlank="1" showInputMessage="1" showErrorMessage="1" sqref="F10:I10">
      <formula1>LFA</formula1>
    </dataValidation>
    <dataValidation type="list" allowBlank="1" showInputMessage="1" showErrorMessage="1" sqref="B12:C12">
      <formula1>Rating</formula1>
    </dataValidation>
    <dataValidation type="list" allowBlank="1" showInputMessage="1" showErrorMessage="1" sqref="H8:I8">
      <formula1>Phase</formula1>
    </dataValidation>
    <dataValidation type="list" allowBlank="1" showInputMessage="1" showErrorMessage="1" sqref="F8">
      <formula1>Round</formula1>
    </dataValidation>
    <dataValidation type="list" allowBlank="1" showInputMessage="1" showErrorMessage="1" sqref="C26">
      <formula1>Currency</formula1>
    </dataValidation>
    <dataValidation type="list" allowBlank="1" showInputMessage="1" showErrorMessage="1" sqref="B144:B161 WVK135:WVK141 WVJ142:WVJ159 WLO135:WLO141 WLN142:WLN159 WBS135:WBS141 WBR142:WBR159 VRW135:VRW141 VRV142:VRV159 VIA135:VIA141 VHZ142:VHZ159 UYE135:UYE141 UYD142:UYD159 UOI135:UOI141 UOH142:UOH159 UEM135:UEM141 UEL142:UEL159 TUQ135:TUQ141 TUP142:TUP159 TKU135:TKU141 TKT142:TKT159 TAY135:TAY141 TAX142:TAX159 SRC135:SRC141 SRB142:SRB159 SHG135:SHG141 SHF142:SHF159 RXK135:RXK141 RXJ142:RXJ159 RNO135:RNO141 RNN142:RNN159 RDS135:RDS141 RDR142:RDR159 QTW135:QTW141 QTV142:QTV159 QKA135:QKA141 QJZ142:QJZ159 QAE135:QAE141 QAD142:QAD159 PQI135:PQI141 PQH142:PQH159 PGM135:PGM141 PGL142:PGL159 OWQ135:OWQ141 OWP142:OWP159 OMU135:OMU141 OMT142:OMT159 OCY135:OCY141 OCX142:OCX159 NTC135:NTC141 NTB142:NTB159 NJG135:NJG141 NJF142:NJF159 MZK135:MZK141 MZJ142:MZJ159 MPO135:MPO141 MPN142:MPN159 MFS135:MFS141 MFR142:MFR159 LVW135:LVW141 LVV142:LVV159 LMA135:LMA141 LLZ142:LLZ159 LCE135:LCE141 LCD142:LCD159 KSI135:KSI141 KSH142:KSH159 KIM135:KIM141 KIL142:KIL159 JYQ135:JYQ141 JYP142:JYP159 JOU135:JOU141 JOT142:JOT159 JEY135:JEY141 JEX142:JEX159 IVC135:IVC141 IVB142:IVB159 ILG135:ILG141 ILF142:ILF159 IBK135:IBK141 IBJ142:IBJ159 HRO135:HRO141 HRN142:HRN159 HHS135:HHS141 HHR142:HHR159 GXW135:GXW141 GXV142:GXV159 GOA135:GOA141 GNZ142:GNZ159 GEE135:GEE141 GED142:GED159 FUI135:FUI141 FUH142:FUH159 FKM135:FKM141 FKL142:FKL159 FAQ135:FAQ141 FAP142:FAP159 EQU135:EQU141 EQT142:EQT159 EGY135:EGY141 EGX142:EGX159 DXC135:DXC141 DXB142:DXB159 DNG135:DNG141 DNF142:DNF159 DDK135:DDK141 DDJ142:DDJ159 CTO135:CTO141 CTN142:CTN159 CJS135:CJS141 CJR142:CJR159 BZW135:BZW141 BZV142:BZV159 BQA135:BQA141 BPZ142:BPZ159 BGE135:BGE141 BGD142:BGD159 AWI135:AWI141 AWH142:AWH159 AMM135:AMM141 AML142:AML159 ACQ135:ACQ141 ACP142:ACP159 SU135:SU141 ST142:ST159 IY135:IY141 IX142:IX159">
      <formula1>мва</formula1>
    </dataValidation>
    <dataValidation type="list" allowBlank="1" showInputMessage="1" showErrorMessage="1" sqref="WVJ160:WVJ163 IX160:IX163 ST160:ST163 ACP160:ACP163 AML160:AML163 AWH160:AWH163 BGD160:BGD163 BPZ160:BPZ163 BZV160:BZV163 CJR160:CJR163 CTN160:CTN163 DDJ160:DDJ163 DNF160:DNF163 DXB160:DXB163 EGX160:EGX163 EQT160:EQT163 FAP160:FAP163 FKL160:FKL163 FUH160:FUH163 GED160:GED163 GNZ160:GNZ163 GXV160:GXV163 HHR160:HHR163 HRN160:HRN163 IBJ160:IBJ163 ILF160:ILF163 IVB160:IVB163 JEX160:JEX163 JOT160:JOT163 JYP160:JYP163 KIL160:KIL163 KSH160:KSH163 LCD160:LCD163 LLZ160:LLZ163 LVV160:LVV163 MFR160:MFR163 MPN160:MPN163 MZJ160:MZJ163 NJF160:NJF163 NTB160:NTB163 OCX160:OCX163 OMT160:OMT163 OWP160:OWP163 PGL160:PGL163 PQH160:PQH163 QAD160:QAD163 QJZ160:QJZ163 QTV160:QTV163 RDR160:RDR163 RNN160:RNN163 RXJ160:RXJ163 SHF160:SHF163 SRB160:SRB163 TAX160:TAX163 TKT160:TKT163 TUP160:TUP163 UEL160:UEL163 UOH160:UOH163 UYD160:UYD163 VHZ160:VHZ163 VRV160:VRV163 WBR160:WBR163 WLN160:WLN163 B134:B143">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57" max="16383" man="1"/>
  </rowBreaks>
  <ignoredErrors>
    <ignoredError sqref="D227 G226:K226 L224:Q22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90" zoomScaleNormal="110" zoomScaleSheetLayoutView="100" workbookViewId="0">
      <selection activeCell="G11" sqref="G11"/>
    </sheetView>
  </sheetViews>
  <sheetFormatPr defaultColWidth="11.42578125" defaultRowHeight="15"/>
  <cols>
    <col min="1" max="1" width="21.140625" style="3" customWidth="1"/>
    <col min="2" max="2" width="19.5703125" style="3" customWidth="1"/>
    <col min="3" max="3" width="20.5703125" style="3" customWidth="1"/>
    <col min="4" max="4" width="20.42578125" style="3" customWidth="1"/>
    <col min="5" max="5" width="10.85546875" style="3" customWidth="1"/>
    <col min="6" max="6" width="17.42578125" style="3" customWidth="1"/>
    <col min="7" max="7" width="15.5703125" style="3" customWidth="1"/>
    <col min="8" max="8" width="20.140625" style="3" bestFit="1" customWidth="1"/>
    <col min="9" max="9" width="9.42578125" style="3" customWidth="1"/>
    <col min="10" max="10" width="10.2851562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8"/>
      <c r="H1" s="2"/>
      <c r="I1" s="2"/>
      <c r="J1" s="2"/>
    </row>
    <row r="2" spans="1:24" ht="25.5" customHeight="1"/>
    <row r="3" spans="1:24" ht="36">
      <c r="B3" s="928" t="str">
        <f>+"Панель показателей: "&amp;" "&amp;+IF('Ввод данных'!B4="Выберите","",'Ввод данных'!B4&amp;" - ")&amp;+IF('Ввод данных'!F6="Выберите","",'Ввод данных'!F6)</f>
        <v>Панель показателей:  Кыргызстан - ВИЧ/СПИД/ТБ</v>
      </c>
      <c r="C3" s="928"/>
      <c r="D3" s="928"/>
      <c r="E3" s="928"/>
      <c r="F3" s="928"/>
      <c r="G3" s="928"/>
      <c r="H3" s="928"/>
      <c r="I3" s="928"/>
      <c r="J3" s="928"/>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706" t="s">
        <v>113</v>
      </c>
      <c r="B6" s="930" t="str">
        <f>+IF('Ввод данных'!B4="Выберите","",'Ввод данных'!B4)</f>
        <v>Кыргызстан</v>
      </c>
      <c r="C6" s="930"/>
      <c r="D6" s="934" t="s">
        <v>115</v>
      </c>
      <c r="E6" s="934"/>
      <c r="F6" s="935" t="str">
        <f>+'Ввод данных'!F4</f>
        <v>«Эффективный контроль за ВИЧ-инфекцией и туберкулезом в Кыргызской Республике»</v>
      </c>
      <c r="G6" s="935"/>
      <c r="H6" s="935"/>
      <c r="I6" s="935"/>
      <c r="J6" s="935"/>
      <c r="K6" s="47"/>
      <c r="L6" s="75"/>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15.75">
      <c r="A9" s="705" t="s">
        <v>119</v>
      </c>
      <c r="B9" s="307" t="str">
        <f>+IF('Ввод данных'!F6="Please Select","",'Ввод данных'!F6)</f>
        <v>ВИЧ/СПИД/ТБ</v>
      </c>
      <c r="C9" s="188" t="s">
        <v>366</v>
      </c>
      <c r="D9" s="254" t="str">
        <f>+'Ввод данных'!B6</f>
        <v>KGZ-C-UNDP</v>
      </c>
      <c r="E9" s="932" t="s">
        <v>367</v>
      </c>
      <c r="F9" s="932"/>
      <c r="G9" s="255">
        <f>+IF(ISBLANK('Ввод данных'!B10),"",'Ввод данных'!B10)</f>
        <v>43282</v>
      </c>
      <c r="H9" s="318" t="s">
        <v>368</v>
      </c>
      <c r="I9" s="931">
        <f>+IF(ISBLANK('Ввод данных'!H6),"",'Ввод данных'!H6)</f>
        <v>22157492.059999999</v>
      </c>
      <c r="J9" s="931"/>
      <c r="K9" s="47"/>
      <c r="L9" s="47"/>
      <c r="M9" s="47"/>
      <c r="N9" s="47"/>
      <c r="O9" s="49"/>
      <c r="P9" s="48"/>
      <c r="Q9" s="49"/>
      <c r="R9" s="50"/>
      <c r="S9" s="17"/>
      <c r="T9" s="11"/>
      <c r="U9" s="11"/>
      <c r="V9" s="10"/>
      <c r="W9" s="10"/>
      <c r="X9" s="10"/>
    </row>
    <row r="10" spans="1:24" ht="15.75" customHeight="1">
      <c r="A10" s="705" t="s">
        <v>124</v>
      </c>
      <c r="B10" s="308">
        <f>+IF('Ввод данных'!F8="Please Select","",'Ввод данных'!F8)</f>
        <v>0</v>
      </c>
      <c r="C10" s="188" t="s">
        <v>125</v>
      </c>
      <c r="D10" s="306">
        <f>+IF('Ввод данных'!H8="Please Select","",'Ввод данных'!H8)</f>
        <v>0</v>
      </c>
      <c r="E10" s="936" t="s">
        <v>122</v>
      </c>
      <c r="F10" s="937"/>
      <c r="G10" s="929" t="str">
        <f>+'Ввод данных'!B8</f>
        <v>ПРООН</v>
      </c>
      <c r="H10" s="929"/>
      <c r="I10" s="929"/>
      <c r="J10" s="929"/>
      <c r="K10" s="51"/>
      <c r="L10" s="51"/>
      <c r="M10" s="47"/>
      <c r="N10" s="51"/>
      <c r="O10" s="49"/>
      <c r="P10" s="48"/>
      <c r="Q10" s="11"/>
      <c r="R10" s="50"/>
      <c r="S10" s="17"/>
      <c r="T10" s="11"/>
      <c r="U10" s="11"/>
    </row>
    <row r="11" spans="1:24" ht="31.5" customHeight="1">
      <c r="A11" s="705" t="s">
        <v>369</v>
      </c>
      <c r="B11" s="704" t="str">
        <f>+'Ввод данных'!B16</f>
        <v>P3</v>
      </c>
      <c r="C11" s="248" t="s">
        <v>136</v>
      </c>
      <c r="D11" s="707">
        <f>+IF(ISBLANK('Ввод данных'!D16),"",'Ввод данных'!D16)</f>
        <v>43647</v>
      </c>
      <c r="E11" s="932" t="s">
        <v>370</v>
      </c>
      <c r="F11" s="932"/>
      <c r="G11" s="707">
        <f>+IF(ISBLANK('Ввод данных'!F16),"",'Ввод данных'!F16)</f>
        <v>43830</v>
      </c>
      <c r="H11" s="317" t="s">
        <v>371</v>
      </c>
      <c r="I11" s="938" t="str">
        <f>+IF('Ввод данных'!B12="Пожалуйста Выберите","",'Ввод данных'!B12)</f>
        <v>A2</v>
      </c>
      <c r="J11" s="938"/>
      <c r="K11" s="544"/>
      <c r="L11" s="51"/>
      <c r="M11" s="47"/>
      <c r="N11" s="51"/>
      <c r="O11" s="51"/>
      <c r="P11" s="48"/>
      <c r="Q11" s="11"/>
      <c r="R11" s="50"/>
      <c r="S11" s="17"/>
      <c r="T11" s="12"/>
      <c r="U11" s="11"/>
    </row>
    <row r="12" spans="1:24" ht="31.5" customHeight="1">
      <c r="A12" s="310" t="s">
        <v>127</v>
      </c>
      <c r="B12" s="929" t="str">
        <f>+IF('Ввод данных'!F10="Пожалуйста Выберите","",'Ввод данных'!F10)</f>
        <v>UNOPS</v>
      </c>
      <c r="C12" s="929"/>
      <c r="D12" s="929"/>
      <c r="E12" s="933" t="s">
        <v>372</v>
      </c>
      <c r="F12" s="933"/>
      <c r="G12" s="929" t="str">
        <f>+'Ввод данных'!F12</f>
        <v>Алексей Бобрик</v>
      </c>
      <c r="H12" s="929"/>
      <c r="I12" s="929"/>
      <c r="J12" s="929"/>
      <c r="K12" s="51"/>
      <c r="L12" s="51"/>
      <c r="M12" s="47"/>
      <c r="N12" s="51"/>
      <c r="O12" s="17"/>
      <c r="P12" s="48"/>
      <c r="Q12" s="11"/>
      <c r="R12" s="50"/>
      <c r="S12" s="17"/>
      <c r="T12" s="11"/>
      <c r="U12" s="52"/>
      <c r="V12" s="11"/>
      <c r="W12" s="12"/>
      <c r="X12" s="11"/>
    </row>
    <row r="13" spans="1:24" ht="27.75" customHeight="1">
      <c r="A13" s="309" t="s">
        <v>373</v>
      </c>
      <c r="B13" s="929" t="str">
        <f>+'Ввод данных'!C18</f>
        <v>ПРООН</v>
      </c>
      <c r="C13" s="929"/>
      <c r="D13" s="929"/>
      <c r="E13" s="933" t="s">
        <v>374</v>
      </c>
      <c r="F13" s="933"/>
      <c r="G13" s="939">
        <f>+IF(ISBLANK('Ввод данных'!I16),"",'Ввод данных'!I16)</f>
        <v>43908</v>
      </c>
      <c r="H13" s="937"/>
      <c r="I13" s="937"/>
      <c r="J13" s="937"/>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7"/>
      <c r="D16" s="16"/>
      <c r="E16" s="545"/>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70" priority="1" stopIfTrue="1" operator="equal">
      <formula>"C"</formula>
    </cfRule>
    <cfRule type="cellIs" dxfId="69" priority="2" stopIfTrue="1" operator="equal">
      <formula>"B2"</formula>
    </cfRule>
    <cfRule type="cellIs" dxfId="68"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Q36"/>
  <sheetViews>
    <sheetView showGridLines="0" topLeftCell="A25" zoomScale="150" zoomScaleNormal="150" workbookViewId="0">
      <selection activeCell="L33" sqref="L33"/>
    </sheetView>
  </sheetViews>
  <sheetFormatPr defaultColWidth="11" defaultRowHeight="15"/>
  <cols>
    <col min="1" max="1" width="3.85546875" customWidth="1"/>
    <col min="2" max="2" width="11.7109375" customWidth="1"/>
    <col min="3" max="3" width="5.140625" customWidth="1"/>
    <col min="4" max="4" width="12.42578125" customWidth="1"/>
    <col min="5" max="5" width="11.42578125" customWidth="1"/>
    <col min="6" max="6" width="14.28515625" customWidth="1"/>
    <col min="7" max="9" width="3.85546875" customWidth="1"/>
    <col min="10" max="10" width="10.28515625" customWidth="1"/>
    <col min="11" max="11" width="14.7109375" customWidth="1"/>
    <col min="12" max="12" width="12" customWidth="1"/>
    <col min="13" max="13" width="11.7109375" customWidth="1"/>
  </cols>
  <sheetData>
    <row r="1" spans="2:17" ht="30.75" customHeight="1">
      <c r="B1" s="3"/>
      <c r="C1" s="3"/>
      <c r="D1" s="3"/>
      <c r="E1" s="3"/>
      <c r="F1" s="3"/>
      <c r="G1" s="3"/>
      <c r="H1" s="3"/>
      <c r="I1" s="3"/>
      <c r="J1" s="3"/>
      <c r="K1" s="3"/>
      <c r="L1" s="3"/>
      <c r="M1" s="3"/>
    </row>
    <row r="2" spans="2:17" ht="27.75" customHeight="1">
      <c r="B2" s="949" t="str">
        <f>+"Панель показателей:  "&amp;"  "&amp;IF(+'Ввод данных'!B4="Выберите","",'Ввод данных'!B4&amp;" - ")&amp;IF('Ввод данных'!F6="Выберите","",'Ввод данных'!F6)</f>
        <v>Панель показателей:    Кыргызстан - ВИЧ/СПИД/ТБ</v>
      </c>
      <c r="C2" s="949"/>
      <c r="D2" s="949"/>
      <c r="E2" s="949"/>
      <c r="F2" s="949"/>
      <c r="G2" s="949"/>
      <c r="H2" s="949"/>
      <c r="I2" s="949"/>
      <c r="J2" s="949"/>
      <c r="K2" s="949"/>
      <c r="L2" s="949"/>
      <c r="M2" s="949"/>
      <c r="N2" s="1"/>
      <c r="O2" s="1"/>
      <c r="P2" s="1"/>
      <c r="Q2" s="1"/>
    </row>
    <row r="3" spans="2:17">
      <c r="B3" s="311">
        <f>+IF('Ввод данных'!F8="Выберите","",'Ввод данных'!F8)</f>
        <v>0</v>
      </c>
      <c r="C3" s="954"/>
      <c r="D3" s="954"/>
      <c r="E3" s="953"/>
      <c r="F3" s="953"/>
      <c r="G3" s="953"/>
      <c r="H3" s="953"/>
      <c r="I3" s="953"/>
      <c r="J3" s="953"/>
      <c r="K3" s="951" t="str">
        <f>+'Ввод данных'!A16</f>
        <v>Отчетный период</v>
      </c>
      <c r="L3" s="951"/>
      <c r="M3" s="169" t="str">
        <f>+'Ввод данных'!B16</f>
        <v>P3</v>
      </c>
      <c r="N3" s="76"/>
    </row>
    <row r="4" spans="2:17" ht="23.25">
      <c r="B4" s="319" t="str">
        <f>+'Ввод данных'!A12</f>
        <v>Последняя оценка:</v>
      </c>
      <c r="C4" s="955" t="str">
        <f>+IF('Ввод данных'!B12="Выберите","",'Ввод данных'!B12)</f>
        <v>A2</v>
      </c>
      <c r="D4" s="955"/>
      <c r="E4" s="953" t="str">
        <f>+'Ввод данных'!B8</f>
        <v>ПРООН</v>
      </c>
      <c r="F4" s="953"/>
      <c r="G4" s="953"/>
      <c r="H4" s="953"/>
      <c r="I4" s="953"/>
      <c r="J4" s="953"/>
      <c r="K4" s="951" t="str">
        <f>+'Ввод данных'!C16</f>
        <v>с:</v>
      </c>
      <c r="L4" s="952"/>
      <c r="M4" s="171">
        <f>+IF(ISBLANK('Ввод данных'!D16),"",'Ввод данных'!D16)</f>
        <v>43647</v>
      </c>
    </row>
    <row r="5" spans="2:17" ht="18.75" customHeight="1">
      <c r="B5" s="708"/>
      <c r="C5" s="708"/>
      <c r="D5" s="950" t="str">
        <f>+'Ввод данных'!F4</f>
        <v>«Эффективный контроль за ВИЧ-инфекцией и туберкулезом в Кыргызской Республике»</v>
      </c>
      <c r="E5" s="950"/>
      <c r="F5" s="950"/>
      <c r="G5" s="950"/>
      <c r="H5" s="950"/>
      <c r="I5" s="950"/>
      <c r="J5" s="950"/>
      <c r="K5" s="950"/>
      <c r="L5" s="708" t="str">
        <f>+'Ввод данных'!E16</f>
        <v>до:</v>
      </c>
      <c r="M5" s="171">
        <f>+IF(ISBLANK('Ввод данных'!F16),"",'Ввод данных'!F16)</f>
        <v>43830</v>
      </c>
    </row>
    <row r="6" spans="2:17" ht="18.75">
      <c r="B6" s="110"/>
      <c r="C6" s="708"/>
      <c r="D6" s="108"/>
      <c r="E6" s="956" t="s">
        <v>375</v>
      </c>
      <c r="F6" s="956"/>
      <c r="G6" s="956"/>
      <c r="H6" s="956"/>
      <c r="I6" s="956"/>
      <c r="J6" s="956"/>
      <c r="K6" s="3"/>
      <c r="L6" s="3"/>
      <c r="M6" s="3"/>
    </row>
    <row r="7" spans="2:17" ht="10.5" customHeight="1">
      <c r="B7" s="111"/>
      <c r="C7" s="112"/>
      <c r="D7" s="113"/>
      <c r="E7" s="114"/>
      <c r="F7" s="114"/>
      <c r="G7" s="115"/>
      <c r="H7" s="115"/>
      <c r="I7" s="115"/>
      <c r="J7" s="115"/>
      <c r="K7" s="709"/>
      <c r="L7" s="709"/>
      <c r="M7" s="109"/>
    </row>
    <row r="8" spans="2:17">
      <c r="B8" s="174" t="str">
        <f>+'Ввод данных'!A27&amp; " - в ("&amp;'Ввод данных'!C26&amp;")  "&amp;+K3&amp;" "&amp;+M3</f>
        <v>F1: Бюджет и выплаты Глобальным фондом - в ($)  Отчетный период P3</v>
      </c>
      <c r="C8" s="116"/>
      <c r="D8" s="2"/>
      <c r="E8" s="2"/>
      <c r="F8" s="2"/>
      <c r="J8" s="174" t="str">
        <f>+'Ввод данных'!A58&amp; " - в ("&amp;'Ввод данных'!C26&amp;")         "&amp;+K3&amp;" "&amp;+M3</f>
        <v>F3: Выплаты и расходы - в ($)         Отчетный период P3</v>
      </c>
      <c r="K8" s="3"/>
      <c r="L8" s="3"/>
      <c r="M8" s="3"/>
    </row>
    <row r="9" spans="2:17" ht="21.75" customHeight="1">
      <c r="B9" s="257" t="s">
        <v>376</v>
      </c>
      <c r="C9" s="962" t="s">
        <v>377</v>
      </c>
      <c r="D9" s="943"/>
      <c r="E9" s="943"/>
      <c r="F9" s="944"/>
      <c r="J9" s="258" t="s">
        <v>376</v>
      </c>
      <c r="K9" s="940" t="s">
        <v>378</v>
      </c>
      <c r="L9" s="943"/>
      <c r="M9" s="944"/>
    </row>
    <row r="10" spans="2:17">
      <c r="B10" s="2"/>
      <c r="C10" s="2"/>
      <c r="D10" s="2"/>
      <c r="E10" s="2"/>
      <c r="F10" s="2"/>
      <c r="G10" s="3"/>
      <c r="H10" s="3"/>
      <c r="I10" s="3"/>
      <c r="J10" s="3"/>
      <c r="K10" s="3"/>
      <c r="L10" s="3"/>
      <c r="M10" s="3"/>
    </row>
    <row r="11" spans="2:17">
      <c r="B11" s="2"/>
      <c r="C11" s="2"/>
      <c r="D11" s="2"/>
      <c r="E11" s="2"/>
      <c r="F11" s="2"/>
      <c r="G11" s="3"/>
      <c r="H11" s="3"/>
      <c r="I11" s="3"/>
      <c r="J11" s="3"/>
      <c r="K11" s="3"/>
      <c r="L11" s="3"/>
      <c r="M11" s="3"/>
    </row>
    <row r="12" spans="2:17">
      <c r="B12" s="2"/>
      <c r="C12" s="2"/>
      <c r="D12" s="2"/>
      <c r="E12" s="2"/>
      <c r="F12" s="2"/>
      <c r="G12" s="3"/>
      <c r="H12" s="3"/>
      <c r="I12" s="3"/>
      <c r="J12" s="3"/>
      <c r="K12" s="3"/>
      <c r="L12" s="3"/>
      <c r="M12" s="3"/>
    </row>
    <row r="13" spans="2:17">
      <c r="B13" s="2"/>
      <c r="C13" s="2"/>
      <c r="D13" s="2"/>
      <c r="E13" s="2"/>
      <c r="F13" s="2"/>
      <c r="G13" s="3"/>
      <c r="H13" s="3"/>
      <c r="I13" s="3"/>
      <c r="J13" s="3"/>
      <c r="K13" s="3"/>
      <c r="L13" s="3"/>
      <c r="M13" s="3"/>
    </row>
    <row r="14" spans="2:17">
      <c r="B14" s="2"/>
      <c r="C14" s="2"/>
      <c r="D14" s="2"/>
      <c r="E14" s="2"/>
      <c r="F14" s="2"/>
      <c r="G14" s="3"/>
      <c r="H14" s="3"/>
      <c r="I14" s="3"/>
      <c r="J14" s="3"/>
      <c r="K14" s="3"/>
      <c r="L14" s="3"/>
      <c r="M14" s="3"/>
    </row>
    <row r="15" spans="2:17">
      <c r="B15" s="2"/>
      <c r="C15" s="2"/>
      <c r="D15" s="2"/>
      <c r="E15" s="2"/>
      <c r="F15" s="2"/>
      <c r="G15" s="3"/>
      <c r="H15" s="3"/>
      <c r="I15" s="3"/>
      <c r="J15" s="3"/>
      <c r="K15" s="3"/>
      <c r="L15" s="3"/>
      <c r="M15" s="3"/>
    </row>
    <row r="16" spans="2:17">
      <c r="B16" s="2"/>
      <c r="C16" s="2"/>
      <c r="D16" s="2"/>
      <c r="E16" s="2"/>
      <c r="F16" s="2"/>
      <c r="G16" s="3"/>
      <c r="H16" s="3"/>
      <c r="I16" s="3"/>
      <c r="J16" s="3"/>
      <c r="K16" s="3"/>
      <c r="L16" s="3"/>
      <c r="M16" s="3"/>
    </row>
    <row r="17" spans="1:13">
      <c r="B17" s="2"/>
      <c r="C17" s="2"/>
      <c r="D17" s="2"/>
      <c r="E17" s="2"/>
      <c r="F17" s="2"/>
      <c r="G17" s="3"/>
      <c r="H17" s="3"/>
      <c r="I17" s="3"/>
      <c r="J17" s="3"/>
      <c r="K17" s="3"/>
      <c r="L17" s="3"/>
      <c r="M17" s="3"/>
    </row>
    <row r="18" spans="1:13">
      <c r="B18" s="2"/>
      <c r="C18" s="2"/>
      <c r="D18" s="2"/>
      <c r="E18" s="2"/>
      <c r="F18" s="2"/>
      <c r="G18" s="3"/>
      <c r="H18" s="3"/>
      <c r="I18" s="3"/>
      <c r="J18" s="3"/>
      <c r="K18" s="3"/>
      <c r="L18" s="3"/>
      <c r="M18" s="3"/>
    </row>
    <row r="19" spans="1:13">
      <c r="B19" s="2"/>
      <c r="C19" s="2"/>
      <c r="D19" s="2"/>
      <c r="E19" s="2"/>
      <c r="F19" s="2"/>
      <c r="G19" s="3"/>
      <c r="H19" s="3"/>
      <c r="I19" s="3"/>
      <c r="J19" s="3"/>
      <c r="K19" s="3"/>
      <c r="L19" s="3"/>
      <c r="M19" s="3"/>
    </row>
    <row r="20" spans="1:13">
      <c r="B20" s="2"/>
      <c r="C20" s="2"/>
      <c r="D20" s="2"/>
      <c r="E20" s="2"/>
      <c r="F20" s="2"/>
      <c r="G20" s="3"/>
      <c r="H20" s="3"/>
      <c r="I20" s="3"/>
      <c r="J20" s="3"/>
      <c r="K20" s="3"/>
      <c r="L20" s="3"/>
      <c r="M20" s="3"/>
    </row>
    <row r="21" spans="1:13">
      <c r="A21" s="19"/>
      <c r="B21" s="19"/>
      <c r="C21" s="19"/>
      <c r="D21" s="19"/>
      <c r="E21" s="19"/>
      <c r="F21" s="19"/>
      <c r="G21" s="19"/>
      <c r="H21" s="19"/>
      <c r="I21" s="19"/>
      <c r="J21" s="19"/>
      <c r="K21" s="19"/>
      <c r="L21" s="19"/>
      <c r="M21" s="19"/>
    </row>
    <row r="22" spans="1:13" ht="17.25" customHeight="1">
      <c r="B22" s="175" t="str">
        <f>+'Ввод данных'!A36&amp; " - в ("&amp;'Ввод данных'!C26&amp;")  "&amp;+K3&amp;" "&amp;+M3</f>
        <v>F2: Бюджет и фактические расходы согласно задачам гранта - в ($)  Отчетный период P3</v>
      </c>
      <c r="C22" s="2"/>
      <c r="D22" s="2"/>
      <c r="E22" s="2"/>
      <c r="F22" s="2"/>
      <c r="J22" s="175" t="str">
        <f>+'Ввод данных'!A67&amp;"      "&amp;+K3&amp;" "&amp;+M3</f>
        <v>F4: Последний отчетный и платежный цикл ОР      Отчетный период P3</v>
      </c>
      <c r="L22" s="3"/>
      <c r="M22" s="3"/>
    </row>
    <row r="23" spans="1:13" ht="25.5" customHeight="1">
      <c r="B23" s="257" t="s">
        <v>376</v>
      </c>
      <c r="C23" s="940" t="s">
        <v>379</v>
      </c>
      <c r="D23" s="943"/>
      <c r="E23" s="943"/>
      <c r="F23" s="944"/>
      <c r="G23" s="269"/>
      <c r="H23" s="269"/>
      <c r="I23" s="269"/>
      <c r="J23" s="257" t="s">
        <v>376</v>
      </c>
      <c r="K23" s="940" t="s">
        <v>380</v>
      </c>
      <c r="L23" s="941"/>
      <c r="M23" s="942"/>
    </row>
    <row r="24" spans="1:13" ht="15.75" thickBot="1">
      <c r="B24" s="183"/>
      <c r="C24" s="183"/>
      <c r="D24" s="183"/>
      <c r="E24" s="183"/>
      <c r="F24" s="183"/>
      <c r="G24" s="183"/>
      <c r="H24" s="183"/>
      <c r="I24" s="183"/>
      <c r="J24" s="184"/>
      <c r="K24" s="184"/>
      <c r="L24" s="183"/>
      <c r="M24" s="183"/>
    </row>
    <row r="25" spans="1:13" ht="29.25" customHeight="1" thickBot="1">
      <c r="B25" s="3"/>
      <c r="C25" s="3"/>
      <c r="D25" s="3"/>
      <c r="E25" s="3"/>
      <c r="F25" s="3"/>
      <c r="G25" s="246"/>
      <c r="H25" s="246"/>
      <c r="I25" s="246"/>
      <c r="J25" s="957" t="s">
        <v>204</v>
      </c>
      <c r="K25" s="958"/>
      <c r="L25" s="958"/>
      <c r="M25" s="959"/>
    </row>
    <row r="26" spans="1:13" ht="24.75">
      <c r="B26" s="3"/>
      <c r="C26" s="3"/>
      <c r="D26" s="3"/>
      <c r="E26" s="3"/>
      <c r="F26" s="3"/>
      <c r="G26" s="227"/>
      <c r="H26" s="227"/>
      <c r="I26" s="227"/>
      <c r="J26" s="960"/>
      <c r="K26" s="961"/>
      <c r="L26" s="235" t="s">
        <v>205</v>
      </c>
      <c r="M26" s="236" t="s">
        <v>206</v>
      </c>
    </row>
    <row r="27" spans="1:13" ht="23.25" customHeight="1">
      <c r="B27" s="3"/>
      <c r="C27" s="3"/>
      <c r="D27" s="3"/>
      <c r="E27" s="3"/>
      <c r="F27" s="3"/>
      <c r="G27" s="247"/>
      <c r="H27" s="247"/>
      <c r="I27" s="247"/>
      <c r="J27" s="945" t="str">
        <f>'Ввод данных'!A71</f>
        <v xml:space="preserve">Сколько дней понадобилось для подачи ИОР/ЗПС в офис МАФ </v>
      </c>
      <c r="K27" s="946"/>
      <c r="L27" s="237">
        <f>+'Ввод данных'!C71</f>
        <v>60</v>
      </c>
      <c r="M27" s="234">
        <f>+'Ввод данных'!D71</f>
        <v>64</v>
      </c>
    </row>
    <row r="28" spans="1:13" ht="21" customHeight="1">
      <c r="B28" s="3"/>
      <c r="C28" s="3"/>
      <c r="D28" s="3"/>
      <c r="E28" s="3"/>
      <c r="F28" s="3"/>
      <c r="G28" s="247"/>
      <c r="H28" s="247"/>
      <c r="I28" s="247"/>
      <c r="J28" s="945" t="str">
        <f>'Ввод данных'!A72</f>
        <v xml:space="preserve">Спустя сколько дней ОР получил платеж </v>
      </c>
      <c r="K28" s="946"/>
      <c r="L28" s="237">
        <f>+'Ввод данных'!C72</f>
        <v>60</v>
      </c>
      <c r="M28" s="234" t="str">
        <f>+'Ввод данных'!D72</f>
        <v>н/п</v>
      </c>
    </row>
    <row r="29" spans="1:13" ht="21" customHeight="1" thickBot="1">
      <c r="B29" s="3"/>
      <c r="C29" s="3"/>
      <c r="D29" s="3"/>
      <c r="E29" s="3"/>
      <c r="F29" s="3"/>
      <c r="G29" s="247"/>
      <c r="H29" s="247"/>
      <c r="I29" s="247"/>
      <c r="J29" s="947" t="str">
        <f>'Ввод данных'!A73</f>
        <v>Спустя сколько дней суб-реципиенты получили платежи</v>
      </c>
      <c r="K29" s="948"/>
      <c r="L29" s="238">
        <f>+'Ввод данных'!C73</f>
        <v>10</v>
      </c>
      <c r="M29" s="239" t="str">
        <f>+'Ввод данных'!D73</f>
        <v>н/п</v>
      </c>
    </row>
    <row r="30" spans="1:13">
      <c r="B30" s="3"/>
      <c r="C30" s="3"/>
      <c r="D30" s="3"/>
      <c r="E30" s="3"/>
      <c r="F30" s="3"/>
      <c r="G30" s="3"/>
      <c r="H30" s="3"/>
      <c r="I30" s="3"/>
      <c r="J30" s="3"/>
      <c r="K30" s="3"/>
      <c r="L30" s="3"/>
      <c r="M30" s="3"/>
    </row>
    <row r="31" spans="1:13">
      <c r="B31" s="3"/>
      <c r="C31" s="15"/>
      <c r="D31" s="198"/>
      <c r="E31" s="3"/>
      <c r="F31" s="3"/>
      <c r="G31" s="3"/>
      <c r="H31" s="3"/>
      <c r="I31" s="3"/>
      <c r="J31" s="3"/>
      <c r="K31" s="3"/>
      <c r="L31" s="3"/>
      <c r="M31" s="3"/>
    </row>
    <row r="32" spans="1:13">
      <c r="B32" s="3"/>
      <c r="C32" s="15"/>
      <c r="D32" s="198"/>
      <c r="E32" s="3"/>
      <c r="F32" s="3"/>
      <c r="G32" s="3"/>
      <c r="H32" s="3"/>
      <c r="I32" s="3"/>
      <c r="J32" s="3"/>
      <c r="K32" s="3"/>
      <c r="L32" s="3"/>
      <c r="M32" s="3"/>
    </row>
    <row r="34" spans="2:5">
      <c r="B34" s="178" t="s">
        <v>381</v>
      </c>
      <c r="E34" s="19"/>
    </row>
    <row r="35" spans="2:5">
      <c r="B35" s="327"/>
    </row>
    <row r="36" spans="2:5">
      <c r="B36" s="178" t="s">
        <v>382</v>
      </c>
    </row>
  </sheetData>
  <sheetProtection password="CFC9" sheet="1"/>
  <mergeCells count="18">
    <mergeCell ref="E6:J6"/>
    <mergeCell ref="J25:M25"/>
    <mergeCell ref="J26:K26"/>
    <mergeCell ref="J27:K27"/>
    <mergeCell ref="C9:F9"/>
    <mergeCell ref="B2:M2"/>
    <mergeCell ref="D5:K5"/>
    <mergeCell ref="K4:L4"/>
    <mergeCell ref="K3:L3"/>
    <mergeCell ref="E3:J3"/>
    <mergeCell ref="C3:D3"/>
    <mergeCell ref="C4:D4"/>
    <mergeCell ref="E4:J4"/>
    <mergeCell ref="K23:M23"/>
    <mergeCell ref="C23:F23"/>
    <mergeCell ref="K9:M9"/>
    <mergeCell ref="J28:K28"/>
    <mergeCell ref="J29:K29"/>
  </mergeCells>
  <phoneticPr fontId="30" type="noConversion"/>
  <conditionalFormatting sqref="C4:D4">
    <cfRule type="cellIs" dxfId="67" priority="3" stopIfTrue="1" operator="equal">
      <formula>"C"</formula>
    </cfRule>
    <cfRule type="cellIs" dxfId="66" priority="4" stopIfTrue="1" operator="equal">
      <formula>"B2"</formula>
    </cfRule>
    <cfRule type="cellIs" dxfId="65" priority="5" stopIfTrue="1" operator="equal">
      <formula>"B1"</formula>
    </cfRule>
  </conditionalFormatting>
  <conditionalFormatting sqref="M27:M29">
    <cfRule type="expression" dxfId="64" priority="1" stopIfTrue="1">
      <formula>$M27&gt;$L27</formula>
    </cfRule>
    <cfRule type="expression" dxfId="63"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Q74"/>
  <sheetViews>
    <sheetView showGridLines="0" topLeftCell="A55" zoomScale="130" zoomScaleNormal="130" workbookViewId="0">
      <selection activeCell="O31" sqref="O31"/>
    </sheetView>
  </sheetViews>
  <sheetFormatPr defaultColWidth="11" defaultRowHeight="15"/>
  <cols>
    <col min="1" max="1" width="3.28515625" customWidth="1"/>
    <col min="2" max="2" width="12.140625" customWidth="1"/>
    <col min="3" max="3" width="13.140625" customWidth="1"/>
    <col min="4" max="4" width="14.28515625" customWidth="1"/>
    <col min="5" max="5" width="12.85546875" customWidth="1"/>
    <col min="6" max="7" width="17" customWidth="1"/>
    <col min="8" max="8" width="3.85546875" customWidth="1"/>
    <col min="9" max="9" width="17.85546875" customWidth="1"/>
    <col min="10" max="10" width="28.42578125" customWidth="1"/>
    <col min="11" max="11" width="13.7109375" customWidth="1"/>
    <col min="12" max="12" width="13.5703125" customWidth="1"/>
    <col min="13" max="13" width="14.140625" customWidth="1"/>
  </cols>
  <sheetData>
    <row r="1" spans="1:17" ht="28.5" customHeight="1">
      <c r="C1" s="194"/>
      <c r="E1" s="195"/>
    </row>
    <row r="2" spans="1:17" ht="27.75" customHeight="1">
      <c r="B2" s="949" t="str">
        <f>+"Панель показателей:  "&amp;"  "&amp;IF(+'Ввод данных'!B4="Выберите","",'Ввод данных'!B4&amp;" - ")&amp;IF('Ввод данных'!F6="Выберите","",'Ввод данных'!F6)</f>
        <v>Панель показателей:    Кыргызстан - ВИЧ/СПИД/ТБ</v>
      </c>
      <c r="C2" s="949"/>
      <c r="D2" s="949"/>
      <c r="E2" s="949"/>
      <c r="F2" s="949"/>
      <c r="G2" s="949"/>
      <c r="H2" s="949"/>
      <c r="I2" s="949"/>
      <c r="J2" s="949"/>
      <c r="K2" s="949"/>
      <c r="L2" s="949"/>
      <c r="M2" s="949"/>
      <c r="N2" s="24"/>
      <c r="O2" s="24"/>
      <c r="P2" s="24"/>
      <c r="Q2" s="24"/>
    </row>
    <row r="3" spans="1:17" ht="22.5" customHeight="1">
      <c r="A3" s="313"/>
      <c r="B3" s="314">
        <f>+IF('Ввод данных'!F8="Пожалуйста выберите","",'Ввод данных'!F8)</f>
        <v>0</v>
      </c>
      <c r="C3" s="970">
        <f>+IF('Ввод данных'!H8="Пожалуйста выберите","",'Ввод данных'!H8)</f>
        <v>0</v>
      </c>
      <c r="D3" s="970"/>
      <c r="E3" s="964"/>
      <c r="F3" s="964"/>
      <c r="G3" s="964"/>
      <c r="H3" s="964"/>
      <c r="I3" s="964"/>
      <c r="J3" s="964"/>
      <c r="K3" s="965" t="str">
        <f>+'Ввод данных'!A16</f>
        <v>Отчетный период</v>
      </c>
      <c r="L3" s="965"/>
      <c r="M3" s="169" t="str">
        <f>+'Ввод данных'!B16</f>
        <v>P3</v>
      </c>
    </row>
    <row r="4" spans="1:17" ht="25.5" customHeight="1">
      <c r="A4" s="313"/>
      <c r="B4" s="322" t="str">
        <f>+'Ввод данных'!A12</f>
        <v>Последняя оценка:</v>
      </c>
      <c r="C4" s="963" t="str">
        <f>+IF('Ввод данных'!B12="Выберите","",'Ввод данных'!B12)</f>
        <v>A2</v>
      </c>
      <c r="D4" s="963"/>
      <c r="E4" s="964" t="str">
        <f>+'Ввод данных'!B8</f>
        <v>ПРООН</v>
      </c>
      <c r="F4" s="964"/>
      <c r="G4" s="964"/>
      <c r="H4" s="964"/>
      <c r="I4" s="964"/>
      <c r="J4" s="964"/>
      <c r="K4" s="965" t="str">
        <f>+'Ввод данных'!C16</f>
        <v>с:</v>
      </c>
      <c r="L4" s="965"/>
      <c r="M4" s="171">
        <f>+IF(ISBLANK('Ввод данных'!D16),"",'Ввод данных'!D16)</f>
        <v>43647</v>
      </c>
    </row>
    <row r="5" spans="1:17" ht="18.75" customHeight="1">
      <c r="B5" s="711"/>
      <c r="C5" s="711"/>
      <c r="D5" s="964" t="str">
        <f>+'Ввод данных'!F4</f>
        <v>«Эффективный контроль за ВИЧ-инфекцией и туберкулезом в Кыргызской Республике»</v>
      </c>
      <c r="E5" s="964"/>
      <c r="F5" s="964"/>
      <c r="G5" s="964"/>
      <c r="H5" s="964"/>
      <c r="I5" s="964"/>
      <c r="J5" s="964"/>
      <c r="K5" s="964"/>
      <c r="L5" s="711" t="str">
        <f>+'Ввод данных'!E16</f>
        <v>до:</v>
      </c>
      <c r="M5" s="171">
        <f>+IF(ISBLANK('Ввод данных'!F16),"",'Ввод данных'!F16)</f>
        <v>43830</v>
      </c>
    </row>
    <row r="6" spans="1:17" ht="18.75">
      <c r="B6" s="22"/>
      <c r="C6" s="711"/>
      <c r="D6" s="23"/>
      <c r="E6" s="546" t="s">
        <v>383</v>
      </c>
      <c r="F6" s="546"/>
      <c r="G6" s="546"/>
      <c r="H6" s="546"/>
      <c r="I6" s="546"/>
      <c r="J6" s="546"/>
    </row>
    <row r="7" spans="1:17" ht="22.5" customHeight="1" thickBot="1">
      <c r="B7" s="968" t="str">
        <f>+'Ввод данных'!A78&amp;" "&amp;+K3&amp;"   "&amp;+M3</f>
        <v>M1: Статус Предварительных условий (ПУ) и Действий с установленным сроком исполнения (ДУС) Отчетный период   P3</v>
      </c>
      <c r="C7" s="968"/>
      <c r="D7" s="968"/>
      <c r="E7" s="968"/>
      <c r="F7" s="968"/>
      <c r="G7" s="712"/>
      <c r="I7" s="270" t="str">
        <f>+'Ввод данных'!A87&amp;"                                       "&amp;+K3&amp;"  "&amp;+M3</f>
        <v>M2: Статус ключевых руководящих должностей в структуре ОР                                       Отчетный период  P3</v>
      </c>
    </row>
    <row r="8" spans="1:17" ht="25.5" customHeight="1" thickBot="1">
      <c r="B8" s="485" t="s">
        <v>376</v>
      </c>
      <c r="C8" s="966" t="s">
        <v>384</v>
      </c>
      <c r="D8" s="966"/>
      <c r="E8" s="966"/>
      <c r="F8" s="967"/>
      <c r="G8" s="486"/>
      <c r="H8" s="487"/>
      <c r="I8" s="485" t="s">
        <v>376</v>
      </c>
      <c r="J8" s="971" t="s">
        <v>385</v>
      </c>
      <c r="K8" s="972"/>
      <c r="L8" s="972"/>
      <c r="M8" s="973"/>
    </row>
    <row r="9" spans="1:17">
      <c r="B9" s="19"/>
      <c r="C9" s="19"/>
      <c r="D9" s="19"/>
      <c r="E9" s="19"/>
      <c r="F9" s="19"/>
      <c r="G9" s="19"/>
      <c r="H9" s="19"/>
      <c r="I9" s="19"/>
    </row>
    <row r="10" spans="1:17">
      <c r="A10" s="44"/>
      <c r="B10" s="19"/>
      <c r="C10" s="19"/>
      <c r="D10" s="969"/>
      <c r="E10" s="831"/>
      <c r="F10" s="831"/>
      <c r="G10" s="694"/>
      <c r="H10" s="694"/>
      <c r="I10" s="19"/>
      <c r="O10" s="46"/>
      <c r="P10" s="46"/>
      <c r="Q10" s="45"/>
    </row>
    <row r="11" spans="1:17">
      <c r="B11" s="19"/>
      <c r="C11" s="713"/>
      <c r="D11" s="969"/>
      <c r="E11" s="713"/>
      <c r="F11" s="713"/>
      <c r="G11" s="713"/>
      <c r="H11" s="713"/>
      <c r="I11" s="713"/>
      <c r="O11" s="19"/>
      <c r="P11" s="19"/>
    </row>
    <row r="12" spans="1:17">
      <c r="B12" s="19"/>
      <c r="C12" s="713"/>
      <c r="D12" s="713"/>
      <c r="E12" s="713"/>
      <c r="F12" s="713"/>
      <c r="G12" s="713"/>
      <c r="H12" s="713"/>
      <c r="I12" s="713"/>
      <c r="O12" s="19"/>
      <c r="P12" s="19"/>
    </row>
    <row r="13" spans="1:17">
      <c r="B13" s="19"/>
      <c r="C13" s="713"/>
      <c r="D13" s="713"/>
      <c r="E13" s="713"/>
      <c r="F13" s="713"/>
      <c r="G13" s="713"/>
      <c r="H13" s="713"/>
      <c r="I13" s="713"/>
      <c r="O13" s="19"/>
      <c r="P13" s="19"/>
    </row>
    <row r="14" spans="1:17">
      <c r="B14" s="19"/>
      <c r="C14" s="713"/>
      <c r="D14" s="713"/>
      <c r="E14" s="713"/>
      <c r="F14" s="713"/>
      <c r="G14" s="713"/>
      <c r="H14" s="713"/>
      <c r="I14" s="713"/>
      <c r="O14" s="19"/>
      <c r="P14" s="19"/>
    </row>
    <row r="15" spans="1:17">
      <c r="B15" s="713"/>
      <c r="C15" s="72"/>
      <c r="D15" s="73"/>
      <c r="E15" s="73"/>
      <c r="F15" s="73"/>
      <c r="G15" s="73"/>
      <c r="H15" s="73"/>
      <c r="I15" s="74"/>
    </row>
    <row r="16" spans="1:17">
      <c r="B16" s="713"/>
      <c r="C16" s="72"/>
      <c r="D16" s="73"/>
      <c r="E16" s="73"/>
      <c r="F16" s="73"/>
      <c r="G16" s="73"/>
      <c r="H16" s="73"/>
      <c r="I16" s="74"/>
    </row>
    <row r="17" spans="2:14" ht="40.5" customHeight="1"/>
    <row r="18" spans="2:14" ht="27.75" customHeight="1" thickBot="1">
      <c r="B18" s="270" t="str">
        <f>+'Ввод данных'!A94&amp;"                                                                                                  "&amp;+K3&amp;" "&amp;+M3</f>
        <v>M3: Контрактные соглашения (СР)                                                                                                   Отчетный период P3</v>
      </c>
      <c r="I18" s="270" t="str">
        <f>+'Ввод данных'!A100&amp;"                                       "&amp;+K3&amp;" "&amp;+M3</f>
        <v>M4: Количество полных отчетов, полученных к установленному сроку                                       Отчетный период P3</v>
      </c>
    </row>
    <row r="19" spans="2:14" ht="118.5" customHeight="1" thickBot="1">
      <c r="B19" s="484" t="s">
        <v>376</v>
      </c>
      <c r="C19" s="981" t="s">
        <v>386</v>
      </c>
      <c r="D19" s="981"/>
      <c r="E19" s="981"/>
      <c r="F19" s="982"/>
      <c r="I19" s="484" t="s">
        <v>387</v>
      </c>
      <c r="J19" s="981" t="s">
        <v>388</v>
      </c>
      <c r="K19" s="981"/>
      <c r="L19" s="981"/>
      <c r="M19" s="982"/>
    </row>
    <row r="20" spans="2:14" ht="27.75" customHeight="1">
      <c r="B20" s="270"/>
    </row>
    <row r="21" spans="2:14" ht="27.75" customHeight="1">
      <c r="B21" s="270"/>
      <c r="I21" s="270"/>
    </row>
    <row r="22" spans="2:14" ht="27.75" customHeight="1">
      <c r="B22" s="270"/>
      <c r="I22" s="270"/>
    </row>
    <row r="23" spans="2:14" ht="27.75" customHeight="1">
      <c r="B23" s="270"/>
    </row>
    <row r="24" spans="2:14">
      <c r="B24" s="26"/>
      <c r="I24" s="27"/>
    </row>
    <row r="25" spans="2:14">
      <c r="N25" s="76"/>
    </row>
    <row r="28" spans="2:14" ht="24.75" customHeight="1">
      <c r="B28" s="983" t="str">
        <f>+'Ввод данных'!A108</f>
        <v>M5: Бюджет и закупки товаров медицинского назначения, медицинского оборудования,  лекарственных средств и фармацевтических препаратов</v>
      </c>
      <c r="C28" s="983"/>
      <c r="D28" s="983"/>
      <c r="E28" s="983"/>
      <c r="F28" s="983"/>
      <c r="I28" s="984" t="str">
        <f>+'Ввод данных'!A121&amp;"                    "&amp;+K3&amp;"  "&amp;+M3</f>
        <v>M6: Разница между текущим и резервным запасами                    Отчетный период  P3</v>
      </c>
      <c r="J28" s="984"/>
      <c r="K28" s="984"/>
      <c r="L28" s="984"/>
      <c r="M28" s="984"/>
    </row>
    <row r="29" spans="2:14" ht="84" customHeight="1">
      <c r="B29" s="980" t="s">
        <v>376</v>
      </c>
      <c r="C29" s="979" t="s">
        <v>389</v>
      </c>
      <c r="D29" s="979"/>
      <c r="E29" s="979"/>
      <c r="F29" s="979"/>
      <c r="G29" s="316"/>
      <c r="H29" s="271"/>
      <c r="I29" s="714" t="s">
        <v>390</v>
      </c>
      <c r="J29" s="986" t="s">
        <v>716</v>
      </c>
      <c r="K29" s="987"/>
      <c r="L29" s="987"/>
      <c r="M29" s="987"/>
    </row>
    <row r="30" spans="2:14" ht="117.75" customHeight="1" thickBot="1">
      <c r="B30" s="980"/>
      <c r="C30" s="979"/>
      <c r="D30" s="979"/>
      <c r="E30" s="979"/>
      <c r="F30" s="979"/>
      <c r="I30" s="714" t="s">
        <v>387</v>
      </c>
      <c r="J30" s="988" t="s">
        <v>717</v>
      </c>
      <c r="K30" s="988"/>
      <c r="L30" s="988"/>
      <c r="M30" s="988"/>
    </row>
    <row r="31" spans="2:14" ht="102">
      <c r="F31" s="249"/>
      <c r="G31" s="249"/>
      <c r="H31" s="249"/>
      <c r="I31" s="597" t="s">
        <v>255</v>
      </c>
      <c r="J31" s="598" t="s">
        <v>391</v>
      </c>
      <c r="K31" s="599" t="s">
        <v>392</v>
      </c>
      <c r="L31" s="599" t="s">
        <v>393</v>
      </c>
      <c r="M31" s="600" t="s">
        <v>394</v>
      </c>
    </row>
    <row r="32" spans="2:14">
      <c r="F32" s="249"/>
      <c r="G32" s="249"/>
      <c r="H32" s="249"/>
      <c r="I32" s="977" t="str">
        <f>+'Ввод данных'!A124</f>
        <v>ВИЧ / СПИД</v>
      </c>
      <c r="J32" s="551" t="s">
        <v>267</v>
      </c>
      <c r="K32" s="551">
        <v>2.3754901960784314</v>
      </c>
      <c r="L32" s="551">
        <v>3</v>
      </c>
      <c r="M32" s="683">
        <v>-0.62450980392156863</v>
      </c>
    </row>
    <row r="33" spans="2:13">
      <c r="F33" s="249"/>
      <c r="G33" s="249"/>
      <c r="H33" s="249"/>
      <c r="I33" s="978"/>
      <c r="J33" s="551" t="s">
        <v>268</v>
      </c>
      <c r="K33" s="551">
        <v>7.0661111111111108</v>
      </c>
      <c r="L33" s="551">
        <v>3</v>
      </c>
      <c r="M33" s="683">
        <v>4.0661111111111108</v>
      </c>
    </row>
    <row r="34" spans="2:13">
      <c r="F34" s="249"/>
      <c r="G34" s="249"/>
      <c r="H34" s="249"/>
      <c r="I34" s="978"/>
      <c r="J34" s="551" t="s">
        <v>269</v>
      </c>
      <c r="K34" s="551">
        <v>6.9863762102351314</v>
      </c>
      <c r="L34" s="551">
        <v>3</v>
      </c>
      <c r="M34" s="683">
        <v>3.9863762102351314</v>
      </c>
    </row>
    <row r="35" spans="2:13">
      <c r="F35" s="249"/>
      <c r="G35" s="249"/>
      <c r="H35" s="249"/>
      <c r="I35" s="978"/>
      <c r="J35" s="551" t="s">
        <v>270</v>
      </c>
      <c r="K35" s="551">
        <v>2.0408163265306123</v>
      </c>
      <c r="L35" s="551">
        <v>3</v>
      </c>
      <c r="M35" s="683">
        <v>-0.95918367346938771</v>
      </c>
    </row>
    <row r="36" spans="2:13">
      <c r="F36" s="249"/>
      <c r="G36" s="249"/>
      <c r="H36" s="249"/>
      <c r="I36" s="978"/>
      <c r="J36" s="551" t="s">
        <v>271</v>
      </c>
      <c r="K36" s="551">
        <v>6.2497512437810947</v>
      </c>
      <c r="L36" s="551">
        <v>3</v>
      </c>
      <c r="M36" s="683">
        <v>3.2497512437810947</v>
      </c>
    </row>
    <row r="37" spans="2:13">
      <c r="F37" s="249"/>
      <c r="G37" s="249"/>
      <c r="H37" s="249"/>
      <c r="I37" s="978"/>
      <c r="J37" s="551" t="s">
        <v>272</v>
      </c>
      <c r="K37" s="551">
        <v>1.1925465838509317</v>
      </c>
      <c r="L37" s="551">
        <v>3</v>
      </c>
      <c r="M37" s="683">
        <v>-1.8074534161490683</v>
      </c>
    </row>
    <row r="38" spans="2:13">
      <c r="F38" s="249"/>
      <c r="G38" s="249"/>
      <c r="H38" s="249"/>
      <c r="I38" s="978"/>
      <c r="J38" s="551" t="s">
        <v>273</v>
      </c>
      <c r="K38" s="551">
        <v>12.082222222222223</v>
      </c>
      <c r="L38" s="551">
        <v>3</v>
      </c>
      <c r="M38" s="683">
        <v>9.0822222222222226</v>
      </c>
    </row>
    <row r="39" spans="2:13">
      <c r="B39" s="985" t="str">
        <f>+'Ввод данных'!A118</f>
        <v>* Включает только категории 4 и 5 ПФО (товары медицинского назначения и медицинское оборудование, лекарственные средства и фармацевтические препараты)</v>
      </c>
      <c r="C39" s="985"/>
      <c r="D39" s="985"/>
      <c r="E39" s="985"/>
      <c r="F39" s="249"/>
      <c r="G39" s="249"/>
      <c r="H39" s="249"/>
      <c r="I39" s="978"/>
      <c r="J39" s="551" t="s">
        <v>274</v>
      </c>
      <c r="K39" s="551">
        <v>53</v>
      </c>
      <c r="L39" s="551">
        <v>3</v>
      </c>
      <c r="M39" s="683">
        <v>50</v>
      </c>
    </row>
    <row r="40" spans="2:13">
      <c r="F40" s="249"/>
      <c r="G40" s="249"/>
      <c r="H40" s="249"/>
      <c r="I40" s="978"/>
      <c r="J40" s="551" t="s">
        <v>275</v>
      </c>
      <c r="K40" s="551">
        <v>2.5016064257028114</v>
      </c>
      <c r="L40" s="551">
        <v>3</v>
      </c>
      <c r="M40" s="683">
        <v>-0.49839357429718856</v>
      </c>
    </row>
    <row r="41" spans="2:13">
      <c r="F41" s="249"/>
      <c r="G41" s="249"/>
      <c r="H41" s="249"/>
      <c r="I41" s="978"/>
      <c r="J41" s="551" t="s">
        <v>276</v>
      </c>
      <c r="K41" s="551">
        <v>2.8104977821586989</v>
      </c>
      <c r="L41" s="551">
        <v>3</v>
      </c>
      <c r="M41" s="683">
        <v>-0.18950221784130106</v>
      </c>
    </row>
    <row r="42" spans="2:13">
      <c r="F42" s="249"/>
      <c r="G42" s="249"/>
      <c r="H42" s="249"/>
      <c r="I42" s="978"/>
      <c r="J42" s="551" t="s">
        <v>277</v>
      </c>
      <c r="K42" s="551">
        <v>3.742829457364341</v>
      </c>
      <c r="L42" s="551">
        <v>3</v>
      </c>
      <c r="M42" s="683">
        <v>0.74282945736434103</v>
      </c>
    </row>
    <row r="43" spans="2:13" ht="15" customHeight="1">
      <c r="F43" s="249"/>
      <c r="G43" s="249"/>
      <c r="H43" s="249"/>
      <c r="I43" s="978"/>
      <c r="J43" s="551" t="s">
        <v>278</v>
      </c>
      <c r="K43" s="551">
        <v>8.9361111111111118</v>
      </c>
      <c r="L43" s="551">
        <v>3</v>
      </c>
      <c r="M43" s="552">
        <v>5.9361111111111118</v>
      </c>
    </row>
    <row r="44" spans="2:13">
      <c r="F44" s="249"/>
      <c r="G44" s="249"/>
      <c r="H44" s="249"/>
      <c r="I44" s="978"/>
      <c r="J44" s="551" t="s">
        <v>279</v>
      </c>
      <c r="K44" s="551">
        <v>5.1762820512820511</v>
      </c>
      <c r="L44" s="551">
        <v>3</v>
      </c>
      <c r="M44" s="683">
        <v>2.1762820512820511</v>
      </c>
    </row>
    <row r="45" spans="2:13">
      <c r="F45" s="249"/>
      <c r="G45" s="249"/>
      <c r="H45" s="249"/>
      <c r="I45" s="978"/>
      <c r="J45" s="551" t="s">
        <v>280</v>
      </c>
      <c r="K45" s="551">
        <v>3</v>
      </c>
      <c r="L45" s="551">
        <v>3</v>
      </c>
      <c r="M45" s="683">
        <v>0</v>
      </c>
    </row>
    <row r="46" spans="2:13">
      <c r="F46" s="249"/>
      <c r="G46" s="249"/>
      <c r="H46" s="249"/>
      <c r="I46" s="978"/>
      <c r="J46" s="551" t="s">
        <v>281</v>
      </c>
      <c r="K46" s="551">
        <v>24</v>
      </c>
      <c r="L46" s="551">
        <v>3</v>
      </c>
      <c r="M46" s="683">
        <v>21</v>
      </c>
    </row>
    <row r="47" spans="2:13">
      <c r="F47" s="249"/>
      <c r="G47" s="249"/>
      <c r="H47" s="249"/>
      <c r="I47" s="978"/>
      <c r="J47" s="551" t="s">
        <v>282</v>
      </c>
      <c r="K47" s="551">
        <v>37.666666666666664</v>
      </c>
      <c r="L47" s="551">
        <v>3</v>
      </c>
      <c r="M47" s="683">
        <v>34.666666666666664</v>
      </c>
    </row>
    <row r="48" spans="2:13">
      <c r="F48" s="249"/>
      <c r="G48" s="249"/>
      <c r="H48" s="249"/>
      <c r="I48" s="978"/>
      <c r="J48" s="551" t="s">
        <v>283</v>
      </c>
      <c r="K48" s="551">
        <v>9.2380952380952372</v>
      </c>
      <c r="L48" s="551">
        <v>3</v>
      </c>
      <c r="M48" s="552">
        <v>6.2380952380952372</v>
      </c>
    </row>
    <row r="49" spans="2:13">
      <c r="F49" s="249"/>
      <c r="G49" s="249"/>
      <c r="H49" s="249"/>
      <c r="I49" s="978"/>
      <c r="J49" s="551" t="s">
        <v>284</v>
      </c>
      <c r="K49" s="551">
        <v>82.666666666666671</v>
      </c>
      <c r="L49" s="551">
        <v>3</v>
      </c>
      <c r="M49" s="683">
        <v>79.666666666666671</v>
      </c>
    </row>
    <row r="50" spans="2:13">
      <c r="F50" s="249"/>
      <c r="G50" s="249"/>
      <c r="H50" s="249"/>
      <c r="I50" s="978"/>
      <c r="J50" s="551" t="s">
        <v>285</v>
      </c>
      <c r="K50" s="551">
        <v>18.402148925537233</v>
      </c>
      <c r="L50" s="551">
        <v>3</v>
      </c>
      <c r="M50" s="683">
        <v>15.402148925537233</v>
      </c>
    </row>
    <row r="51" spans="2:13">
      <c r="F51" s="249"/>
      <c r="G51" s="249"/>
      <c r="H51" s="249"/>
      <c r="I51" s="978"/>
      <c r="J51" s="551" t="s">
        <v>395</v>
      </c>
      <c r="K51" s="551">
        <v>2.5707434052757794</v>
      </c>
      <c r="L51" s="551">
        <v>3</v>
      </c>
      <c r="M51" s="683">
        <v>-0.42925659472422062</v>
      </c>
    </row>
    <row r="52" spans="2:13">
      <c r="F52" s="249"/>
      <c r="G52" s="249"/>
      <c r="H52" s="249"/>
      <c r="I52" s="978"/>
      <c r="J52" s="551" t="s">
        <v>396</v>
      </c>
      <c r="K52" s="551">
        <f>40/3.5</f>
        <v>11.428571428571429</v>
      </c>
      <c r="L52" s="551">
        <v>3</v>
      </c>
      <c r="M52" s="552">
        <f t="shared" ref="M52" si="0">K52-L52</f>
        <v>8.4285714285714288</v>
      </c>
    </row>
    <row r="53" spans="2:13">
      <c r="F53" s="249"/>
      <c r="G53" s="249"/>
      <c r="H53" s="249"/>
      <c r="I53" s="978"/>
      <c r="J53" s="553" t="s">
        <v>397</v>
      </c>
      <c r="K53" s="595">
        <f>22/5</f>
        <v>4.4000000000000004</v>
      </c>
      <c r="L53" s="682">
        <v>3</v>
      </c>
      <c r="M53" s="683">
        <f>K53-L53</f>
        <v>1.4000000000000004</v>
      </c>
    </row>
    <row r="54" spans="2:13">
      <c r="F54" s="249"/>
      <c r="G54" s="249"/>
      <c r="H54" s="249"/>
      <c r="I54" s="978"/>
      <c r="J54" s="553" t="s">
        <v>398</v>
      </c>
      <c r="K54" s="595">
        <f>399/62</f>
        <v>6.435483870967742</v>
      </c>
      <c r="L54" s="682">
        <v>3</v>
      </c>
      <c r="M54" s="683">
        <f>K54-L54</f>
        <v>3.435483870967742</v>
      </c>
    </row>
    <row r="55" spans="2:13" ht="26.25">
      <c r="F55" s="249"/>
      <c r="G55" s="249"/>
      <c r="H55" s="249"/>
      <c r="I55" s="978"/>
      <c r="J55" s="596" t="s">
        <v>399</v>
      </c>
      <c r="K55" s="593">
        <f>22000/1147</f>
        <v>19.18047079337402</v>
      </c>
      <c r="L55" s="593">
        <v>3</v>
      </c>
      <c r="M55" s="594">
        <f>K55-L55</f>
        <v>16.18047079337402</v>
      </c>
    </row>
    <row r="56" spans="2:13">
      <c r="F56" s="19"/>
      <c r="G56" s="19"/>
      <c r="H56" s="19"/>
      <c r="I56" s="974">
        <f>+'Ввод данных'!A142</f>
        <v>0</v>
      </c>
      <c r="J56" s="662" t="s">
        <v>287</v>
      </c>
      <c r="K56" s="667">
        <v>6.0420512820512817</v>
      </c>
      <c r="L56" s="668">
        <v>3</v>
      </c>
      <c r="M56" s="669">
        <v>3.0420512820512817</v>
      </c>
    </row>
    <row r="57" spans="2:13">
      <c r="F57" s="19"/>
      <c r="G57" s="19"/>
      <c r="H57" s="19"/>
      <c r="I57" s="975"/>
      <c r="J57" s="663" t="s">
        <v>288</v>
      </c>
      <c r="K57" s="667">
        <v>16.441094941094942</v>
      </c>
      <c r="L57" s="668">
        <v>3</v>
      </c>
      <c r="M57" s="1259">
        <v>13.441094941094942</v>
      </c>
    </row>
    <row r="58" spans="2:13">
      <c r="F58" s="19"/>
      <c r="G58" s="19"/>
      <c r="H58" s="19"/>
      <c r="I58" s="975"/>
      <c r="J58" s="663" t="s">
        <v>289</v>
      </c>
      <c r="K58" s="667">
        <v>11.612037037037037</v>
      </c>
      <c r="L58" s="668">
        <v>3</v>
      </c>
      <c r="M58" s="1259">
        <v>8.6120370370370374</v>
      </c>
    </row>
    <row r="59" spans="2:13">
      <c r="B59" s="715"/>
      <c r="C59" s="715"/>
      <c r="D59" s="715"/>
      <c r="E59" s="715"/>
      <c r="F59" s="19"/>
      <c r="G59" s="19"/>
      <c r="H59" s="19"/>
      <c r="I59" s="975"/>
      <c r="J59" s="663" t="s">
        <v>290</v>
      </c>
      <c r="K59" s="667">
        <v>54.559375000000003</v>
      </c>
      <c r="L59" s="668">
        <v>3</v>
      </c>
      <c r="M59" s="1259">
        <v>51.559375000000003</v>
      </c>
    </row>
    <row r="60" spans="2:13">
      <c r="F60" s="19"/>
      <c r="G60" s="19"/>
      <c r="H60" s="19"/>
      <c r="I60" s="975"/>
      <c r="J60" s="663" t="s">
        <v>291</v>
      </c>
      <c r="K60" s="667">
        <v>11.283705253370526</v>
      </c>
      <c r="L60" s="668">
        <v>3</v>
      </c>
      <c r="M60" s="1259">
        <v>8.2837052533705258</v>
      </c>
    </row>
    <row r="61" spans="2:13">
      <c r="F61" s="19"/>
      <c r="G61" s="19"/>
      <c r="H61" s="19"/>
      <c r="I61" s="975"/>
      <c r="J61" s="663" t="s">
        <v>292</v>
      </c>
      <c r="K61" s="667">
        <v>4.6700577858880781</v>
      </c>
      <c r="L61" s="668">
        <v>3</v>
      </c>
      <c r="M61" s="1259">
        <v>1.6700577858880781</v>
      </c>
    </row>
    <row r="62" spans="2:13">
      <c r="F62" s="19"/>
      <c r="G62" s="19"/>
      <c r="H62" s="19"/>
      <c r="I62" s="975"/>
      <c r="J62" s="663" t="s">
        <v>293</v>
      </c>
      <c r="K62" s="667">
        <v>18.515079365079366</v>
      </c>
      <c r="L62" s="668">
        <v>3</v>
      </c>
      <c r="M62" s="1259">
        <v>15.515079365079366</v>
      </c>
    </row>
    <row r="63" spans="2:13">
      <c r="F63" s="19"/>
      <c r="G63" s="19"/>
      <c r="H63" s="19"/>
      <c r="I63" s="975"/>
      <c r="J63" s="663" t="s">
        <v>294</v>
      </c>
      <c r="K63" s="667">
        <v>7.8937712418300654</v>
      </c>
      <c r="L63" s="668">
        <v>3</v>
      </c>
      <c r="M63" s="1259">
        <v>4.8937712418300654</v>
      </c>
    </row>
    <row r="64" spans="2:13">
      <c r="F64" s="19"/>
      <c r="G64" s="19"/>
      <c r="H64" s="19"/>
      <c r="I64" s="975"/>
      <c r="J64" s="663" t="s">
        <v>295</v>
      </c>
      <c r="K64" s="667">
        <v>9.0728748806112698</v>
      </c>
      <c r="L64" s="668">
        <v>3</v>
      </c>
      <c r="M64" s="1259">
        <v>6.0728748806112698</v>
      </c>
    </row>
    <row r="65" spans="6:13">
      <c r="F65" s="19"/>
      <c r="G65" s="19"/>
      <c r="H65" s="19"/>
      <c r="I65" s="975"/>
      <c r="J65" s="663" t="s">
        <v>296</v>
      </c>
      <c r="K65" s="667">
        <v>37.023626373626371</v>
      </c>
      <c r="L65" s="668">
        <v>3</v>
      </c>
      <c r="M65" s="1259">
        <v>34.023626373626371</v>
      </c>
    </row>
    <row r="66" spans="6:13">
      <c r="F66" s="19"/>
      <c r="G66" s="19"/>
      <c r="H66" s="19"/>
      <c r="I66" s="975"/>
      <c r="J66" s="663" t="s">
        <v>297</v>
      </c>
      <c r="K66" s="667">
        <v>21.702041289723962</v>
      </c>
      <c r="L66" s="668">
        <v>3</v>
      </c>
      <c r="M66" s="1259">
        <v>18.702041289723962</v>
      </c>
    </row>
    <row r="67" spans="6:13">
      <c r="F67" s="19"/>
      <c r="G67" s="19"/>
      <c r="H67" s="19"/>
      <c r="I67" s="975"/>
      <c r="J67" s="663" t="s">
        <v>298</v>
      </c>
      <c r="K67" s="667">
        <v>3.4013291139240507</v>
      </c>
      <c r="L67" s="668">
        <v>3</v>
      </c>
      <c r="M67" s="1259">
        <v>0.40132911392405068</v>
      </c>
    </row>
    <row r="68" spans="6:13">
      <c r="F68" s="19"/>
      <c r="G68" s="19"/>
      <c r="H68" s="19"/>
      <c r="I68" s="975"/>
      <c r="J68" s="663" t="s">
        <v>299</v>
      </c>
      <c r="K68" s="667">
        <v>12.853152791708458</v>
      </c>
      <c r="L68" s="668">
        <v>3</v>
      </c>
      <c r="M68" s="1259">
        <v>9.8531527917084585</v>
      </c>
    </row>
    <row r="69" spans="6:13">
      <c r="F69" s="19"/>
      <c r="G69" s="19"/>
      <c r="H69" s="19"/>
      <c r="I69" s="975"/>
      <c r="J69" s="663" t="s">
        <v>300</v>
      </c>
      <c r="K69" s="667">
        <v>10.483938953488373</v>
      </c>
      <c r="L69" s="668">
        <v>3</v>
      </c>
      <c r="M69" s="1259">
        <v>7.4839389534883729</v>
      </c>
    </row>
    <row r="70" spans="6:13">
      <c r="I70" s="975"/>
      <c r="J70" s="663" t="s">
        <v>301</v>
      </c>
      <c r="K70" s="667">
        <v>0.13854166666666667</v>
      </c>
      <c r="L70" s="668">
        <v>3</v>
      </c>
      <c r="M70" s="1259">
        <v>-2.8614583333333332</v>
      </c>
    </row>
    <row r="71" spans="6:13">
      <c r="I71" s="975"/>
      <c r="J71" s="663" t="s">
        <v>302</v>
      </c>
      <c r="K71" s="667">
        <v>5.7273967107902122</v>
      </c>
      <c r="L71" s="668">
        <v>3</v>
      </c>
      <c r="M71" s="1259">
        <v>2.7273967107902122</v>
      </c>
    </row>
    <row r="72" spans="6:13">
      <c r="I72" s="975"/>
      <c r="J72" s="663" t="s">
        <v>303</v>
      </c>
      <c r="K72" s="670">
        <v>22.271585557299844</v>
      </c>
      <c r="L72" s="671">
        <v>3</v>
      </c>
      <c r="M72" s="1260">
        <v>19.271585557299844</v>
      </c>
    </row>
    <row r="73" spans="6:13">
      <c r="I73" s="975"/>
      <c r="J73" s="663" t="s">
        <v>304</v>
      </c>
      <c r="K73" s="672">
        <v>13.075073964497042</v>
      </c>
      <c r="L73" s="673">
        <v>3</v>
      </c>
      <c r="M73" s="1261">
        <v>10.075073964497042</v>
      </c>
    </row>
    <row r="74" spans="6:13">
      <c r="I74" s="976"/>
      <c r="J74" s="664" t="s">
        <v>400</v>
      </c>
      <c r="K74" s="665">
        <v>6.6</v>
      </c>
      <c r="L74" s="665">
        <v>3</v>
      </c>
      <c r="M74" s="666">
        <v>4</v>
      </c>
    </row>
  </sheetData>
  <mergeCells count="24">
    <mergeCell ref="I56:I74"/>
    <mergeCell ref="I32:I55"/>
    <mergeCell ref="C29:F30"/>
    <mergeCell ref="B29:B30"/>
    <mergeCell ref="J19:M19"/>
    <mergeCell ref="B28:F28"/>
    <mergeCell ref="I28:M28"/>
    <mergeCell ref="B39:E39"/>
    <mergeCell ref="J29:M29"/>
    <mergeCell ref="J30:M30"/>
    <mergeCell ref="C19:F19"/>
    <mergeCell ref="B2:M2"/>
    <mergeCell ref="C4:D4"/>
    <mergeCell ref="E3:J3"/>
    <mergeCell ref="K3:L3"/>
    <mergeCell ref="E10:F10"/>
    <mergeCell ref="C8:F8"/>
    <mergeCell ref="B7:F7"/>
    <mergeCell ref="D10:D11"/>
    <mergeCell ref="C3:D3"/>
    <mergeCell ref="E4:J4"/>
    <mergeCell ref="K4:L4"/>
    <mergeCell ref="J8:M8"/>
    <mergeCell ref="D5:K5"/>
  </mergeCells>
  <phoneticPr fontId="30" type="noConversion"/>
  <conditionalFormatting sqref="D15:D16">
    <cfRule type="cellIs" dxfId="62" priority="1" stopIfTrue="1" operator="greaterThan">
      <formula>0</formula>
    </cfRule>
  </conditionalFormatting>
  <conditionalFormatting sqref="E15:E16">
    <cfRule type="cellIs" dxfId="61" priority="2" stopIfTrue="1" operator="greaterThan">
      <formula>0</formula>
    </cfRule>
  </conditionalFormatting>
  <conditionalFormatting sqref="F15:H16">
    <cfRule type="cellIs" dxfId="60" priority="3" stopIfTrue="1" operator="greaterThan">
      <formula>0</formula>
    </cfRule>
  </conditionalFormatting>
  <conditionalFormatting sqref="C4:D4">
    <cfRule type="cellIs" dxfId="59" priority="4" stopIfTrue="1" operator="equal">
      <formula>"C"</formula>
    </cfRule>
    <cfRule type="cellIs" dxfId="58" priority="5" stopIfTrue="1" operator="equal">
      <formula>"B2"</formula>
    </cfRule>
    <cfRule type="cellIs" dxfId="57" priority="6" stopIfTrue="1" operator="equal">
      <formula>"B1"</formula>
    </cfRule>
  </conditionalFormatting>
  <dataValidations count="2">
    <dataValidation type="list" allowBlank="1" showInputMessage="1" showErrorMessage="1" sqref="J56:J73">
      <formula1>мва</formula1>
    </dataValidation>
    <dataValidation type="list" allowBlank="1" showInputMessage="1" showErrorMessage="1" sqref="J42:J51">
      <formula1>Medicaments</formula1>
    </dataValidation>
  </dataValidations>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72"/>
  <sheetViews>
    <sheetView showGridLines="0" tabSelected="1" topLeftCell="A51" zoomScale="85" zoomScaleNormal="85" workbookViewId="0">
      <selection activeCell="L52" sqref="L52:Q52"/>
    </sheetView>
  </sheetViews>
  <sheetFormatPr defaultColWidth="11" defaultRowHeight="15"/>
  <cols>
    <col min="1" max="1" width="3.42578125" customWidth="1"/>
    <col min="2" max="2" width="11.28515625" customWidth="1"/>
    <col min="3" max="3" width="16.140625" customWidth="1"/>
    <col min="4" max="4" width="26.140625" customWidth="1"/>
    <col min="5" max="5" width="14.42578125" customWidth="1"/>
    <col min="6" max="6" width="20.7109375" customWidth="1"/>
    <col min="7" max="7" width="5.7109375" customWidth="1"/>
    <col min="8" max="8" width="6.28515625" customWidth="1"/>
    <col min="9" max="9" width="6" customWidth="1"/>
    <col min="10" max="10" width="5.5703125" customWidth="1"/>
    <col min="11" max="11" width="21.5703125" customWidth="1"/>
    <col min="12" max="12" width="12" customWidth="1"/>
    <col min="13" max="13" width="5" customWidth="1"/>
    <col min="14" max="14" width="6.5703125" customWidth="1"/>
    <col min="15" max="15" width="4.140625" customWidth="1"/>
    <col min="16" max="16" width="10.7109375" customWidth="1"/>
    <col min="17" max="17" width="39.5703125" customWidth="1"/>
    <col min="18" max="18" width="87.28515625" customWidth="1"/>
    <col min="19" max="19" width="21.42578125" customWidth="1"/>
  </cols>
  <sheetData>
    <row r="1" spans="1:35" ht="26.25" customHeight="1">
      <c r="A1" s="3"/>
      <c r="B1" s="3"/>
      <c r="C1" s="3"/>
      <c r="D1" s="3"/>
      <c r="E1" s="3"/>
      <c r="F1" s="3"/>
      <c r="G1" s="3"/>
      <c r="H1" s="3"/>
      <c r="I1" s="3"/>
      <c r="J1" s="3"/>
      <c r="K1" s="3"/>
      <c r="L1" s="3"/>
      <c r="M1" s="3"/>
      <c r="N1" s="3"/>
      <c r="O1" s="3"/>
      <c r="P1" s="3"/>
    </row>
    <row r="2" spans="1:35" ht="21.75" customHeight="1">
      <c r="A2" s="3"/>
      <c r="B2" s="1070" t="str">
        <f>+"Панель показателей:  "&amp;"  "&amp;IF(+'Ввод данных'!B4="Выберите","",'Ввод данных'!B4&amp;" - ")&amp;IF('Ввод данных'!F6="Выберите","",'Ввод данных'!F6)</f>
        <v>Панель показателей:    Кыргызстан - ВИЧ/СПИД/ТБ</v>
      </c>
      <c r="C2" s="1070"/>
      <c r="D2" s="1070"/>
      <c r="E2" s="1070"/>
      <c r="F2" s="1070"/>
      <c r="G2" s="1070"/>
      <c r="H2" s="1070"/>
      <c r="I2" s="1070"/>
      <c r="J2" s="1070"/>
      <c r="K2" s="1070"/>
      <c r="L2" s="1070"/>
      <c r="M2" s="1070"/>
      <c r="N2" s="1070"/>
      <c r="O2" s="1070"/>
      <c r="P2" s="1070"/>
      <c r="Q2" s="1070"/>
    </row>
    <row r="3" spans="1:35" ht="18.75">
      <c r="A3" s="3"/>
      <c r="B3" s="708">
        <f>+IF('Ввод данных'!F8="Выберите","",'Ввод данных'!F8)</f>
        <v>0</v>
      </c>
      <c r="C3" s="954">
        <f>+IF('Ввод данных'!H8="Выберите","",'Ввод данных'!H8)</f>
        <v>0</v>
      </c>
      <c r="D3" s="954"/>
      <c r="E3" s="953"/>
      <c r="F3" s="953"/>
      <c r="G3" s="953"/>
      <c r="H3" s="953"/>
      <c r="I3" s="1071"/>
      <c r="J3" s="1071"/>
      <c r="K3" s="1071"/>
      <c r="L3" s="3"/>
      <c r="M3" s="3"/>
      <c r="O3" s="951" t="str">
        <f>+'Ввод данных'!A16</f>
        <v>Отчетный период</v>
      </c>
      <c r="P3" s="951"/>
      <c r="Q3" s="170" t="str">
        <f>+'Ввод данных'!B16</f>
        <v>P3</v>
      </c>
    </row>
    <row r="4" spans="1:35" ht="23.25">
      <c r="A4" s="3"/>
      <c r="B4" s="323" t="str">
        <f>+'Ввод данных'!A12</f>
        <v>Последняя оценка:</v>
      </c>
      <c r="C4" s="1072" t="str">
        <f>+IF('Ввод данных'!B12="Выберите","",'Ввод данных'!B12)</f>
        <v>A2</v>
      </c>
      <c r="D4" s="1072"/>
      <c r="E4" s="953" t="str">
        <f>+'Ввод данных'!B8</f>
        <v>ПРООН</v>
      </c>
      <c r="F4" s="953"/>
      <c r="G4" s="953"/>
      <c r="H4" s="953"/>
      <c r="I4" s="953"/>
      <c r="J4" s="953"/>
      <c r="K4" s="953"/>
      <c r="L4" s="953"/>
      <c r="M4" s="3"/>
      <c r="O4" s="250"/>
      <c r="P4" s="708" t="str">
        <f>+'Ввод данных'!C16</f>
        <v>с:</v>
      </c>
      <c r="Q4" s="251">
        <f>+IF(ISBLANK('Ввод данных'!D16),"",'Ввод данных'!D16)</f>
        <v>43647</v>
      </c>
      <c r="Y4" s="67"/>
      <c r="Z4" s="67"/>
      <c r="AA4" s="67"/>
      <c r="AB4" s="67"/>
      <c r="AC4" s="67"/>
    </row>
    <row r="5" spans="1:35" ht="15.75" customHeight="1">
      <c r="A5" s="3"/>
      <c r="B5" s="708"/>
      <c r="C5" s="708"/>
      <c r="D5" s="953" t="str">
        <f>+'Ввод данных'!F4</f>
        <v>«Эффективный контроль за ВИЧ-инфекцией и туберкулезом в Кыргызской Республике»</v>
      </c>
      <c r="E5" s="953"/>
      <c r="F5" s="953"/>
      <c r="G5" s="953"/>
      <c r="H5" s="953"/>
      <c r="I5" s="953"/>
      <c r="J5" s="953"/>
      <c r="K5" s="953"/>
      <c r="L5" s="953"/>
      <c r="M5" s="953"/>
      <c r="N5" s="953"/>
      <c r="P5" s="708" t="str">
        <f>+'Ввод данных'!E16</f>
        <v>до:</v>
      </c>
      <c r="Q5" s="251">
        <f>+IF(ISBLANK('Ввод данных'!F16),"",'Ввод данных'!F16)</f>
        <v>43830</v>
      </c>
      <c r="S5" s="189"/>
      <c r="T5" s="189"/>
      <c r="U5" s="189"/>
      <c r="V5" s="189"/>
      <c r="W5" s="189"/>
      <c r="X5" s="189"/>
      <c r="Y5" s="67"/>
      <c r="Z5" s="67"/>
      <c r="AA5" s="67" t="s">
        <v>401</v>
      </c>
      <c r="AB5" s="67"/>
      <c r="AC5" s="67" t="s">
        <v>402</v>
      </c>
      <c r="AD5" s="189"/>
      <c r="AE5" s="189"/>
      <c r="AF5" s="189"/>
      <c r="AG5" s="189"/>
      <c r="AH5" s="189"/>
      <c r="AI5" s="189"/>
    </row>
    <row r="6" spans="1:35" ht="15.75" customHeight="1">
      <c r="A6" s="3"/>
      <c r="B6" s="708"/>
      <c r="C6" s="708"/>
      <c r="D6" s="710"/>
      <c r="E6" s="1003" t="s">
        <v>403</v>
      </c>
      <c r="F6" s="1004"/>
      <c r="G6" s="1004"/>
      <c r="H6" s="1004"/>
      <c r="I6" s="1004"/>
      <c r="J6" s="1004"/>
      <c r="K6" s="1004"/>
      <c r="L6" s="1004"/>
      <c r="M6" s="3"/>
      <c r="N6" s="3"/>
      <c r="O6" s="172"/>
      <c r="P6" s="444"/>
      <c r="S6" s="189"/>
      <c r="T6" s="189"/>
      <c r="U6" s="189"/>
      <c r="V6" s="189"/>
      <c r="W6" s="189"/>
      <c r="X6" s="189"/>
      <c r="Y6" s="67"/>
      <c r="Z6" s="67"/>
      <c r="AA6" s="67"/>
      <c r="AB6" s="67"/>
      <c r="AC6" s="67"/>
      <c r="AD6" s="189"/>
      <c r="AE6" s="189"/>
      <c r="AF6" s="189"/>
      <c r="AG6" s="189"/>
      <c r="AH6" s="189"/>
      <c r="AI6" s="189"/>
    </row>
    <row r="7" spans="1:35" ht="3" customHeight="1">
      <c r="A7" s="3"/>
      <c r="B7" s="708"/>
      <c r="C7" s="708"/>
      <c r="D7" s="710"/>
      <c r="E7" s="710"/>
      <c r="F7" s="710"/>
      <c r="G7" s="710"/>
      <c r="H7" s="710"/>
      <c r="I7" s="710"/>
      <c r="J7" s="710"/>
      <c r="K7" s="710"/>
      <c r="L7" s="710"/>
      <c r="M7" s="3"/>
      <c r="N7" s="3"/>
      <c r="O7" s="172"/>
      <c r="P7" s="171"/>
      <c r="Q7" s="171"/>
      <c r="S7" s="189"/>
      <c r="T7" s="189"/>
      <c r="U7" s="189"/>
      <c r="V7" s="189"/>
      <c r="W7" s="189"/>
      <c r="X7" s="189"/>
      <c r="Y7" s="67"/>
      <c r="Z7" s="67"/>
      <c r="AA7" s="67"/>
      <c r="AB7" s="67"/>
      <c r="AC7" s="67"/>
      <c r="AD7" s="189"/>
      <c r="AE7" s="189"/>
      <c r="AF7" s="189"/>
      <c r="AG7" s="189"/>
      <c r="AH7" s="189"/>
      <c r="AI7" s="189"/>
    </row>
    <row r="8" spans="1:35" ht="30.75" customHeight="1" thickBot="1">
      <c r="A8" s="3"/>
      <c r="B8" s="1073" t="s">
        <v>404</v>
      </c>
      <c r="C8" s="1073"/>
      <c r="D8" s="1073"/>
      <c r="E8" s="1073"/>
      <c r="F8" s="1073" t="s">
        <v>45</v>
      </c>
      <c r="G8" s="1073"/>
      <c r="H8" s="1073"/>
      <c r="I8" s="1073"/>
      <c r="J8" s="1073"/>
      <c r="K8" s="1073"/>
      <c r="L8" s="1073" t="s">
        <v>313</v>
      </c>
      <c r="M8" s="1073"/>
      <c r="N8" s="1073"/>
      <c r="O8" s="1073"/>
      <c r="P8" s="1073"/>
      <c r="Q8" s="1073"/>
      <c r="S8" s="189"/>
      <c r="T8" s="189"/>
      <c r="U8" s="189"/>
      <c r="V8" s="189"/>
      <c r="W8" s="189"/>
      <c r="X8" s="189"/>
      <c r="Y8" s="67"/>
      <c r="Z8" s="67"/>
      <c r="AA8" s="67"/>
      <c r="AB8" s="67"/>
      <c r="AC8" s="67"/>
      <c r="AD8" s="189"/>
      <c r="AE8" s="189"/>
      <c r="AF8" s="189"/>
      <c r="AG8" s="189"/>
      <c r="AH8" s="189"/>
      <c r="AI8" s="189"/>
    </row>
    <row r="9" spans="1:35" ht="91.5" customHeight="1" thickBot="1">
      <c r="A9" s="3"/>
      <c r="B9" s="488" t="s">
        <v>405</v>
      </c>
      <c r="C9" s="1074" t="s">
        <v>406</v>
      </c>
      <c r="D9" s="1075"/>
      <c r="E9" s="1075"/>
      <c r="F9" s="489" t="s">
        <v>405</v>
      </c>
      <c r="G9" s="1074" t="s">
        <v>407</v>
      </c>
      <c r="H9" s="1075"/>
      <c r="I9" s="1075"/>
      <c r="J9" s="1075"/>
      <c r="K9" s="1076"/>
      <c r="L9" s="489" t="s">
        <v>405</v>
      </c>
      <c r="M9" s="1074" t="s">
        <v>408</v>
      </c>
      <c r="N9" s="1075"/>
      <c r="O9" s="1075"/>
      <c r="P9" s="1075"/>
      <c r="Q9" s="1076"/>
      <c r="S9" s="491"/>
      <c r="T9" s="189"/>
      <c r="U9" s="189"/>
      <c r="V9" s="189"/>
      <c r="W9" s="189"/>
      <c r="X9" s="189"/>
      <c r="Y9" s="189"/>
      <c r="Z9" s="189"/>
      <c r="AA9" s="189"/>
      <c r="AB9" s="189"/>
      <c r="AC9" s="189"/>
      <c r="AD9" s="189"/>
      <c r="AE9" s="189"/>
      <c r="AF9" s="189"/>
      <c r="AG9" s="189"/>
      <c r="AH9" s="189"/>
      <c r="AI9" s="189"/>
    </row>
    <row r="10" spans="1:35" ht="18.75" customHeight="1">
      <c r="A10" s="3"/>
      <c r="B10" s="708"/>
      <c r="C10" s="708"/>
      <c r="D10" s="710"/>
      <c r="E10" s="710"/>
      <c r="F10" s="710"/>
      <c r="G10" s="710"/>
      <c r="H10" s="710"/>
      <c r="I10" s="710"/>
      <c r="J10" s="710"/>
      <c r="K10" s="710"/>
      <c r="L10" s="710"/>
      <c r="M10" s="3"/>
      <c r="N10" s="3"/>
      <c r="O10" s="172"/>
      <c r="P10" s="171"/>
      <c r="S10" s="189"/>
      <c r="T10" s="189"/>
      <c r="U10" s="189"/>
      <c r="V10" s="189"/>
      <c r="W10" s="189"/>
      <c r="X10" s="189"/>
      <c r="Y10" s="189"/>
      <c r="Z10" s="189"/>
      <c r="AA10" s="189"/>
      <c r="AB10" s="189"/>
      <c r="AC10" s="189"/>
      <c r="AD10" s="189"/>
      <c r="AE10" s="189"/>
      <c r="AF10" s="189"/>
      <c r="AG10" s="189"/>
      <c r="AH10" s="189"/>
      <c r="AI10" s="189"/>
    </row>
    <row r="11" spans="1:35" ht="18.75" customHeight="1">
      <c r="A11" s="3"/>
      <c r="B11" s="708"/>
      <c r="C11" s="708"/>
      <c r="D11" s="710"/>
      <c r="E11" s="710"/>
      <c r="F11" s="710"/>
      <c r="G11" s="710"/>
      <c r="H11" s="710"/>
      <c r="I11" s="710"/>
      <c r="J11" s="710"/>
      <c r="K11" s="710"/>
      <c r="L11" s="710"/>
      <c r="M11" s="3"/>
      <c r="N11" s="3"/>
      <c r="O11" s="172"/>
      <c r="P11" s="171"/>
      <c r="S11" s="189"/>
      <c r="T11" s="189"/>
      <c r="U11" s="189"/>
      <c r="V11" s="189"/>
      <c r="W11" s="189"/>
      <c r="X11" s="189"/>
      <c r="Y11" s="189"/>
      <c r="Z11" s="189"/>
      <c r="AA11" s="189"/>
      <c r="AB11" s="189"/>
      <c r="AC11" s="189"/>
      <c r="AD11" s="189"/>
      <c r="AE11" s="189"/>
      <c r="AF11" s="189"/>
      <c r="AG11" s="189"/>
      <c r="AH11" s="189"/>
      <c r="AI11" s="189"/>
    </row>
    <row r="12" spans="1:35" ht="18.75" customHeight="1">
      <c r="A12" s="3"/>
      <c r="B12" s="708"/>
      <c r="C12" s="708"/>
      <c r="D12" s="710"/>
      <c r="E12" s="710"/>
      <c r="F12" s="710"/>
      <c r="G12" s="710"/>
      <c r="H12" s="710"/>
      <c r="I12" s="710"/>
      <c r="J12" s="710"/>
      <c r="K12" s="710"/>
      <c r="L12" s="710"/>
      <c r="M12" s="3"/>
      <c r="N12" s="3"/>
      <c r="O12" s="172"/>
      <c r="P12" s="171"/>
      <c r="S12" s="189"/>
      <c r="T12" s="189"/>
      <c r="U12" s="189"/>
      <c r="V12" s="189"/>
      <c r="W12" s="189"/>
      <c r="X12" s="189"/>
      <c r="Y12" s="189"/>
      <c r="Z12" s="189"/>
      <c r="AA12" s="189"/>
      <c r="AB12" s="189"/>
      <c r="AC12" s="189"/>
      <c r="AD12" s="189"/>
      <c r="AE12" s="189"/>
      <c r="AF12" s="189"/>
      <c r="AG12" s="189"/>
      <c r="AH12" s="189"/>
      <c r="AI12" s="189"/>
    </row>
    <row r="13" spans="1:35" ht="18.75" customHeight="1">
      <c r="A13" s="3"/>
      <c r="B13" s="708"/>
      <c r="C13" s="708"/>
      <c r="D13" s="710"/>
      <c r="E13" s="710"/>
      <c r="F13" s="710"/>
      <c r="G13" s="710"/>
      <c r="H13" s="710"/>
      <c r="I13" s="710"/>
      <c r="J13" s="710"/>
      <c r="K13" s="710"/>
      <c r="L13" s="710"/>
      <c r="M13" s="3"/>
      <c r="N13" s="3"/>
      <c r="O13" s="172"/>
      <c r="P13" s="171"/>
      <c r="S13" s="189"/>
      <c r="T13" s="189"/>
      <c r="U13" s="189"/>
      <c r="V13" s="189"/>
      <c r="W13" s="189"/>
      <c r="X13" s="189"/>
      <c r="Y13" s="189"/>
      <c r="Z13" s="189"/>
      <c r="AA13" s="189"/>
      <c r="AB13" s="189"/>
      <c r="AC13" s="189"/>
      <c r="AD13" s="189"/>
      <c r="AE13" s="189"/>
      <c r="AF13" s="189"/>
      <c r="AG13" s="189"/>
      <c r="AH13" s="189"/>
      <c r="AI13" s="189"/>
    </row>
    <row r="14" spans="1:35" ht="18.75" customHeight="1">
      <c r="A14" s="3"/>
      <c r="B14" s="708"/>
      <c r="C14" s="708"/>
      <c r="D14" s="710"/>
      <c r="E14" s="710"/>
      <c r="F14" s="710"/>
      <c r="G14" s="710"/>
      <c r="H14" s="710"/>
      <c r="I14" s="710"/>
      <c r="J14" s="710"/>
      <c r="K14" s="710"/>
      <c r="L14" s="710"/>
      <c r="M14" s="3"/>
      <c r="N14" s="3"/>
      <c r="O14" s="172"/>
      <c r="P14" s="171"/>
      <c r="S14" s="189"/>
      <c r="T14" s="189"/>
      <c r="U14" s="189"/>
      <c r="V14" s="189"/>
      <c r="W14" s="189"/>
      <c r="X14" s="189"/>
      <c r="Y14" s="189"/>
      <c r="Z14" s="189"/>
      <c r="AA14" s="189"/>
      <c r="AB14" s="189"/>
      <c r="AC14" s="189"/>
      <c r="AD14" s="189"/>
      <c r="AE14" s="189"/>
      <c r="AF14" s="189"/>
      <c r="AG14" s="189"/>
      <c r="AH14" s="189"/>
      <c r="AI14" s="189"/>
    </row>
    <row r="15" spans="1:35" ht="18.75" customHeight="1">
      <c r="A15" s="3"/>
      <c r="B15" s="708"/>
      <c r="C15" s="708"/>
      <c r="D15" s="710"/>
      <c r="E15" s="710"/>
      <c r="F15" s="710"/>
      <c r="G15" s="710"/>
      <c r="H15" s="710"/>
      <c r="I15" s="710"/>
      <c r="J15" s="710"/>
      <c r="K15" s="710"/>
      <c r="L15" s="710"/>
      <c r="M15" s="3"/>
      <c r="N15" s="3"/>
      <c r="O15" s="172"/>
      <c r="P15" s="171"/>
      <c r="S15" s="189"/>
      <c r="T15" s="189"/>
      <c r="U15" s="189"/>
      <c r="V15" s="189"/>
      <c r="W15" s="189"/>
      <c r="X15" s="189"/>
      <c r="Y15" s="189"/>
      <c r="Z15" s="189"/>
      <c r="AA15" s="189"/>
      <c r="AB15" s="189"/>
      <c r="AC15" s="189"/>
      <c r="AD15" s="189"/>
      <c r="AE15" s="189"/>
      <c r="AF15" s="189"/>
      <c r="AG15" s="189"/>
      <c r="AH15" s="189"/>
      <c r="AI15" s="189"/>
    </row>
    <row r="16" spans="1:35" ht="18.75" customHeight="1">
      <c r="A16" s="3"/>
      <c r="B16" s="708"/>
      <c r="C16" s="708"/>
      <c r="D16" s="710"/>
      <c r="E16" s="710"/>
      <c r="F16" s="710"/>
      <c r="G16" s="710"/>
      <c r="H16" s="710"/>
      <c r="I16" s="710"/>
      <c r="J16" s="710"/>
      <c r="K16" s="710"/>
      <c r="L16" s="710"/>
      <c r="M16" s="3"/>
      <c r="N16" s="3"/>
      <c r="O16" s="172"/>
      <c r="P16" s="171"/>
      <c r="S16" s="189"/>
      <c r="T16" s="189"/>
      <c r="U16" s="189"/>
      <c r="V16" s="189"/>
      <c r="W16" s="189"/>
      <c r="X16" s="189"/>
      <c r="Y16" s="189"/>
      <c r="Z16" s="189"/>
      <c r="AA16" s="189"/>
      <c r="AB16" s="189"/>
      <c r="AC16" s="189"/>
      <c r="AD16" s="189"/>
      <c r="AE16" s="189"/>
      <c r="AF16" s="189"/>
      <c r="AG16" s="189"/>
      <c r="AH16" s="189"/>
      <c r="AI16" s="189"/>
    </row>
    <row r="17" spans="1:35" ht="18.75" customHeight="1">
      <c r="A17" s="3"/>
      <c r="B17" s="708"/>
      <c r="C17" s="708"/>
      <c r="D17" s="710"/>
      <c r="E17" s="710"/>
      <c r="F17" s="710"/>
      <c r="G17" s="710"/>
      <c r="H17" s="710"/>
      <c r="I17" s="710"/>
      <c r="J17" s="710"/>
      <c r="K17" s="710"/>
      <c r="L17" s="710"/>
      <c r="M17" s="3"/>
      <c r="N17" s="3"/>
      <c r="O17" s="172"/>
      <c r="P17" s="171"/>
      <c r="S17" s="189"/>
      <c r="T17" s="189"/>
      <c r="U17" s="189"/>
      <c r="V17" s="189"/>
      <c r="W17" s="189"/>
      <c r="X17" s="189"/>
      <c r="Y17" s="189"/>
      <c r="Z17" s="189"/>
      <c r="AA17" s="189"/>
      <c r="AB17" s="189"/>
      <c r="AC17" s="189"/>
      <c r="AD17" s="189"/>
      <c r="AE17" s="189"/>
      <c r="AF17" s="189"/>
      <c r="AG17" s="189"/>
      <c r="AH17" s="189"/>
      <c r="AI17" s="189"/>
    </row>
    <row r="18" spans="1:35" ht="18.75" customHeight="1">
      <c r="A18" s="3"/>
      <c r="B18" s="708"/>
      <c r="C18" s="708"/>
      <c r="D18" s="710"/>
      <c r="E18" s="710"/>
      <c r="F18" s="710"/>
      <c r="G18" s="710"/>
      <c r="H18" s="710"/>
      <c r="I18" s="710"/>
      <c r="J18" s="710"/>
      <c r="K18" s="710"/>
      <c r="L18" s="710"/>
      <c r="M18" s="3"/>
      <c r="N18" s="3"/>
      <c r="O18" s="172"/>
      <c r="P18" s="171"/>
      <c r="S18" s="189"/>
      <c r="T18" s="189"/>
      <c r="U18" s="189"/>
      <c r="V18" s="189"/>
      <c r="W18" s="189"/>
      <c r="X18" s="189"/>
      <c r="Y18" s="189"/>
      <c r="Z18" s="189"/>
      <c r="AA18" s="189"/>
      <c r="AB18" s="189"/>
      <c r="AC18" s="189"/>
      <c r="AD18" s="189"/>
      <c r="AE18" s="189"/>
      <c r="AF18" s="189"/>
      <c r="AG18" s="189"/>
      <c r="AH18" s="189"/>
      <c r="AI18" s="189"/>
    </row>
    <row r="19" spans="1:35" ht="17.25" customHeight="1">
      <c r="A19" s="3"/>
      <c r="B19" s="708"/>
      <c r="C19" s="708"/>
      <c r="D19" s="710"/>
      <c r="E19" s="710"/>
      <c r="F19" s="710"/>
      <c r="G19" s="710"/>
      <c r="H19" s="710"/>
      <c r="I19" s="710"/>
      <c r="J19" s="710"/>
      <c r="K19" s="710"/>
      <c r="L19" s="710"/>
      <c r="M19" s="3"/>
      <c r="N19" s="3"/>
      <c r="O19" s="172"/>
      <c r="P19" s="171"/>
      <c r="S19" s="189"/>
      <c r="T19" s="189"/>
      <c r="U19" s="189"/>
      <c r="V19" s="189"/>
      <c r="W19" s="189"/>
      <c r="X19" s="189"/>
      <c r="Y19" s="189"/>
      <c r="Z19" s="189"/>
      <c r="AA19" s="189"/>
      <c r="AB19" s="189"/>
      <c r="AC19" s="189"/>
      <c r="AD19" s="189"/>
      <c r="AE19" s="189"/>
      <c r="AF19" s="189"/>
      <c r="AG19" s="189"/>
      <c r="AH19" s="189"/>
      <c r="AI19" s="189"/>
    </row>
    <row r="20" spans="1:35" ht="6" customHeight="1">
      <c r="A20" s="3"/>
      <c r="B20" s="110"/>
      <c r="C20" s="708"/>
      <c r="D20" s="108"/>
      <c r="E20" s="1029"/>
      <c r="F20" s="1029"/>
      <c r="G20" s="1029"/>
      <c r="H20" s="1029"/>
      <c r="I20" s="1029"/>
      <c r="J20" s="1029"/>
      <c r="K20" s="1029"/>
      <c r="L20" s="3"/>
      <c r="M20" s="3"/>
      <c r="N20" s="3"/>
      <c r="O20" s="3"/>
      <c r="P20" s="3"/>
      <c r="S20" s="189"/>
      <c r="T20" s="189"/>
      <c r="U20" s="189"/>
      <c r="V20" s="189"/>
      <c r="W20" s="189"/>
      <c r="X20" s="189"/>
      <c r="Y20" s="189"/>
      <c r="Z20" s="189"/>
      <c r="AA20" s="189"/>
      <c r="AB20" s="189"/>
      <c r="AC20" s="189"/>
      <c r="AD20" s="189"/>
      <c r="AE20" s="189"/>
      <c r="AF20" s="189"/>
      <c r="AG20" s="189"/>
      <c r="AH20" s="189"/>
      <c r="AI20" s="189"/>
    </row>
    <row r="21" spans="1:35" ht="45" customHeight="1">
      <c r="A21" s="3"/>
      <c r="B21" s="1077" t="s">
        <v>409</v>
      </c>
      <c r="C21" s="1077"/>
      <c r="D21" s="1077"/>
      <c r="E21" s="718" t="s">
        <v>311</v>
      </c>
      <c r="F21" s="718" t="s">
        <v>362</v>
      </c>
      <c r="G21" s="1067" t="s">
        <v>410</v>
      </c>
      <c r="H21" s="1068"/>
      <c r="I21" s="1014" t="s">
        <v>411</v>
      </c>
      <c r="J21" s="1015"/>
      <c r="K21" s="445" t="s">
        <v>412</v>
      </c>
      <c r="L21" s="1006" t="s">
        <v>413</v>
      </c>
      <c r="M21" s="1007"/>
      <c r="N21" s="1007"/>
      <c r="O21" s="1007"/>
      <c r="P21" s="1007"/>
      <c r="Q21" s="1008"/>
      <c r="S21" s="61" t="s">
        <v>414</v>
      </c>
      <c r="T21" s="62">
        <v>0</v>
      </c>
      <c r="U21" s="63">
        <v>0.3</v>
      </c>
      <c r="V21" s="63">
        <v>0.6</v>
      </c>
      <c r="W21" s="63">
        <v>0.9</v>
      </c>
      <c r="X21" s="63">
        <v>1</v>
      </c>
      <c r="Y21" s="67"/>
      <c r="Z21" s="67"/>
      <c r="AA21" s="61" t="s">
        <v>414</v>
      </c>
      <c r="AB21" s="62">
        <v>0</v>
      </c>
      <c r="AC21" s="63">
        <v>0.2</v>
      </c>
      <c r="AD21" s="63">
        <v>0.4</v>
      </c>
      <c r="AE21" s="63">
        <v>0.6</v>
      </c>
      <c r="AF21" s="63">
        <v>0.8</v>
      </c>
      <c r="AG21" s="67"/>
      <c r="AH21" s="67"/>
      <c r="AI21" s="67"/>
    </row>
    <row r="22" spans="1:35" ht="97.5" customHeight="1">
      <c r="A22" s="3"/>
      <c r="B22" s="1016" t="s">
        <v>404</v>
      </c>
      <c r="C22" s="1017"/>
      <c r="D22" s="1018"/>
      <c r="E22" s="492" t="s">
        <v>415</v>
      </c>
      <c r="F22" s="492" t="s">
        <v>416</v>
      </c>
      <c r="G22" s="1019">
        <v>0.93</v>
      </c>
      <c r="H22" s="1020"/>
      <c r="I22" s="1020"/>
      <c r="J22" s="1020"/>
      <c r="K22" s="1021"/>
      <c r="L22" s="995" t="s">
        <v>417</v>
      </c>
      <c r="M22" s="996"/>
      <c r="N22" s="996"/>
      <c r="O22" s="996"/>
      <c r="P22" s="996"/>
      <c r="Q22" s="996"/>
      <c r="S22" s="61" t="s">
        <v>418</v>
      </c>
      <c r="T22" s="64">
        <v>0.3</v>
      </c>
      <c r="U22" s="63">
        <v>0.6</v>
      </c>
      <c r="V22" s="63">
        <v>0.9</v>
      </c>
      <c r="W22" s="63">
        <v>1</v>
      </c>
      <c r="X22" s="63">
        <v>2</v>
      </c>
      <c r="Y22" s="67"/>
      <c r="Z22" s="67"/>
      <c r="AA22" s="61" t="s">
        <v>418</v>
      </c>
      <c r="AB22" s="64">
        <v>0.2</v>
      </c>
      <c r="AC22" s="63">
        <v>0.4</v>
      </c>
      <c r="AD22" s="63">
        <v>0.6</v>
      </c>
      <c r="AE22" s="63">
        <v>0.8</v>
      </c>
      <c r="AF22" s="63">
        <v>1</v>
      </c>
      <c r="AG22" s="67"/>
      <c r="AH22" s="67"/>
      <c r="AI22" s="67"/>
    </row>
    <row r="23" spans="1:35" ht="87" customHeight="1">
      <c r="A23" s="3"/>
      <c r="B23" s="1022" t="s">
        <v>45</v>
      </c>
      <c r="C23" s="1022"/>
      <c r="D23" s="1022"/>
      <c r="E23" s="492" t="s">
        <v>419</v>
      </c>
      <c r="F23" s="492" t="s">
        <v>420</v>
      </c>
      <c r="G23" s="1019">
        <v>0.75</v>
      </c>
      <c r="H23" s="1020"/>
      <c r="I23" s="1020"/>
      <c r="J23" s="1020"/>
      <c r="K23" s="1021"/>
      <c r="L23" s="995" t="s">
        <v>407</v>
      </c>
      <c r="M23" s="996"/>
      <c r="N23" s="996"/>
      <c r="O23" s="996"/>
      <c r="P23" s="996"/>
      <c r="Q23" s="996"/>
      <c r="S23" s="65"/>
      <c r="T23" s="66" t="str">
        <f>"de "&amp;T21&amp;" a "&amp;T22</f>
        <v>de 0 a 0.3</v>
      </c>
      <c r="U23" s="66" t="str">
        <f>"de "&amp;U21&amp;" a "&amp;U22</f>
        <v>de 0.3 a 0.6</v>
      </c>
      <c r="V23" s="66" t="str">
        <f>"de "&amp;V21&amp;" a "&amp;V22</f>
        <v>de 0.6 a 0.9</v>
      </c>
      <c r="W23" s="66" t="str">
        <f>"de "&amp;W21&amp;" a "&amp;W22</f>
        <v>de 0.9 a 1</v>
      </c>
      <c r="X23" s="66" t="str">
        <f>"de "&amp;X21&amp;" a "&amp;X22</f>
        <v>de 1 a 2</v>
      </c>
      <c r="Y23" s="67"/>
      <c r="Z23" s="67" t="s">
        <v>421</v>
      </c>
      <c r="AA23" s="65" t="s">
        <v>402</v>
      </c>
      <c r="AB23" s="66" t="str">
        <f>"de "&amp;AB21&amp;" a "&amp;AB22</f>
        <v>de 0 a 0.2</v>
      </c>
      <c r="AC23" s="66" t="str">
        <f>"de "&amp;AC21&amp;" a "&amp;AC22</f>
        <v>de 0.2 a 0.4</v>
      </c>
      <c r="AD23" s="66" t="str">
        <f>"de "&amp;AD21&amp;" a "&amp;AD22</f>
        <v>de 0.4 a 0.6</v>
      </c>
      <c r="AE23" s="66" t="str">
        <f>"de "&amp;AE21&amp;" a "&amp;AE22</f>
        <v>de 0.6 a 0.8</v>
      </c>
      <c r="AF23" s="66" t="str">
        <f>"de "&amp;AF21&amp;" a "&amp;AF22</f>
        <v>de 0.8 a 1</v>
      </c>
      <c r="AG23" s="67"/>
      <c r="AH23" s="67"/>
      <c r="AI23" s="67"/>
    </row>
    <row r="24" spans="1:35" ht="105" customHeight="1">
      <c r="A24" s="3"/>
      <c r="B24" s="997" t="s">
        <v>49</v>
      </c>
      <c r="C24" s="998"/>
      <c r="D24" s="999"/>
      <c r="E24" s="492" t="s">
        <v>422</v>
      </c>
      <c r="F24" s="492" t="s">
        <v>423</v>
      </c>
      <c r="G24" s="1000">
        <v>1.19</v>
      </c>
      <c r="H24" s="1001"/>
      <c r="I24" s="1001"/>
      <c r="J24" s="1001"/>
      <c r="K24" s="1002"/>
      <c r="L24" s="1069" t="s">
        <v>424</v>
      </c>
      <c r="M24" s="990"/>
      <c r="N24" s="990"/>
      <c r="O24" s="990"/>
      <c r="P24" s="990"/>
      <c r="Q24" s="991"/>
      <c r="S24" s="65"/>
      <c r="T24" s="66"/>
      <c r="U24" s="66"/>
      <c r="V24" s="66"/>
      <c r="W24" s="66"/>
      <c r="X24" s="66"/>
      <c r="Y24" s="67"/>
      <c r="Z24" s="67"/>
      <c r="AA24" s="65"/>
      <c r="AB24" s="66"/>
      <c r="AC24" s="66"/>
      <c r="AD24" s="66"/>
      <c r="AE24" s="66"/>
      <c r="AF24" s="66"/>
      <c r="AG24" s="67"/>
      <c r="AH24" s="67"/>
      <c r="AI24" s="67"/>
    </row>
    <row r="25" spans="1:35" ht="193.5" customHeight="1">
      <c r="A25" s="3"/>
      <c r="B25" s="1066" t="s">
        <v>52</v>
      </c>
      <c r="C25" s="990"/>
      <c r="D25" s="991"/>
      <c r="E25" s="446" t="s">
        <v>316</v>
      </c>
      <c r="F25" s="446" t="s">
        <v>319</v>
      </c>
      <c r="G25" s="1019">
        <v>0.83</v>
      </c>
      <c r="H25" s="1020"/>
      <c r="I25" s="1020"/>
      <c r="J25" s="1020"/>
      <c r="K25" s="1021"/>
      <c r="L25" s="1065" t="s">
        <v>425</v>
      </c>
      <c r="M25" s="1065"/>
      <c r="N25" s="1065"/>
      <c r="O25" s="1065"/>
      <c r="P25" s="1065"/>
      <c r="Q25" s="1065"/>
      <c r="R25" s="347"/>
      <c r="S25" s="65"/>
      <c r="T25" s="63" t="e">
        <f>IF($K23&gt;T$21,IF($K23&lt;=T$22,$K23,NA()),NA())</f>
        <v>#N/A</v>
      </c>
      <c r="U25" s="63" t="e">
        <f>IF($K23&gt;U$21,IF($K23&lt;=U$22,$K23,NA()),NA())</f>
        <v>#N/A</v>
      </c>
      <c r="V25" s="63" t="e">
        <f>IF($K23&gt;V$21,IF($K23&lt;=V$22,$K23,NA()),NA())</f>
        <v>#N/A</v>
      </c>
      <c r="W25" s="63" t="e">
        <f>IF($K23&gt;W$21,IF($K23&lt;=W$22,$K23,NA()),NA())</f>
        <v>#N/A</v>
      </c>
      <c r="X25" s="63" t="e">
        <f>IF($K23&gt;X$21,IF($K23&lt;=X$22,1,1),NA())</f>
        <v>#N/A</v>
      </c>
      <c r="Y25" s="67"/>
      <c r="Z25" s="168" t="e">
        <v>#REF!</v>
      </c>
      <c r="AA25" s="63" t="e">
        <f>+IF(Z25="A1",1,IF(Z25="A2",0.8,IF(Z25="B1",0.6,IF(Z25="B2",0.4,0.2))))</f>
        <v>#REF!</v>
      </c>
      <c r="AB25" s="63" t="e">
        <f>IF($AA25&gt;AB$21,IF($AA25&lt;=AB$22,$AA25,NA()),NA())</f>
        <v>#REF!</v>
      </c>
      <c r="AC25" s="63" t="e">
        <f t="shared" ref="AC25:AF26" si="0">IF($AA25&gt;AC$21,IF($AA25&lt;=AC$22,$AA25,NA()),NA())</f>
        <v>#REF!</v>
      </c>
      <c r="AD25" s="63" t="e">
        <f t="shared" si="0"/>
        <v>#REF!</v>
      </c>
      <c r="AE25" s="63" t="e">
        <f t="shared" si="0"/>
        <v>#REF!</v>
      </c>
      <c r="AF25" s="63" t="e">
        <f t="shared" si="0"/>
        <v>#REF!</v>
      </c>
      <c r="AG25" s="67"/>
      <c r="AH25" s="67"/>
      <c r="AI25" s="67"/>
    </row>
    <row r="26" spans="1:35" ht="84.75" customHeight="1">
      <c r="A26" s="3"/>
      <c r="B26" s="1016" t="s">
        <v>59</v>
      </c>
      <c r="C26" s="1017"/>
      <c r="D26" s="1018"/>
      <c r="E26" s="447" t="s">
        <v>321</v>
      </c>
      <c r="F26" s="447" t="s">
        <v>324</v>
      </c>
      <c r="G26" s="1019">
        <v>1.1399999999999999</v>
      </c>
      <c r="H26" s="1020"/>
      <c r="I26" s="1020"/>
      <c r="J26" s="1020"/>
      <c r="K26" s="1021"/>
      <c r="L26" s="1065" t="s">
        <v>426</v>
      </c>
      <c r="M26" s="1065"/>
      <c r="N26" s="1065"/>
      <c r="O26" s="1065"/>
      <c r="P26" s="1065"/>
      <c r="Q26" s="1065"/>
      <c r="R26" s="491"/>
      <c r="S26" s="65"/>
      <c r="T26" s="63" t="e">
        <f>IF(#REF!&gt;T$21,IF(#REF!&lt;=T$22,#REF!,NA()),NA())</f>
        <v>#REF!</v>
      </c>
      <c r="U26" s="63" t="e">
        <f>IF(#REF!&gt;U$21,IF(#REF!&lt;=U$22,#REF!,NA()),NA())</f>
        <v>#REF!</v>
      </c>
      <c r="V26" s="63" t="e">
        <f>IF(#REF!&gt;V$21,IF(#REF!&lt;=V$22,#REF!,NA()),NA())</f>
        <v>#REF!</v>
      </c>
      <c r="W26" s="63" t="e">
        <f>IF(#REF!&gt;W$21,IF(#REF!&lt;=W$22,#REF!,NA()),NA())</f>
        <v>#REF!</v>
      </c>
      <c r="X26" s="63" t="e">
        <f>IF(#REF!&gt;X$21,IF(#REF!&lt;=X$22,1,NA()),NA())</f>
        <v>#REF!</v>
      </c>
      <c r="Y26" s="67"/>
      <c r="Z26" s="168" t="e">
        <v>#REF!</v>
      </c>
      <c r="AA26" s="63" t="e">
        <f>+IF(Z26="A1",1,IF(Z26="A2",0.8,IF(Z26="B1",0.6,IF(Z26="B2",0.4,0.2))))</f>
        <v>#REF!</v>
      </c>
      <c r="AB26" s="63" t="e">
        <f>IF($AA26&gt;AB$21,IF($AA26&lt;=AB$22,$AA26,NA()),NA())</f>
        <v>#REF!</v>
      </c>
      <c r="AC26" s="63" t="e">
        <f t="shared" si="0"/>
        <v>#REF!</v>
      </c>
      <c r="AD26" s="63" t="e">
        <f t="shared" si="0"/>
        <v>#REF!</v>
      </c>
      <c r="AE26" s="63" t="e">
        <f t="shared" si="0"/>
        <v>#REF!</v>
      </c>
      <c r="AF26" s="63" t="e">
        <f t="shared" si="0"/>
        <v>#REF!</v>
      </c>
      <c r="AG26" s="67"/>
      <c r="AH26" s="67"/>
      <c r="AI26" s="67"/>
    </row>
    <row r="27" spans="1:35" ht="303" customHeight="1">
      <c r="A27" s="3"/>
      <c r="B27" s="1016" t="s">
        <v>63</v>
      </c>
      <c r="C27" s="1017"/>
      <c r="D27" s="1018"/>
      <c r="E27" s="447" t="s">
        <v>327</v>
      </c>
      <c r="F27" s="447" t="s">
        <v>330</v>
      </c>
      <c r="G27" s="1019">
        <v>0.71</v>
      </c>
      <c r="H27" s="1020"/>
      <c r="I27" s="1020"/>
      <c r="J27" s="1020"/>
      <c r="K27" s="1021"/>
      <c r="L27" s="1065" t="s">
        <v>427</v>
      </c>
      <c r="M27" s="1065"/>
      <c r="N27" s="1065"/>
      <c r="O27" s="1065"/>
      <c r="P27" s="1065"/>
      <c r="Q27" s="1065"/>
      <c r="R27" s="491"/>
      <c r="S27" s="65"/>
      <c r="T27" s="63"/>
      <c r="U27" s="63"/>
      <c r="V27" s="63"/>
      <c r="W27" s="63"/>
      <c r="X27" s="63"/>
      <c r="Y27" s="67"/>
      <c r="Z27" s="168"/>
      <c r="AA27" s="448"/>
      <c r="AB27" s="448"/>
      <c r="AC27" s="448"/>
      <c r="AD27" s="448"/>
      <c r="AE27" s="448"/>
      <c r="AF27" s="448"/>
      <c r="AG27" s="67"/>
      <c r="AH27" s="67"/>
      <c r="AI27" s="67"/>
    </row>
    <row r="28" spans="1:35" ht="84.75" customHeight="1">
      <c r="A28" s="3"/>
      <c r="B28" s="1016" t="s">
        <v>70</v>
      </c>
      <c r="C28" s="1017"/>
      <c r="D28" s="1018"/>
      <c r="E28" s="447" t="s">
        <v>334</v>
      </c>
      <c r="F28" s="447" t="s">
        <v>337</v>
      </c>
      <c r="G28" s="1019">
        <v>1.03</v>
      </c>
      <c r="H28" s="1020"/>
      <c r="I28" s="1020"/>
      <c r="J28" s="1020"/>
      <c r="K28" s="1021"/>
      <c r="L28" s="989" t="s">
        <v>428</v>
      </c>
      <c r="M28" s="1023"/>
      <c r="N28" s="1023"/>
      <c r="O28" s="1023"/>
      <c r="P28" s="1023"/>
      <c r="Q28" s="1024"/>
      <c r="R28" s="491"/>
      <c r="S28" s="65"/>
      <c r="T28" s="63" t="e">
        <f t="shared" ref="T28:W29" si="1">IF($K25&gt;T$21,IF($K25&lt;=T$22,$K25,NA()),NA())</f>
        <v>#N/A</v>
      </c>
      <c r="U28" s="63" t="e">
        <f t="shared" si="1"/>
        <v>#N/A</v>
      </c>
      <c r="V28" s="63" t="e">
        <f t="shared" si="1"/>
        <v>#N/A</v>
      </c>
      <c r="W28" s="63" t="e">
        <f t="shared" si="1"/>
        <v>#N/A</v>
      </c>
      <c r="X28" s="63" t="e">
        <f>IF($K25&gt;X$21,IF($K25&lt;=X$22,1,NA()),NA())</f>
        <v>#N/A</v>
      </c>
      <c r="Y28" s="67"/>
      <c r="Z28" s="67"/>
      <c r="AA28" s="67"/>
      <c r="AB28" s="67"/>
      <c r="AC28" s="67"/>
      <c r="AD28" s="67"/>
      <c r="AE28" s="67"/>
      <c r="AF28" s="67"/>
      <c r="AG28" s="67"/>
      <c r="AH28" s="67"/>
      <c r="AI28" s="67"/>
    </row>
    <row r="29" spans="1:35" ht="77.25" customHeight="1">
      <c r="A29" s="3"/>
      <c r="B29" s="997" t="s">
        <v>56</v>
      </c>
      <c r="C29" s="1060"/>
      <c r="D29" s="1061"/>
      <c r="E29" s="449" t="s">
        <v>339</v>
      </c>
      <c r="F29" s="449" t="s">
        <v>342</v>
      </c>
      <c r="G29" s="1043">
        <v>1.04</v>
      </c>
      <c r="H29" s="1044"/>
      <c r="I29" s="1044"/>
      <c r="J29" s="1044"/>
      <c r="K29" s="1045"/>
      <c r="L29" s="989" t="s">
        <v>429</v>
      </c>
      <c r="M29" s="990"/>
      <c r="N29" s="990"/>
      <c r="O29" s="990"/>
      <c r="P29" s="990"/>
      <c r="Q29" s="991"/>
      <c r="R29" s="491"/>
      <c r="S29" s="65"/>
      <c r="T29" s="63" t="e">
        <f t="shared" si="1"/>
        <v>#N/A</v>
      </c>
      <c r="U29" s="63" t="e">
        <f t="shared" si="1"/>
        <v>#N/A</v>
      </c>
      <c r="V29" s="63" t="e">
        <f t="shared" si="1"/>
        <v>#N/A</v>
      </c>
      <c r="W29" s="63" t="e">
        <f t="shared" si="1"/>
        <v>#N/A</v>
      </c>
      <c r="X29" s="63" t="e">
        <f>IF($K26&gt;X$21,IF($K26&lt;=X$22,1,NA()),NA())</f>
        <v>#N/A</v>
      </c>
      <c r="Y29" s="67"/>
      <c r="Z29" s="67"/>
      <c r="AA29" s="67"/>
      <c r="AB29" s="67"/>
      <c r="AC29" s="67"/>
      <c r="AD29" s="67"/>
      <c r="AE29" s="67"/>
      <c r="AF29" s="67"/>
      <c r="AG29" s="67"/>
      <c r="AH29" s="67"/>
      <c r="AI29" s="67"/>
    </row>
    <row r="30" spans="1:35" ht="135.75" customHeight="1">
      <c r="A30" s="3"/>
      <c r="B30" s="997" t="s">
        <v>67</v>
      </c>
      <c r="C30" s="1060"/>
      <c r="D30" s="1061"/>
      <c r="E30" s="449" t="s">
        <v>345</v>
      </c>
      <c r="F30" s="449" t="s">
        <v>348</v>
      </c>
      <c r="G30" s="1043">
        <v>0.6</v>
      </c>
      <c r="H30" s="1044"/>
      <c r="I30" s="1044"/>
      <c r="J30" s="1044"/>
      <c r="K30" s="1045"/>
      <c r="L30" s="989" t="s">
        <v>430</v>
      </c>
      <c r="M30" s="990"/>
      <c r="N30" s="990"/>
      <c r="O30" s="990"/>
      <c r="P30" s="990"/>
      <c r="Q30" s="991"/>
      <c r="R30" s="491"/>
      <c r="S30" s="65"/>
      <c r="T30" s="63"/>
      <c r="U30" s="63"/>
      <c r="V30" s="63"/>
      <c r="W30" s="63"/>
      <c r="X30" s="63"/>
      <c r="Y30" s="67"/>
      <c r="Z30" s="67"/>
      <c r="AA30" s="67"/>
      <c r="AB30" s="67"/>
      <c r="AC30" s="67"/>
      <c r="AD30" s="67"/>
      <c r="AE30" s="67"/>
      <c r="AF30" s="67"/>
      <c r="AG30" s="67"/>
      <c r="AH30" s="67"/>
      <c r="AI30" s="67"/>
    </row>
    <row r="31" spans="1:35" ht="62.25" customHeight="1">
      <c r="A31" s="3"/>
      <c r="B31" s="997" t="s">
        <v>73</v>
      </c>
      <c r="C31" s="998"/>
      <c r="D31" s="999"/>
      <c r="E31" s="449" t="s">
        <v>351</v>
      </c>
      <c r="F31" s="449" t="s">
        <v>354</v>
      </c>
      <c r="G31" s="1062">
        <v>0.95</v>
      </c>
      <c r="H31" s="1063"/>
      <c r="I31" s="1063"/>
      <c r="J31" s="1063"/>
      <c r="K31" s="1064"/>
      <c r="L31" s="989" t="s">
        <v>431</v>
      </c>
      <c r="M31" s="990"/>
      <c r="N31" s="990"/>
      <c r="O31" s="990"/>
      <c r="P31" s="990"/>
      <c r="Q31" s="991"/>
      <c r="R31" s="491"/>
      <c r="S31" s="65"/>
      <c r="T31" s="63"/>
      <c r="U31" s="63"/>
      <c r="V31" s="63"/>
      <c r="W31" s="63"/>
      <c r="X31" s="63"/>
      <c r="Y31" s="67"/>
      <c r="Z31" s="67"/>
      <c r="AA31" s="67"/>
      <c r="AB31" s="67"/>
      <c r="AC31" s="67"/>
      <c r="AD31" s="67"/>
      <c r="AE31" s="67"/>
      <c r="AF31" s="67"/>
      <c r="AG31" s="67"/>
      <c r="AH31" s="67"/>
      <c r="AI31" s="67"/>
    </row>
    <row r="32" spans="1:35" ht="79.5" customHeight="1">
      <c r="A32" s="3"/>
      <c r="B32" s="997" t="s">
        <v>349</v>
      </c>
      <c r="C32" s="998"/>
      <c r="D32" s="999"/>
      <c r="E32" s="446">
        <v>0.95</v>
      </c>
      <c r="F32" s="446">
        <v>0.96499999999999997</v>
      </c>
      <c r="G32" s="1000">
        <v>1.02</v>
      </c>
      <c r="H32" s="1001"/>
      <c r="I32" s="1001"/>
      <c r="J32" s="1001"/>
      <c r="K32" s="1002"/>
      <c r="L32" s="995" t="s">
        <v>432</v>
      </c>
      <c r="M32" s="996"/>
      <c r="N32" s="996"/>
      <c r="O32" s="996"/>
      <c r="P32" s="996"/>
      <c r="Q32" s="996"/>
      <c r="R32" s="491"/>
      <c r="S32" s="65"/>
      <c r="T32" s="63" t="e">
        <f t="shared" ref="T32:W33" si="2">IF($K28&gt;T$21,IF($K28&lt;=T$22,$K28,NA()),NA())</f>
        <v>#N/A</v>
      </c>
      <c r="U32" s="63" t="e">
        <f t="shared" si="2"/>
        <v>#N/A</v>
      </c>
      <c r="V32" s="63" t="e">
        <f t="shared" si="2"/>
        <v>#N/A</v>
      </c>
      <c r="W32" s="63" t="e">
        <f t="shared" si="2"/>
        <v>#N/A</v>
      </c>
      <c r="X32" s="63" t="e">
        <f>IF($K28&gt;X$21,IF($K28&lt;=X$22,1,NA()),NA())</f>
        <v>#N/A</v>
      </c>
      <c r="Y32" s="67"/>
      <c r="Z32" s="67"/>
      <c r="AA32" s="67"/>
      <c r="AB32" s="67"/>
      <c r="AC32" s="67"/>
      <c r="AD32" s="67"/>
      <c r="AE32" s="67"/>
      <c r="AF32" s="67"/>
      <c r="AG32" s="67"/>
      <c r="AH32" s="67"/>
      <c r="AI32" s="67"/>
    </row>
    <row r="33" spans="1:35" ht="89.25" customHeight="1">
      <c r="A33" s="3"/>
      <c r="B33" s="997" t="s">
        <v>79</v>
      </c>
      <c r="C33" s="998"/>
      <c r="D33" s="999"/>
      <c r="E33" s="446">
        <v>0.9</v>
      </c>
      <c r="F33" s="446">
        <v>0.95</v>
      </c>
      <c r="G33" s="1000">
        <v>1.06</v>
      </c>
      <c r="H33" s="1001"/>
      <c r="I33" s="1001"/>
      <c r="J33" s="1001"/>
      <c r="K33" s="1002"/>
      <c r="L33" s="995" t="s">
        <v>433</v>
      </c>
      <c r="M33" s="996"/>
      <c r="N33" s="996"/>
      <c r="O33" s="996"/>
      <c r="P33" s="996"/>
      <c r="Q33" s="996"/>
      <c r="R33" s="491"/>
      <c r="S33" s="65"/>
      <c r="T33" s="63" t="e">
        <f t="shared" si="2"/>
        <v>#N/A</v>
      </c>
      <c r="U33" s="63" t="e">
        <f t="shared" si="2"/>
        <v>#N/A</v>
      </c>
      <c r="V33" s="63" t="e">
        <f t="shared" si="2"/>
        <v>#N/A</v>
      </c>
      <c r="W33" s="63" t="e">
        <f t="shared" si="2"/>
        <v>#N/A</v>
      </c>
      <c r="X33" s="63" t="e">
        <f>IF($K29&gt;X$21,IF($K29&lt;=X$22,1,NA()),NA())</f>
        <v>#N/A</v>
      </c>
      <c r="Y33" s="67"/>
      <c r="Z33" s="67"/>
      <c r="AA33" s="67"/>
      <c r="AB33" s="67"/>
      <c r="AC33" s="67"/>
      <c r="AD33" s="67"/>
      <c r="AE33" s="67"/>
      <c r="AF33" s="67"/>
      <c r="AG33" s="67"/>
      <c r="AH33" s="67"/>
      <c r="AI33" s="67"/>
    </row>
    <row r="34" spans="1:35" ht="105" customHeight="1">
      <c r="A34" s="3"/>
      <c r="B34" s="997" t="s">
        <v>83</v>
      </c>
      <c r="C34" s="998"/>
      <c r="D34" s="999"/>
      <c r="E34" s="446">
        <v>0.95</v>
      </c>
      <c r="F34" s="446">
        <v>0.95</v>
      </c>
      <c r="G34" s="1000">
        <v>1</v>
      </c>
      <c r="H34" s="1001"/>
      <c r="I34" s="1001"/>
      <c r="J34" s="1001"/>
      <c r="K34" s="1002"/>
      <c r="L34" s="995" t="s">
        <v>434</v>
      </c>
      <c r="M34" s="996"/>
      <c r="N34" s="996"/>
      <c r="O34" s="996"/>
      <c r="P34" s="996"/>
      <c r="Q34" s="996"/>
      <c r="R34" s="491"/>
      <c r="S34" s="65"/>
      <c r="T34" s="63" t="e">
        <f>IF(#REF!&gt;T$21,IF(#REF!&lt;=T$22,#REF!,NA()),NA())</f>
        <v>#REF!</v>
      </c>
      <c r="U34" s="63" t="e">
        <f>IF(#REF!&gt;U$21,IF(#REF!&lt;=U$22,#REF!,NA()),NA())</f>
        <v>#REF!</v>
      </c>
      <c r="V34" s="63" t="e">
        <f>IF(#REF!&gt;V$21,IF(#REF!&lt;=V$22,#REF!,NA()),NA())</f>
        <v>#REF!</v>
      </c>
      <c r="W34" s="63" t="e">
        <f>IF(#REF!&gt;W$21,IF(#REF!&lt;=W$22,#REF!,NA()),NA())</f>
        <v>#REF!</v>
      </c>
      <c r="X34" s="63" t="e">
        <f>IF(#REF!&gt;X$21,IF(#REF!&lt;=X$22,1,NA()),NA())</f>
        <v>#REF!</v>
      </c>
      <c r="Y34" s="67"/>
      <c r="Z34" s="67"/>
      <c r="AA34" s="67"/>
      <c r="AB34" s="67"/>
      <c r="AC34" s="67"/>
      <c r="AD34" s="67"/>
      <c r="AE34" s="67"/>
      <c r="AF34" s="67"/>
      <c r="AG34" s="67"/>
      <c r="AH34" s="67"/>
      <c r="AI34" s="67"/>
    </row>
    <row r="35" spans="1:35" ht="18.75">
      <c r="E35" s="716"/>
      <c r="F35" s="1003" t="s">
        <v>435</v>
      </c>
      <c r="G35" s="1004"/>
      <c r="H35" s="1004"/>
      <c r="I35" s="1004"/>
      <c r="J35" s="1004"/>
      <c r="K35" s="1004"/>
      <c r="L35" s="1004"/>
      <c r="M35" s="1004"/>
    </row>
    <row r="36" spans="1:35" ht="59.25" customHeight="1" thickBot="1">
      <c r="A36" s="3"/>
      <c r="B36" s="1013" t="str">
        <f>+'Ввод данных'!A208</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C36" s="1013"/>
      <c r="D36" s="1013"/>
      <c r="E36" s="1013"/>
      <c r="F36" s="1013" t="str">
        <f>+'Ввод данных'!A210</f>
        <v xml:space="preserve">MDR TB-2: Количество бактериологически подтвержденных зарегистрированных ЛУ-ТБ случаев (РУ-ТБ и/или МЛУ-ТБ)		</v>
      </c>
      <c r="G36" s="1013"/>
      <c r="H36" s="1013"/>
      <c r="I36" s="1013"/>
      <c r="J36" s="1013"/>
      <c r="K36" s="1013"/>
      <c r="L36" s="1013" t="str">
        <f>+'Ввод данных'!A212</f>
        <v xml:space="preserve">MDR TB-3: Количество случаев с РУ/МЛУ ТБ, начавших лечение препаратами второго ряда		</v>
      </c>
      <c r="M36" s="1013"/>
      <c r="N36" s="1013"/>
      <c r="O36" s="1013"/>
      <c r="P36" s="1013"/>
      <c r="Q36" s="1013"/>
      <c r="S36" s="189"/>
      <c r="T36" s="189"/>
      <c r="U36" s="189"/>
      <c r="V36" s="189"/>
      <c r="W36" s="189"/>
      <c r="X36" s="189"/>
      <c r="Y36" s="67"/>
      <c r="Z36" s="67"/>
      <c r="AA36" s="67"/>
      <c r="AB36" s="67"/>
      <c r="AC36" s="67"/>
      <c r="AD36" s="189"/>
      <c r="AE36" s="189"/>
      <c r="AF36" s="189"/>
      <c r="AG36" s="189"/>
      <c r="AH36" s="189"/>
      <c r="AI36" s="189"/>
    </row>
    <row r="37" spans="1:35" ht="86.25" customHeight="1" thickBot="1">
      <c r="A37" s="3"/>
      <c r="B37" s="684" t="s">
        <v>376</v>
      </c>
      <c r="C37" s="992" t="s">
        <v>436</v>
      </c>
      <c r="D37" s="993"/>
      <c r="E37" s="994"/>
      <c r="F37" s="685" t="s">
        <v>376</v>
      </c>
      <c r="G37" s="992" t="s">
        <v>437</v>
      </c>
      <c r="H37" s="993"/>
      <c r="I37" s="993"/>
      <c r="J37" s="993"/>
      <c r="K37" s="994"/>
      <c r="L37" s="685" t="s">
        <v>376</v>
      </c>
      <c r="M37" s="992" t="s">
        <v>438</v>
      </c>
      <c r="N37" s="993"/>
      <c r="O37" s="993"/>
      <c r="P37" s="993"/>
      <c r="Q37" s="1005"/>
      <c r="S37" s="189"/>
      <c r="T37" s="189"/>
      <c r="U37" s="189"/>
      <c r="V37" s="189"/>
      <c r="W37" s="189"/>
      <c r="X37" s="189"/>
      <c r="Y37" s="189"/>
      <c r="Z37" s="189"/>
      <c r="AA37" s="189"/>
      <c r="AB37" s="189"/>
      <c r="AC37" s="189"/>
      <c r="AD37" s="189"/>
      <c r="AE37" s="189"/>
      <c r="AF37" s="189"/>
      <c r="AG37" s="189"/>
      <c r="AH37" s="189"/>
      <c r="AI37" s="189"/>
    </row>
    <row r="38" spans="1:35" ht="18.75" customHeight="1">
      <c r="A38" s="3"/>
      <c r="B38" s="708"/>
      <c r="C38" s="708"/>
      <c r="D38" s="710"/>
      <c r="E38" s="710"/>
      <c r="F38" s="710"/>
      <c r="G38" s="710"/>
      <c r="H38" s="710"/>
      <c r="I38" s="710"/>
      <c r="J38" s="710"/>
      <c r="K38" s="710"/>
      <c r="L38" s="710"/>
      <c r="M38" s="3"/>
      <c r="N38" s="3"/>
      <c r="O38" s="172"/>
      <c r="P38" s="171"/>
      <c r="S38" s="189"/>
      <c r="T38" s="189"/>
      <c r="U38" s="189"/>
      <c r="V38" s="189"/>
      <c r="W38" s="189"/>
      <c r="X38" s="189"/>
      <c r="Y38" s="189"/>
      <c r="Z38" s="189"/>
      <c r="AA38" s="189"/>
      <c r="AB38" s="189"/>
      <c r="AC38" s="189"/>
      <c r="AD38" s="189"/>
      <c r="AE38" s="189"/>
      <c r="AF38" s="189"/>
      <c r="AG38" s="189"/>
      <c r="AH38" s="189"/>
      <c r="AI38" s="189"/>
    </row>
    <row r="39" spans="1:35" ht="18.75" customHeight="1">
      <c r="A39" s="3"/>
      <c r="B39" s="708"/>
      <c r="C39" s="708"/>
      <c r="D39" s="710"/>
      <c r="E39" s="710"/>
      <c r="F39" s="710"/>
      <c r="G39" s="710"/>
      <c r="H39" s="710"/>
      <c r="I39" s="710"/>
      <c r="J39" s="710"/>
      <c r="K39" s="710"/>
      <c r="L39" s="710"/>
      <c r="M39" s="3"/>
      <c r="N39" s="3"/>
      <c r="O39" s="172"/>
      <c r="P39" s="171"/>
      <c r="S39" s="189"/>
      <c r="T39" s="189"/>
      <c r="U39" s="189"/>
      <c r="V39" s="189"/>
      <c r="W39" s="189"/>
      <c r="X39" s="189"/>
      <c r="Y39" s="189"/>
      <c r="Z39" s="189"/>
      <c r="AA39" s="189"/>
      <c r="AB39" s="189"/>
      <c r="AC39" s="189"/>
      <c r="AD39" s="189"/>
      <c r="AE39" s="189"/>
      <c r="AF39" s="189"/>
      <c r="AG39" s="189"/>
      <c r="AH39" s="189"/>
      <c r="AI39" s="189"/>
    </row>
    <row r="40" spans="1:35" ht="18.75" customHeight="1">
      <c r="A40" s="3"/>
      <c r="B40" s="708"/>
      <c r="C40" s="708"/>
      <c r="D40" s="710"/>
      <c r="E40" s="710"/>
      <c r="F40" s="710"/>
      <c r="G40" s="710"/>
      <c r="H40" s="710"/>
      <c r="I40" s="710"/>
      <c r="J40" s="710"/>
      <c r="K40" s="710"/>
      <c r="L40" s="710"/>
      <c r="M40" s="3"/>
      <c r="N40" s="3"/>
      <c r="O40" s="172"/>
      <c r="P40" s="171"/>
      <c r="S40" s="189"/>
      <c r="T40" s="189"/>
      <c r="U40" s="189"/>
      <c r="V40" s="189"/>
      <c r="W40" s="189"/>
      <c r="X40" s="189"/>
      <c r="Y40" s="189"/>
      <c r="Z40" s="189"/>
      <c r="AA40" s="189"/>
      <c r="AB40" s="189"/>
      <c r="AC40" s="189"/>
      <c r="AD40" s="189"/>
      <c r="AE40" s="189"/>
      <c r="AF40" s="189"/>
      <c r="AG40" s="189"/>
      <c r="AH40" s="189"/>
      <c r="AI40" s="189"/>
    </row>
    <row r="41" spans="1:35" ht="18.75" customHeight="1">
      <c r="A41" s="3"/>
      <c r="B41" s="708"/>
      <c r="C41" s="708"/>
      <c r="D41" s="710"/>
      <c r="E41" s="710"/>
      <c r="F41" s="710"/>
      <c r="G41" s="710"/>
      <c r="H41" s="710"/>
      <c r="I41" s="710"/>
      <c r="J41" s="710"/>
      <c r="K41" s="710"/>
      <c r="L41" s="710"/>
      <c r="M41" s="3"/>
      <c r="N41" s="3"/>
      <c r="O41" s="172"/>
      <c r="P41" s="171"/>
      <c r="S41" s="189"/>
      <c r="T41" s="189"/>
      <c r="U41" s="189"/>
      <c r="V41" s="189"/>
      <c r="W41" s="189"/>
      <c r="X41" s="189"/>
      <c r="Y41" s="189"/>
      <c r="Z41" s="189"/>
      <c r="AA41" s="189"/>
      <c r="AB41" s="189"/>
      <c r="AC41" s="189"/>
      <c r="AD41" s="189"/>
      <c r="AE41" s="189"/>
      <c r="AF41" s="189"/>
      <c r="AG41" s="189"/>
      <c r="AH41" s="189"/>
      <c r="AI41" s="189"/>
    </row>
    <row r="42" spans="1:35" ht="18.75" customHeight="1">
      <c r="A42" s="3"/>
      <c r="B42" s="708"/>
      <c r="C42" s="708"/>
      <c r="D42" s="710"/>
      <c r="E42" s="710"/>
      <c r="F42" s="710"/>
      <c r="G42" s="710"/>
      <c r="H42" s="710"/>
      <c r="I42" s="710"/>
      <c r="J42" s="710"/>
      <c r="K42" s="710"/>
      <c r="L42" s="710"/>
      <c r="M42" s="3"/>
      <c r="N42" s="3"/>
      <c r="O42" s="172"/>
      <c r="P42" s="171"/>
      <c r="S42" s="189"/>
      <c r="T42" s="189"/>
      <c r="U42" s="189"/>
      <c r="V42" s="189"/>
      <c r="W42" s="189"/>
      <c r="X42" s="189"/>
      <c r="Y42" s="189"/>
      <c r="Z42" s="189"/>
      <c r="AA42" s="189"/>
      <c r="AB42" s="189"/>
      <c r="AC42" s="189"/>
      <c r="AD42" s="189"/>
      <c r="AE42" s="189"/>
      <c r="AF42" s="189"/>
      <c r="AG42" s="189"/>
      <c r="AH42" s="189"/>
      <c r="AI42" s="189"/>
    </row>
    <row r="43" spans="1:35" ht="18.75" customHeight="1">
      <c r="A43" s="3"/>
      <c r="B43" s="708"/>
      <c r="C43" s="708"/>
      <c r="D43" s="710"/>
      <c r="E43" s="710"/>
      <c r="F43" s="710"/>
      <c r="G43" s="710"/>
      <c r="H43" s="710"/>
      <c r="I43" s="710"/>
      <c r="J43" s="710"/>
      <c r="K43" s="710"/>
      <c r="L43" s="710"/>
      <c r="M43" s="3"/>
      <c r="N43" s="3"/>
      <c r="O43" s="172"/>
      <c r="P43" s="171"/>
      <c r="S43" s="189"/>
      <c r="T43" s="189"/>
      <c r="U43" s="189"/>
      <c r="V43" s="189"/>
      <c r="W43" s="189"/>
      <c r="X43" s="189"/>
      <c r="Y43" s="189"/>
      <c r="Z43" s="189"/>
      <c r="AA43" s="189"/>
      <c r="AB43" s="189"/>
      <c r="AC43" s="189"/>
      <c r="AD43" s="189"/>
      <c r="AE43" s="189"/>
      <c r="AF43" s="189"/>
      <c r="AG43" s="189"/>
      <c r="AH43" s="189"/>
      <c r="AI43" s="189"/>
    </row>
    <row r="44" spans="1:35" ht="18.75" customHeight="1">
      <c r="A44" s="3"/>
      <c r="B44" s="708"/>
      <c r="C44" s="708"/>
      <c r="D44" s="710"/>
      <c r="E44" s="710"/>
      <c r="F44" s="710"/>
      <c r="G44" s="710"/>
      <c r="H44" s="710"/>
      <c r="I44" s="710"/>
      <c r="J44" s="710"/>
      <c r="K44" s="710"/>
      <c r="L44" s="710"/>
      <c r="M44" s="3"/>
      <c r="N44" s="3"/>
      <c r="O44" s="172"/>
      <c r="P44" s="171"/>
      <c r="S44" s="189"/>
      <c r="T44" s="189"/>
      <c r="U44" s="189"/>
      <c r="V44" s="189"/>
      <c r="W44" s="189"/>
      <c r="X44" s="189"/>
      <c r="Y44" s="189"/>
      <c r="Z44" s="189"/>
      <c r="AA44" s="189"/>
      <c r="AB44" s="189"/>
      <c r="AC44" s="189"/>
      <c r="AD44" s="189"/>
      <c r="AE44" s="189"/>
      <c r="AF44" s="189"/>
      <c r="AG44" s="189"/>
      <c r="AH44" s="189"/>
      <c r="AI44" s="189"/>
    </row>
    <row r="45" spans="1:35" ht="18.75" customHeight="1">
      <c r="A45" s="3"/>
      <c r="B45" s="708"/>
      <c r="C45" s="708"/>
      <c r="D45" s="710"/>
      <c r="E45" s="710"/>
      <c r="F45" s="710"/>
      <c r="G45" s="710"/>
      <c r="H45" s="710"/>
      <c r="I45" s="710"/>
      <c r="J45" s="710"/>
      <c r="K45" s="710"/>
      <c r="L45" s="710"/>
      <c r="M45" s="3"/>
      <c r="N45" s="3"/>
      <c r="O45" s="172"/>
      <c r="P45" s="171"/>
      <c r="S45" s="189"/>
      <c r="T45" s="189"/>
      <c r="U45" s="189"/>
      <c r="V45" s="189"/>
      <c r="W45" s="189"/>
      <c r="X45" s="189"/>
      <c r="Y45" s="189"/>
      <c r="Z45" s="189"/>
      <c r="AA45" s="189"/>
      <c r="AB45" s="189"/>
      <c r="AC45" s="189"/>
      <c r="AD45" s="189"/>
      <c r="AE45" s="189"/>
      <c r="AF45" s="189"/>
      <c r="AG45" s="189"/>
      <c r="AH45" s="189"/>
      <c r="AI45" s="189"/>
    </row>
    <row r="46" spans="1:35" ht="18.75" customHeight="1">
      <c r="A46" s="3"/>
      <c r="B46" s="708"/>
      <c r="C46" s="708"/>
      <c r="D46" s="710"/>
      <c r="E46" s="710"/>
      <c r="F46" s="710"/>
      <c r="G46" s="710"/>
      <c r="H46" s="710"/>
      <c r="I46" s="710"/>
      <c r="J46" s="710"/>
      <c r="K46" s="710"/>
      <c r="L46" s="710"/>
      <c r="M46" s="3"/>
      <c r="N46" s="3"/>
      <c r="O46" s="172"/>
      <c r="P46" s="171"/>
      <c r="S46" s="189"/>
      <c r="T46" s="189"/>
      <c r="U46" s="189"/>
      <c r="V46" s="189"/>
      <c r="W46" s="189"/>
      <c r="X46" s="189"/>
      <c r="Y46" s="189"/>
      <c r="Z46" s="189"/>
      <c r="AA46" s="189"/>
      <c r="AB46" s="189"/>
      <c r="AC46" s="189"/>
      <c r="AD46" s="189"/>
      <c r="AE46" s="189"/>
      <c r="AF46" s="189"/>
      <c r="AG46" s="189"/>
      <c r="AH46" s="189"/>
      <c r="AI46" s="189"/>
    </row>
    <row r="47" spans="1:35" ht="17.25" customHeight="1">
      <c r="A47" s="3"/>
      <c r="B47" s="708"/>
      <c r="C47" s="708"/>
      <c r="D47" s="710"/>
      <c r="E47" s="710"/>
      <c r="F47" s="710"/>
      <c r="G47" s="710"/>
      <c r="H47" s="710"/>
      <c r="I47" s="710"/>
      <c r="J47" s="710"/>
      <c r="K47" s="710"/>
      <c r="L47" s="710"/>
      <c r="M47" s="3"/>
      <c r="N47" s="3"/>
      <c r="O47" s="172"/>
      <c r="P47" s="171"/>
      <c r="S47" s="189"/>
      <c r="T47" s="189"/>
      <c r="U47" s="189"/>
      <c r="V47" s="189"/>
      <c r="W47" s="189"/>
      <c r="X47" s="189"/>
      <c r="Y47" s="189"/>
      <c r="Z47" s="189"/>
      <c r="AA47" s="189"/>
      <c r="AB47" s="189"/>
      <c r="AC47" s="189"/>
      <c r="AD47" s="189"/>
      <c r="AE47" s="189"/>
      <c r="AF47" s="189"/>
      <c r="AG47" s="189"/>
      <c r="AH47" s="189"/>
      <c r="AI47" s="189"/>
    </row>
    <row r="48" spans="1:35" ht="6" customHeight="1">
      <c r="A48" s="3"/>
      <c r="B48" s="110"/>
      <c r="C48" s="708"/>
      <c r="D48" s="108"/>
      <c r="E48" s="1029"/>
      <c r="F48" s="1029"/>
      <c r="G48" s="1029"/>
      <c r="H48" s="1029"/>
      <c r="I48" s="1029"/>
      <c r="J48" s="1029"/>
      <c r="K48" s="1029"/>
      <c r="L48" s="3"/>
      <c r="M48" s="3"/>
      <c r="N48" s="3"/>
      <c r="O48" s="3"/>
      <c r="P48" s="3"/>
      <c r="S48" s="189"/>
      <c r="T48" s="189"/>
      <c r="U48" s="189"/>
      <c r="V48" s="189"/>
      <c r="W48" s="189"/>
      <c r="X48" s="189"/>
      <c r="Y48" s="189"/>
      <c r="Z48" s="189"/>
      <c r="AA48" s="189"/>
      <c r="AB48" s="189"/>
      <c r="AC48" s="189"/>
      <c r="AD48" s="189"/>
      <c r="AE48" s="189"/>
      <c r="AF48" s="189"/>
      <c r="AG48" s="189"/>
      <c r="AH48" s="189"/>
      <c r="AI48" s="189"/>
    </row>
    <row r="49" spans="1:35" ht="50.25" customHeight="1">
      <c r="A49" s="3"/>
      <c r="B49" s="1030" t="s">
        <v>409</v>
      </c>
      <c r="C49" s="1030"/>
      <c r="D49" s="1030"/>
      <c r="E49" s="332" t="s">
        <v>311</v>
      </c>
      <c r="F49" s="332" t="s">
        <v>362</v>
      </c>
      <c r="G49" s="1025" t="s">
        <v>410</v>
      </c>
      <c r="H49" s="1026"/>
      <c r="I49" s="1027" t="s">
        <v>411</v>
      </c>
      <c r="J49" s="1028"/>
      <c r="K49" s="339" t="s">
        <v>412</v>
      </c>
      <c r="L49" s="1006" t="s">
        <v>439</v>
      </c>
      <c r="M49" s="1007"/>
      <c r="N49" s="1007"/>
      <c r="O49" s="1007"/>
      <c r="P49" s="1007"/>
      <c r="Q49" s="1008"/>
      <c r="S49" s="61" t="s">
        <v>414</v>
      </c>
      <c r="T49" s="62">
        <v>0</v>
      </c>
      <c r="U49" s="63">
        <v>0.3</v>
      </c>
      <c r="V49" s="63">
        <v>0.6</v>
      </c>
      <c r="W49" s="63">
        <v>0.9</v>
      </c>
      <c r="X49" s="63">
        <v>1</v>
      </c>
      <c r="Y49" s="67"/>
      <c r="Z49" s="67"/>
      <c r="AA49" s="61" t="s">
        <v>414</v>
      </c>
      <c r="AB49" s="62">
        <v>0</v>
      </c>
      <c r="AC49" s="63">
        <v>0.2</v>
      </c>
      <c r="AD49" s="63">
        <v>0.4</v>
      </c>
      <c r="AE49" s="63">
        <v>0.6</v>
      </c>
      <c r="AF49" s="63">
        <v>0.8</v>
      </c>
      <c r="AG49" s="67"/>
      <c r="AH49" s="67"/>
      <c r="AI49" s="67"/>
    </row>
    <row r="50" spans="1:35" ht="184.5" customHeight="1">
      <c r="A50" s="3"/>
      <c r="B50" s="1031" t="str">
        <f>+'Ввод данных'!A208</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C50" s="1032"/>
      <c r="D50" s="1033"/>
      <c r="E50" s="333">
        <v>3450</v>
      </c>
      <c r="F50" s="334" t="s">
        <v>440</v>
      </c>
      <c r="G50" s="1010">
        <v>0.94</v>
      </c>
      <c r="H50" s="1011"/>
      <c r="I50" s="1011"/>
      <c r="J50" s="1011"/>
      <c r="K50" s="1012"/>
      <c r="L50" s="1039" t="s">
        <v>718</v>
      </c>
      <c r="M50" s="1009"/>
      <c r="N50" s="1009"/>
      <c r="O50" s="1009"/>
      <c r="P50" s="1009"/>
      <c r="Q50" s="1009"/>
      <c r="S50" s="61" t="s">
        <v>418</v>
      </c>
      <c r="T50" s="64">
        <v>0.3</v>
      </c>
      <c r="U50" s="63">
        <v>0.6</v>
      </c>
      <c r="V50" s="63">
        <v>0.9</v>
      </c>
      <c r="W50" s="63">
        <v>1</v>
      </c>
      <c r="X50" s="63">
        <v>2</v>
      </c>
      <c r="Y50" s="67"/>
      <c r="Z50" s="67"/>
      <c r="AA50" s="61" t="s">
        <v>418</v>
      </c>
      <c r="AB50" s="64">
        <v>0.2</v>
      </c>
      <c r="AC50" s="63">
        <v>0.4</v>
      </c>
      <c r="AD50" s="63">
        <v>0.6</v>
      </c>
      <c r="AE50" s="63">
        <v>0.8</v>
      </c>
      <c r="AF50" s="63">
        <v>1</v>
      </c>
      <c r="AG50" s="67"/>
      <c r="AH50" s="67"/>
      <c r="AI50" s="67"/>
    </row>
    <row r="51" spans="1:35" ht="63" customHeight="1">
      <c r="A51" s="3"/>
      <c r="B51" s="1031" t="str">
        <f>+'Ввод данных'!A210</f>
        <v xml:space="preserve">MDR TB-2: Количество бактериологически подтвержденных зарегистрированных ЛУ-ТБ случаев (РУ-ТБ и/или МЛУ-ТБ)		</v>
      </c>
      <c r="C51" s="1032"/>
      <c r="D51" s="1033"/>
      <c r="E51" s="333">
        <v>720</v>
      </c>
      <c r="F51" s="334" t="s">
        <v>441</v>
      </c>
      <c r="G51" s="1046">
        <v>1.02</v>
      </c>
      <c r="H51" s="1047"/>
      <c r="I51" s="1047"/>
      <c r="J51" s="1047"/>
      <c r="K51" s="1048"/>
      <c r="L51" s="1040" t="s">
        <v>442</v>
      </c>
      <c r="M51" s="1040"/>
      <c r="N51" s="1040"/>
      <c r="O51" s="1040"/>
      <c r="P51" s="1040"/>
      <c r="Q51" s="1040"/>
      <c r="S51" s="65"/>
      <c r="T51" s="66" t="str">
        <f>"de "&amp;T49&amp;" a "&amp;T50</f>
        <v>de 0 a 0.3</v>
      </c>
      <c r="U51" s="66" t="str">
        <f>"de "&amp;U49&amp;" a "&amp;U50</f>
        <v>de 0.3 a 0.6</v>
      </c>
      <c r="AH51" s="67"/>
      <c r="AI51" s="67"/>
    </row>
    <row r="52" spans="1:35" ht="246.75" customHeight="1">
      <c r="A52" s="3"/>
      <c r="B52" s="1034" t="str">
        <f>+'Ввод данных'!A212</f>
        <v xml:space="preserve">MDR TB-3: Количество случаев с РУ/МЛУ ТБ, начавших лечение препаратами второго ряда		</v>
      </c>
      <c r="C52" s="1032"/>
      <c r="D52" s="1033"/>
      <c r="E52" s="333">
        <v>720</v>
      </c>
      <c r="F52" s="333">
        <v>665</v>
      </c>
      <c r="G52" s="1010">
        <v>0.94</v>
      </c>
      <c r="H52" s="1011"/>
      <c r="I52" s="1011"/>
      <c r="J52" s="1011"/>
      <c r="K52" s="1012"/>
      <c r="L52" s="1041" t="s">
        <v>720</v>
      </c>
      <c r="M52" s="1009"/>
      <c r="N52" s="1009"/>
      <c r="O52" s="1009"/>
      <c r="P52" s="1009"/>
      <c r="Q52" s="1009"/>
      <c r="S52" s="65"/>
      <c r="T52" s="63" t="e">
        <f>IF($K50&gt;T$49,IF($K50&lt;=T$50,$K50,NA()),NA())</f>
        <v>#N/A</v>
      </c>
      <c r="U52" s="63" t="e">
        <f>IF($K50&gt;U$49,IF($K50&lt;=U$50,$K50,NA()),NA())</f>
        <v>#N/A</v>
      </c>
      <c r="AH52" s="67"/>
      <c r="AI52" s="67"/>
    </row>
    <row r="53" spans="1:35" ht="203.25" customHeight="1">
      <c r="A53" s="3"/>
      <c r="B53" s="1034" t="str">
        <f>+'Ввод данных'!A214</f>
        <v>MDR TB-7: Процент подтвержденных МЛУ-ТБ случаев, протестированных на чувствительность к фторхинолонам и инъекционным препаратам второго ряда</v>
      </c>
      <c r="C53" s="1035"/>
      <c r="D53" s="1036"/>
      <c r="E53" s="403">
        <v>0.65</v>
      </c>
      <c r="F53" s="334" t="s">
        <v>443</v>
      </c>
      <c r="G53" s="1010">
        <v>1.02</v>
      </c>
      <c r="H53" s="1011"/>
      <c r="I53" s="1011"/>
      <c r="J53" s="1011"/>
      <c r="K53" s="1012"/>
      <c r="L53" s="1262" t="s">
        <v>719</v>
      </c>
      <c r="M53" s="1262"/>
      <c r="N53" s="1262"/>
      <c r="O53" s="1262"/>
      <c r="P53" s="1262"/>
      <c r="Q53" s="1262"/>
      <c r="S53" s="65"/>
      <c r="T53" s="63"/>
      <c r="U53" s="63"/>
      <c r="AH53" s="67"/>
      <c r="AI53" s="67"/>
    </row>
    <row r="54" spans="1:35" ht="119.25" customHeight="1">
      <c r="A54" s="3"/>
      <c r="B54" s="1050" t="str">
        <f>+'Ввод данных'!A216</f>
        <v xml:space="preserve">MDR TB-8: Количество случаев ШЛУ ТБ, взятых на лечение		</v>
      </c>
      <c r="C54" s="1051"/>
      <c r="D54" s="1052"/>
      <c r="E54" s="335">
        <v>53</v>
      </c>
      <c r="F54" s="338" t="s">
        <v>444</v>
      </c>
      <c r="G54" s="1010">
        <v>0.91</v>
      </c>
      <c r="H54" s="1011"/>
      <c r="I54" s="1011"/>
      <c r="J54" s="1011"/>
      <c r="K54" s="1012"/>
      <c r="L54" s="1039" t="s">
        <v>445</v>
      </c>
      <c r="M54" s="1009"/>
      <c r="N54" s="1009"/>
      <c r="O54" s="1009"/>
      <c r="P54" s="1009"/>
      <c r="Q54" s="1009"/>
      <c r="AH54" s="67"/>
      <c r="AI54" s="67"/>
    </row>
    <row r="55" spans="1:35" ht="113.25" customHeight="1">
      <c r="A55" s="3"/>
      <c r="B55" s="1050" t="str">
        <f>+'Ввод данных'!A218</f>
        <v xml:space="preserve">Процент и количество пациентов с симптомами или подозрениями на ТБ, обследованных методом Xpert MTB/RIF и подтвержденным активным ТБ  </v>
      </c>
      <c r="C55" s="1051"/>
      <c r="D55" s="1052"/>
      <c r="E55" s="336" t="s">
        <v>446</v>
      </c>
      <c r="F55" s="337" t="s">
        <v>447</v>
      </c>
      <c r="G55" s="1053">
        <v>1.01</v>
      </c>
      <c r="H55" s="1054"/>
      <c r="I55" s="1054"/>
      <c r="J55" s="1054"/>
      <c r="K55" s="1055"/>
      <c r="L55" s="1009" t="s">
        <v>448</v>
      </c>
      <c r="M55" s="1009"/>
      <c r="N55" s="1009"/>
      <c r="O55" s="1009"/>
      <c r="P55" s="1009"/>
      <c r="Q55" s="1009"/>
      <c r="AH55" s="67"/>
      <c r="AI55" s="67"/>
    </row>
    <row r="56" spans="1:35" ht="22.5" customHeight="1">
      <c r="A56" s="3"/>
      <c r="B56" s="1059"/>
      <c r="C56" s="1059"/>
      <c r="D56" s="1059"/>
      <c r="E56" s="1059"/>
      <c r="F56" s="1058"/>
      <c r="G56" s="1058"/>
      <c r="H56" s="1058"/>
      <c r="I56" s="1058"/>
      <c r="J56" s="1058"/>
      <c r="K56" s="1058"/>
      <c r="L56" s="1042"/>
      <c r="M56" s="1042"/>
      <c r="N56" s="1042"/>
      <c r="O56" s="1042"/>
      <c r="P56" s="1042"/>
      <c r="AH56" s="67"/>
      <c r="AI56" s="67"/>
    </row>
    <row r="57" spans="1:35" ht="22.5" customHeight="1">
      <c r="A57" s="3"/>
      <c r="B57" s="1056"/>
      <c r="C57" s="1056"/>
      <c r="D57" s="1056"/>
      <c r="E57" s="1057"/>
      <c r="F57" s="1037"/>
      <c r="G57" s="1038"/>
      <c r="H57" s="1038"/>
      <c r="I57" s="1038"/>
      <c r="J57" s="1038"/>
      <c r="K57" s="1057"/>
      <c r="L57" s="1037"/>
      <c r="M57" s="1038"/>
      <c r="N57" s="1038"/>
      <c r="O57" s="1038"/>
      <c r="P57" s="1038"/>
      <c r="Y57" s="67"/>
      <c r="Z57" s="67"/>
      <c r="AA57" s="67"/>
      <c r="AB57" s="67"/>
      <c r="AC57" s="67"/>
      <c r="AD57" s="67"/>
      <c r="AE57" s="67"/>
      <c r="AF57" s="67"/>
      <c r="AG57" s="67"/>
      <c r="AH57" s="67"/>
      <c r="AI57" s="67"/>
    </row>
    <row r="58" spans="1:35">
      <c r="A58" s="3"/>
      <c r="B58" s="190"/>
      <c r="C58" s="190"/>
      <c r="D58" s="190"/>
      <c r="E58" s="190"/>
      <c r="F58" s="190"/>
      <c r="G58" s="190"/>
      <c r="H58" s="191"/>
      <c r="I58" s="190"/>
      <c r="J58" s="190"/>
      <c r="K58" s="190"/>
      <c r="L58" s="190"/>
      <c r="M58" s="190"/>
      <c r="N58" s="190"/>
      <c r="O58" s="190"/>
      <c r="P58" s="190"/>
      <c r="Y58" s="67"/>
      <c r="Z58" s="67"/>
      <c r="AA58" s="67"/>
      <c r="AB58" s="67"/>
      <c r="AC58" s="67"/>
      <c r="AD58" s="67"/>
      <c r="AE58" s="67"/>
      <c r="AF58" s="67"/>
      <c r="AG58" s="67"/>
      <c r="AH58" s="67"/>
      <c r="AI58" s="67"/>
    </row>
    <row r="59" spans="1:35">
      <c r="A59" s="3"/>
      <c r="B59" s="1049"/>
      <c r="C59" s="1049"/>
      <c r="D59" s="1049"/>
      <c r="E59" s="1049"/>
      <c r="F59" s="1049"/>
      <c r="G59" s="1049"/>
      <c r="H59" s="1049"/>
      <c r="I59" s="1049"/>
      <c r="J59" s="1049"/>
      <c r="K59" s="1049"/>
      <c r="L59" s="190"/>
      <c r="M59" s="190"/>
      <c r="N59" s="190"/>
      <c r="O59" s="190"/>
      <c r="P59" s="190"/>
      <c r="Y59" s="67"/>
      <c r="Z59" s="67"/>
      <c r="AA59" s="67"/>
      <c r="AB59" s="67"/>
      <c r="AC59" s="67"/>
      <c r="AD59" s="67"/>
      <c r="AE59" s="67"/>
      <c r="AF59" s="67"/>
      <c r="AG59" s="67"/>
      <c r="AH59" s="67"/>
      <c r="AI59" s="67"/>
    </row>
    <row r="60" spans="1:35">
      <c r="A60" s="3"/>
      <c r="B60" s="1049"/>
      <c r="C60" s="1049"/>
      <c r="D60" s="1049"/>
      <c r="E60" s="1049"/>
      <c r="F60" s="1049"/>
      <c r="G60" s="1049"/>
      <c r="H60" s="1049"/>
      <c r="I60" s="1049"/>
      <c r="J60" s="1049"/>
      <c r="K60" s="1049"/>
      <c r="L60" s="190"/>
      <c r="M60" s="190"/>
      <c r="N60" s="190"/>
      <c r="O60" s="190"/>
      <c r="P60" s="190"/>
      <c r="S60" s="67"/>
      <c r="T60" s="67"/>
      <c r="U60" s="67"/>
      <c r="V60" s="67"/>
      <c r="W60" s="67"/>
      <c r="X60" s="67"/>
      <c r="Y60" s="67"/>
      <c r="Z60" s="67"/>
      <c r="AA60" s="67"/>
      <c r="AB60" s="67"/>
      <c r="AC60" s="67"/>
      <c r="AD60" s="67"/>
      <c r="AE60" s="67"/>
      <c r="AF60" s="67"/>
      <c r="AG60" s="67"/>
      <c r="AH60" s="67"/>
      <c r="AI60" s="67"/>
    </row>
    <row r="61" spans="1:35">
      <c r="A61" s="3"/>
      <c r="B61" s="3"/>
      <c r="C61" s="3"/>
      <c r="D61" s="3"/>
      <c r="E61" s="3"/>
      <c r="F61" s="3"/>
      <c r="G61" s="3"/>
      <c r="H61" s="3"/>
      <c r="I61" s="90"/>
      <c r="J61" s="90"/>
      <c r="K61" s="90"/>
      <c r="L61" s="3"/>
      <c r="M61" s="3"/>
      <c r="N61" s="3"/>
      <c r="O61" s="3"/>
      <c r="P61" s="3"/>
      <c r="S61" s="67"/>
      <c r="T61" s="67"/>
      <c r="U61" s="67"/>
      <c r="V61" s="67"/>
      <c r="W61" s="67"/>
      <c r="X61" s="67"/>
      <c r="Y61" s="67"/>
      <c r="Z61" s="67"/>
      <c r="AA61" s="67"/>
      <c r="AB61" s="67"/>
      <c r="AC61" s="67"/>
      <c r="AD61" s="67"/>
      <c r="AE61" s="67"/>
      <c r="AF61" s="67"/>
      <c r="AG61" s="67"/>
      <c r="AH61" s="67"/>
      <c r="AI61" s="67"/>
    </row>
    <row r="62" spans="1:35">
      <c r="A62" s="3"/>
      <c r="B62" s="3"/>
      <c r="C62" s="3"/>
      <c r="D62" s="3"/>
      <c r="E62" s="3"/>
      <c r="F62" s="3"/>
      <c r="G62" s="3"/>
      <c r="H62" s="3"/>
      <c r="I62" s="117"/>
      <c r="J62" s="118"/>
      <c r="K62" s="118"/>
      <c r="L62" s="3"/>
      <c r="M62" s="3"/>
      <c r="N62" s="3"/>
      <c r="O62" s="3"/>
      <c r="P62" s="3"/>
      <c r="S62" s="67"/>
      <c r="T62" s="67"/>
      <c r="U62" s="67"/>
      <c r="V62" s="67"/>
      <c r="W62" s="67"/>
      <c r="X62" s="67"/>
      <c r="Y62" s="67"/>
      <c r="Z62" s="67"/>
      <c r="AA62" s="67"/>
      <c r="AB62" s="67"/>
      <c r="AC62" s="67"/>
      <c r="AD62" s="67"/>
      <c r="AE62" s="67"/>
      <c r="AF62" s="67"/>
      <c r="AG62" s="67"/>
      <c r="AH62" s="67"/>
      <c r="AI62" s="67"/>
    </row>
    <row r="63" spans="1:35">
      <c r="A63" s="3"/>
      <c r="B63" s="3"/>
      <c r="C63" s="3"/>
      <c r="D63" s="3"/>
      <c r="E63" s="3"/>
      <c r="F63" s="3"/>
      <c r="G63" s="3"/>
      <c r="H63" s="3"/>
      <c r="I63" s="119"/>
      <c r="J63" s="120"/>
      <c r="K63" s="92"/>
      <c r="L63" s="3"/>
      <c r="M63" s="3"/>
      <c r="N63" s="3"/>
      <c r="O63" s="3"/>
      <c r="P63" s="3"/>
      <c r="S63" s="67"/>
      <c r="T63" s="67"/>
      <c r="U63" s="67"/>
      <c r="V63" s="67"/>
      <c r="W63" s="67"/>
      <c r="X63" s="67"/>
      <c r="Y63" s="67"/>
      <c r="Z63" s="67"/>
      <c r="AA63" s="67"/>
      <c r="AB63" s="67"/>
      <c r="AC63" s="67"/>
      <c r="AD63" s="67"/>
      <c r="AE63" s="67"/>
      <c r="AF63" s="67"/>
      <c r="AG63" s="67"/>
      <c r="AH63" s="67"/>
      <c r="AI63" s="67"/>
    </row>
    <row r="64" spans="1:35">
      <c r="A64" s="3"/>
      <c r="B64" s="3"/>
      <c r="C64" s="3"/>
      <c r="D64" s="3"/>
      <c r="E64" s="3"/>
      <c r="F64" s="3"/>
      <c r="G64" s="3"/>
      <c r="H64" s="3"/>
      <c r="I64" s="121"/>
      <c r="J64" s="120"/>
      <c r="K64" s="92"/>
      <c r="L64" s="3"/>
      <c r="M64" s="3"/>
      <c r="N64" s="3"/>
      <c r="O64" s="3"/>
      <c r="P64" s="3"/>
      <c r="S64" s="67"/>
      <c r="T64" s="67"/>
      <c r="U64" s="67"/>
      <c r="V64" s="67"/>
      <c r="W64" s="67"/>
      <c r="X64" s="67"/>
      <c r="Y64" s="67"/>
      <c r="Z64" s="67"/>
      <c r="AA64" s="67"/>
      <c r="AB64" s="67"/>
      <c r="AC64" s="67"/>
      <c r="AD64" s="67"/>
      <c r="AE64" s="67"/>
      <c r="AF64" s="67"/>
      <c r="AG64" s="67"/>
      <c r="AH64" s="67"/>
      <c r="AI64" s="67"/>
    </row>
    <row r="65" spans="1:35">
      <c r="A65" s="3"/>
      <c r="B65" s="3"/>
      <c r="C65" s="3"/>
      <c r="D65" s="3"/>
      <c r="E65" s="3"/>
      <c r="F65" s="3"/>
      <c r="G65" s="3"/>
      <c r="H65" s="3"/>
      <c r="I65" s="119"/>
      <c r="J65" s="120"/>
      <c r="K65" s="92"/>
      <c r="L65" s="3"/>
      <c r="M65" s="3"/>
      <c r="N65" s="3"/>
      <c r="O65" s="3"/>
      <c r="P65" s="3"/>
      <c r="S65" s="67"/>
      <c r="T65" s="67"/>
      <c r="U65" s="67"/>
      <c r="V65" s="67"/>
      <c r="W65" s="67"/>
      <c r="X65" s="67"/>
      <c r="Y65" s="67"/>
      <c r="Z65" s="67"/>
      <c r="AA65" s="67"/>
      <c r="AB65" s="67"/>
      <c r="AC65" s="67"/>
      <c r="AD65" s="67"/>
      <c r="AE65" s="67"/>
      <c r="AF65" s="67"/>
      <c r="AG65" s="67"/>
      <c r="AH65" s="67"/>
      <c r="AI65" s="67"/>
    </row>
    <row r="66" spans="1:35">
      <c r="A66" s="3"/>
      <c r="B66" s="3"/>
      <c r="C66" s="3"/>
      <c r="D66" s="3"/>
      <c r="E66" s="3"/>
      <c r="F66" s="3"/>
      <c r="G66" s="3"/>
      <c r="H66" s="3"/>
      <c r="I66" s="3"/>
      <c r="J66" s="3"/>
      <c r="K66" s="3"/>
      <c r="L66" s="3"/>
      <c r="M66" s="3"/>
      <c r="N66" s="3"/>
      <c r="O66" s="3"/>
      <c r="P66" s="3"/>
      <c r="S66" s="67"/>
      <c r="T66" s="67"/>
      <c r="U66" s="67"/>
      <c r="V66" s="67"/>
      <c r="W66" s="67"/>
      <c r="X66" s="67"/>
      <c r="Y66" s="67"/>
      <c r="Z66" s="67"/>
      <c r="AA66" s="67"/>
      <c r="AB66" s="67"/>
      <c r="AC66" s="67"/>
      <c r="AD66" s="67"/>
      <c r="AE66" s="67"/>
      <c r="AF66" s="67"/>
      <c r="AG66" s="67"/>
      <c r="AH66" s="67"/>
      <c r="AI66" s="67"/>
    </row>
    <row r="67" spans="1:35">
      <c r="A67" s="3"/>
      <c r="B67" s="3"/>
      <c r="C67" s="3"/>
      <c r="D67" s="3"/>
      <c r="E67" s="3"/>
      <c r="F67" s="3"/>
      <c r="G67" s="3"/>
      <c r="H67" s="3"/>
      <c r="I67" s="3"/>
      <c r="J67" s="3"/>
      <c r="K67" s="3"/>
      <c r="L67" s="3"/>
      <c r="M67" s="3"/>
      <c r="N67" s="3"/>
      <c r="O67" s="3"/>
      <c r="P67" s="3"/>
      <c r="S67" s="67"/>
      <c r="T67" s="67"/>
      <c r="U67" s="67"/>
      <c r="V67" s="67"/>
      <c r="W67" s="67"/>
      <c r="X67" s="67"/>
      <c r="Y67" s="67"/>
      <c r="Z67" s="67"/>
      <c r="AA67" s="67"/>
      <c r="AB67" s="67"/>
      <c r="AC67" s="67"/>
      <c r="AD67" s="67"/>
      <c r="AE67" s="67"/>
      <c r="AF67" s="67"/>
      <c r="AG67" s="67"/>
      <c r="AH67" s="67"/>
      <c r="AI67" s="67"/>
    </row>
    <row r="68" spans="1:35">
      <c r="A68" s="3"/>
      <c r="B68" s="3"/>
      <c r="C68" s="3"/>
      <c r="D68" s="3"/>
      <c r="E68" s="3"/>
      <c r="F68" s="3"/>
      <c r="G68" s="3"/>
      <c r="H68" s="3"/>
      <c r="I68" s="3"/>
      <c r="J68" s="3"/>
      <c r="K68" s="3"/>
      <c r="L68" s="3"/>
      <c r="M68" s="3"/>
      <c r="N68" s="3"/>
      <c r="O68" s="3"/>
      <c r="P68" s="3"/>
      <c r="S68" s="60"/>
      <c r="T68" s="60"/>
      <c r="U68" s="60"/>
      <c r="V68" s="60"/>
      <c r="W68" s="60"/>
      <c r="X68" s="60"/>
      <c r="Y68" s="60"/>
      <c r="Z68" s="60"/>
      <c r="AA68" s="60"/>
      <c r="AB68" s="60"/>
    </row>
    <row r="69" spans="1:35">
      <c r="S69" s="60"/>
      <c r="T69" s="60"/>
      <c r="U69" s="60"/>
      <c r="V69" s="60"/>
      <c r="W69" s="60"/>
      <c r="X69" s="60"/>
      <c r="Y69" s="60"/>
      <c r="Z69" s="60"/>
      <c r="AA69" s="60"/>
      <c r="AB69" s="60"/>
    </row>
    <row r="70" spans="1:35">
      <c r="S70" s="60"/>
      <c r="T70" s="60"/>
      <c r="U70" s="60"/>
      <c r="V70" s="60"/>
      <c r="W70" s="60"/>
      <c r="X70" s="60"/>
      <c r="Y70" s="60"/>
      <c r="Z70" s="60"/>
      <c r="AA70" s="60"/>
      <c r="AB70" s="60"/>
    </row>
    <row r="71" spans="1:35">
      <c r="S71" s="60"/>
      <c r="T71" s="60"/>
      <c r="U71" s="60"/>
      <c r="V71" s="60"/>
      <c r="W71" s="60"/>
      <c r="X71" s="60"/>
      <c r="Y71" s="60"/>
      <c r="Z71" s="60"/>
      <c r="AA71" s="60"/>
      <c r="AB71" s="60"/>
    </row>
    <row r="72" spans="1:35">
      <c r="S72" s="60"/>
      <c r="T72" s="60"/>
      <c r="U72" s="60"/>
      <c r="V72" s="60"/>
      <c r="W72" s="60"/>
      <c r="X72" s="60"/>
      <c r="Y72" s="60"/>
      <c r="Z72" s="60"/>
      <c r="AA72" s="60"/>
      <c r="AB72" s="60"/>
    </row>
  </sheetData>
  <mergeCells count="97">
    <mergeCell ref="B2:Q2"/>
    <mergeCell ref="O3:P3"/>
    <mergeCell ref="D5:N5"/>
    <mergeCell ref="L36:Q36"/>
    <mergeCell ref="E3:K3"/>
    <mergeCell ref="C4:D4"/>
    <mergeCell ref="E6:L6"/>
    <mergeCell ref="B8:E8"/>
    <mergeCell ref="F8:K8"/>
    <mergeCell ref="L8:Q8"/>
    <mergeCell ref="C9:E9"/>
    <mergeCell ref="G9:K9"/>
    <mergeCell ref="M9:Q9"/>
    <mergeCell ref="E20:K20"/>
    <mergeCell ref="B24:D24"/>
    <mergeCell ref="B21:D21"/>
    <mergeCell ref="G28:K28"/>
    <mergeCell ref="L27:Q27"/>
    <mergeCell ref="B28:D28"/>
    <mergeCell ref="B25:D25"/>
    <mergeCell ref="G21:H21"/>
    <mergeCell ref="G25:K25"/>
    <mergeCell ref="L25:Q25"/>
    <mergeCell ref="B26:D26"/>
    <mergeCell ref="G26:K26"/>
    <mergeCell ref="L26:Q26"/>
    <mergeCell ref="G24:K24"/>
    <mergeCell ref="L24:Q24"/>
    <mergeCell ref="B27:D27"/>
    <mergeCell ref="G27:K27"/>
    <mergeCell ref="B29:D29"/>
    <mergeCell ref="B31:D31"/>
    <mergeCell ref="G29:K29"/>
    <mergeCell ref="B30:D30"/>
    <mergeCell ref="G31:K31"/>
    <mergeCell ref="L29:Q29"/>
    <mergeCell ref="G30:K30"/>
    <mergeCell ref="L30:Q30"/>
    <mergeCell ref="G51:K51"/>
    <mergeCell ref="B59:D60"/>
    <mergeCell ref="E59:G60"/>
    <mergeCell ref="H59:K60"/>
    <mergeCell ref="B54:D54"/>
    <mergeCell ref="B55:D55"/>
    <mergeCell ref="G54:K54"/>
    <mergeCell ref="G55:K55"/>
    <mergeCell ref="B57:E57"/>
    <mergeCell ref="F57:K57"/>
    <mergeCell ref="F56:K56"/>
    <mergeCell ref="B56:E56"/>
    <mergeCell ref="B52:D52"/>
    <mergeCell ref="B51:D51"/>
    <mergeCell ref="G52:K52"/>
    <mergeCell ref="B53:D53"/>
    <mergeCell ref="L57:P57"/>
    <mergeCell ref="L50:Q50"/>
    <mergeCell ref="L51:Q51"/>
    <mergeCell ref="L52:Q52"/>
    <mergeCell ref="L56:P56"/>
    <mergeCell ref="L54:Q54"/>
    <mergeCell ref="L53:Q53"/>
    <mergeCell ref="G53:K53"/>
    <mergeCell ref="G49:H49"/>
    <mergeCell ref="I49:J49"/>
    <mergeCell ref="E48:K48"/>
    <mergeCell ref="B49:D49"/>
    <mergeCell ref="B50:D50"/>
    <mergeCell ref="L49:Q49"/>
    <mergeCell ref="L55:Q55"/>
    <mergeCell ref="G50:K50"/>
    <mergeCell ref="C3:D3"/>
    <mergeCell ref="E4:L4"/>
    <mergeCell ref="B36:E36"/>
    <mergeCell ref="F36:K36"/>
    <mergeCell ref="I21:J21"/>
    <mergeCell ref="L21:Q21"/>
    <mergeCell ref="B22:D22"/>
    <mergeCell ref="G22:K22"/>
    <mergeCell ref="L22:Q22"/>
    <mergeCell ref="B23:D23"/>
    <mergeCell ref="G23:K23"/>
    <mergeCell ref="L23:Q23"/>
    <mergeCell ref="L28:Q28"/>
    <mergeCell ref="L31:Q31"/>
    <mergeCell ref="C37:E37"/>
    <mergeCell ref="G37:K37"/>
    <mergeCell ref="L32:Q32"/>
    <mergeCell ref="B34:D34"/>
    <mergeCell ref="G34:K34"/>
    <mergeCell ref="L34:Q34"/>
    <mergeCell ref="F35:M35"/>
    <mergeCell ref="M37:Q37"/>
    <mergeCell ref="B33:D33"/>
    <mergeCell ref="G33:K33"/>
    <mergeCell ref="L33:Q33"/>
    <mergeCell ref="G32:K32"/>
    <mergeCell ref="B32:D32"/>
  </mergeCells>
  <phoneticPr fontId="30" type="noConversion"/>
  <conditionalFormatting sqref="C4:D4">
    <cfRule type="cellIs" dxfId="56" priority="251" stopIfTrue="1" operator="equal">
      <formula>"C"</formula>
    </cfRule>
    <cfRule type="cellIs" dxfId="55" priority="252" stopIfTrue="1" operator="equal">
      <formula>"B2"</formula>
    </cfRule>
    <cfRule type="cellIs" dxfId="54" priority="253" stopIfTrue="1" operator="equal">
      <formula>"B1"</formula>
    </cfRule>
  </conditionalFormatting>
  <conditionalFormatting sqref="G51:G55">
    <cfRule type="cellIs" dxfId="53" priority="79" stopIfTrue="1" operator="between">
      <formula>0</formula>
      <formula>0.599</formula>
    </cfRule>
    <cfRule type="cellIs" dxfId="52" priority="80" stopIfTrue="1" operator="between">
      <formula>0.6</formula>
      <formula>0.899</formula>
    </cfRule>
    <cfRule type="cellIs" dxfId="51" priority="81" stopIfTrue="1" operator="greaterThanOrEqual">
      <formula>0.9</formula>
    </cfRule>
  </conditionalFormatting>
  <conditionalFormatting sqref="G50">
    <cfRule type="cellIs" dxfId="50" priority="73" stopIfTrue="1" operator="between">
      <formula>0</formula>
      <formula>0.599</formula>
    </cfRule>
    <cfRule type="cellIs" dxfId="49" priority="74" stopIfTrue="1" operator="between">
      <formula>0.6</formula>
      <formula>0.899</formula>
    </cfRule>
    <cfRule type="cellIs" dxfId="48" priority="75" stopIfTrue="1" operator="greaterThanOrEqual">
      <formula>0.9</formula>
    </cfRule>
  </conditionalFormatting>
  <conditionalFormatting sqref="G50:K50">
    <cfRule type="cellIs" dxfId="47" priority="70" stopIfTrue="1" operator="greaterThan">
      <formula>0.9</formula>
    </cfRule>
    <cfRule type="cellIs" dxfId="46" priority="71" stopIfTrue="1" operator="between">
      <formula>0.6</formula>
      <formula>0.89</formula>
    </cfRule>
    <cfRule type="cellIs" dxfId="45" priority="72" stopIfTrue="1" operator="lessThan">
      <formula>0.59</formula>
    </cfRule>
  </conditionalFormatting>
  <conditionalFormatting sqref="G51:K55">
    <cfRule type="cellIs" dxfId="44" priority="76" stopIfTrue="1" operator="greaterThan">
      <formula>0.9</formula>
    </cfRule>
    <cfRule type="cellIs" dxfId="43" priority="77" stopIfTrue="1" operator="between">
      <formula>0.6</formula>
      <formula>0.89</formula>
    </cfRule>
    <cfRule type="cellIs" dxfId="42" priority="78" stopIfTrue="1" operator="lessThan">
      <formula>0.59</formula>
    </cfRule>
  </conditionalFormatting>
  <conditionalFormatting sqref="G22 G25">
    <cfRule type="cellIs" dxfId="41" priority="67" stopIfTrue="1" operator="between">
      <formula>0</formula>
      <formula>0.599</formula>
    </cfRule>
    <cfRule type="cellIs" dxfId="40" priority="68" stopIfTrue="1" operator="between">
      <formula>0.6</formula>
      <formula>0.899</formula>
    </cfRule>
    <cfRule type="cellIs" dxfId="39" priority="69" stopIfTrue="1" operator="greaterThanOrEqual">
      <formula>0.9</formula>
    </cfRule>
  </conditionalFormatting>
  <conditionalFormatting sqref="G33">
    <cfRule type="cellIs" dxfId="38" priority="64" stopIfTrue="1" operator="between">
      <formula>0</formula>
      <formula>0.599</formula>
    </cfRule>
    <cfRule type="cellIs" dxfId="37" priority="65" stopIfTrue="1" operator="between">
      <formula>0.6</formula>
      <formula>0.899</formula>
    </cfRule>
    <cfRule type="cellIs" dxfId="36" priority="66" stopIfTrue="1" operator="greaterThanOrEqual">
      <formula>0.9</formula>
    </cfRule>
  </conditionalFormatting>
  <conditionalFormatting sqref="G23">
    <cfRule type="cellIs" dxfId="35" priority="58" stopIfTrue="1" operator="between">
      <formula>0</formula>
      <formula>0.599</formula>
    </cfRule>
    <cfRule type="cellIs" dxfId="34" priority="59" stopIfTrue="1" operator="between">
      <formula>0.6</formula>
      <formula>0.899</formula>
    </cfRule>
    <cfRule type="cellIs" dxfId="33" priority="60" stopIfTrue="1" operator="greaterThanOrEqual">
      <formula>0.9</formula>
    </cfRule>
  </conditionalFormatting>
  <conditionalFormatting sqref="G26">
    <cfRule type="cellIs" dxfId="32" priority="52" stopIfTrue="1" operator="between">
      <formula>0</formula>
      <formula>0.599</formula>
    </cfRule>
    <cfRule type="cellIs" dxfId="31" priority="53" stopIfTrue="1" operator="between">
      <formula>0.6</formula>
      <formula>0.899</formula>
    </cfRule>
    <cfRule type="cellIs" dxfId="30" priority="54" stopIfTrue="1" operator="greaterThanOrEqual">
      <formula>0.9</formula>
    </cfRule>
  </conditionalFormatting>
  <conditionalFormatting sqref="G27">
    <cfRule type="cellIs" dxfId="29" priority="49" stopIfTrue="1" operator="between">
      <formula>0</formula>
      <formula>0.599</formula>
    </cfRule>
    <cfRule type="cellIs" dxfId="28" priority="50" stopIfTrue="1" operator="between">
      <formula>0.6</formula>
      <formula>0.899</formula>
    </cfRule>
    <cfRule type="cellIs" dxfId="27" priority="51" stopIfTrue="1" operator="greaterThanOrEqual">
      <formula>0.9</formula>
    </cfRule>
  </conditionalFormatting>
  <conditionalFormatting sqref="G28">
    <cfRule type="cellIs" dxfId="26" priority="46" stopIfTrue="1" operator="between">
      <formula>0</formula>
      <formula>0.599</formula>
    </cfRule>
    <cfRule type="cellIs" dxfId="25" priority="47" stopIfTrue="1" operator="between">
      <formula>0.6</formula>
      <formula>0.899</formula>
    </cfRule>
    <cfRule type="cellIs" dxfId="24" priority="48" stopIfTrue="1" operator="greaterThanOrEqual">
      <formula>0.9</formula>
    </cfRule>
  </conditionalFormatting>
  <conditionalFormatting sqref="G29">
    <cfRule type="cellIs" dxfId="23" priority="43" stopIfTrue="1" operator="between">
      <formula>0</formula>
      <formula>0.599</formula>
    </cfRule>
    <cfRule type="cellIs" dxfId="22" priority="44" stopIfTrue="1" operator="between">
      <formula>0.6</formula>
      <formula>0.899</formula>
    </cfRule>
    <cfRule type="cellIs" dxfId="21" priority="45" stopIfTrue="1" operator="greaterThanOrEqual">
      <formula>0.9</formula>
    </cfRule>
  </conditionalFormatting>
  <conditionalFormatting sqref="G31">
    <cfRule type="cellIs" dxfId="20" priority="40" stopIfTrue="1" operator="between">
      <formula>0</formula>
      <formula>0.599</formula>
    </cfRule>
    <cfRule type="cellIs" dxfId="19" priority="41" stopIfTrue="1" operator="between">
      <formula>0.6</formula>
      <formula>0.899</formula>
    </cfRule>
    <cfRule type="cellIs" dxfId="18" priority="42" stopIfTrue="1" operator="greaterThanOrEqual">
      <formula>0.9</formula>
    </cfRule>
  </conditionalFormatting>
  <conditionalFormatting sqref="G32">
    <cfRule type="cellIs" dxfId="17" priority="37" stopIfTrue="1" operator="between">
      <formula>0</formula>
      <formula>0.599</formula>
    </cfRule>
    <cfRule type="cellIs" dxfId="16" priority="38" stopIfTrue="1" operator="between">
      <formula>0.6</formula>
      <formula>0.899</formula>
    </cfRule>
    <cfRule type="cellIs" dxfId="15" priority="39" stopIfTrue="1" operator="greaterThanOrEqual">
      <formula>0.9</formula>
    </cfRule>
  </conditionalFormatting>
  <conditionalFormatting sqref="G30">
    <cfRule type="cellIs" dxfId="14" priority="31" stopIfTrue="1" operator="between">
      <formula>0</formula>
      <formula>0.599</formula>
    </cfRule>
    <cfRule type="cellIs" dxfId="13" priority="32" stopIfTrue="1" operator="between">
      <formula>0.6</formula>
      <formula>0.899</formula>
    </cfRule>
    <cfRule type="cellIs" dxfId="12" priority="33" stopIfTrue="1" operator="greaterThanOrEqual">
      <formula>0.9</formula>
    </cfRule>
  </conditionalFormatting>
  <conditionalFormatting sqref="G34">
    <cfRule type="cellIs" dxfId="11" priority="7" stopIfTrue="1" operator="between">
      <formula>0</formula>
      <formula>0.599</formula>
    </cfRule>
    <cfRule type="cellIs" dxfId="10" priority="8" stopIfTrue="1" operator="between">
      <formula>0.6</formula>
      <formula>0.899</formula>
    </cfRule>
    <cfRule type="cellIs" dxfId="9" priority="9" stopIfTrue="1" operator="greaterThanOrEqual">
      <formula>0.9</formula>
    </cfRule>
  </conditionalFormatting>
  <conditionalFormatting sqref="G24">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Q42"/>
  <sheetViews>
    <sheetView showGridLines="0" zoomScale="90" zoomScaleNormal="90" workbookViewId="0">
      <selection activeCell="D33" sqref="D33:G33"/>
    </sheetView>
  </sheetViews>
  <sheetFormatPr defaultColWidth="9.140625" defaultRowHeight="11.25"/>
  <cols>
    <col min="1" max="1" width="1.140625" style="28" customWidth="1"/>
    <col min="2" max="2" width="19.28515625" style="28" customWidth="1"/>
    <col min="3" max="3" width="1.140625" style="28" customWidth="1"/>
    <col min="4" max="4" width="17.140625" style="28" customWidth="1"/>
    <col min="5" max="5" width="17.5703125" style="28" customWidth="1"/>
    <col min="6" max="6" width="9.7109375" style="28" customWidth="1"/>
    <col min="7" max="7" width="13" style="28" customWidth="1"/>
    <col min="8" max="8" width="4.28515625" style="28" customWidth="1"/>
    <col min="9" max="9" width="15.85546875" style="28" customWidth="1"/>
    <col min="10" max="10" width="3.5703125" style="28" customWidth="1"/>
    <col min="11" max="11" width="7.5703125" style="29" customWidth="1"/>
    <col min="12" max="12" width="16.7109375" style="28" customWidth="1"/>
    <col min="13" max="13" width="12" style="28" customWidth="1"/>
    <col min="14" max="14" width="5.42578125" style="28" customWidth="1"/>
    <col min="15" max="15" width="2.5703125" style="28" customWidth="1"/>
    <col min="16" max="16384" width="9.140625" style="28"/>
  </cols>
  <sheetData>
    <row r="1" spans="1:17" ht="38.25" customHeight="1">
      <c r="A1" s="122"/>
      <c r="B1" s="122"/>
      <c r="C1" s="122"/>
      <c r="D1" s="122"/>
      <c r="E1" s="122"/>
      <c r="F1" s="122"/>
      <c r="G1" s="122"/>
      <c r="H1" s="122"/>
      <c r="I1" s="122"/>
      <c r="J1" s="122"/>
      <c r="K1" s="123"/>
      <c r="L1" s="122"/>
      <c r="M1" s="122"/>
      <c r="N1" s="122"/>
    </row>
    <row r="2" spans="1:17" customFormat="1" ht="27.75" customHeight="1">
      <c r="A2" s="3"/>
      <c r="B2" s="1070" t="str">
        <f>+"Панель показателей:  "&amp;"  "&amp;IF(+'Ввод данных'!B4="Выберите","",'Ввод данных'!B4&amp;" - ")&amp;IF('Ввод данных'!F6="Выберите","",'Ввод данных'!F6)</f>
        <v>Панель показателей:    Кыргызстан - ВИЧ/СПИД/ТБ</v>
      </c>
      <c r="C2" s="1070"/>
      <c r="D2" s="1070"/>
      <c r="E2" s="1070"/>
      <c r="F2" s="1070"/>
      <c r="G2" s="1070"/>
      <c r="H2" s="1070"/>
      <c r="I2" s="1070"/>
      <c r="J2" s="1070"/>
      <c r="K2" s="1070"/>
      <c r="L2" s="1070"/>
      <c r="M2" s="1070"/>
      <c r="N2" s="1070"/>
      <c r="O2" s="1070"/>
      <c r="P2" s="1070"/>
      <c r="Q2" s="1070"/>
    </row>
    <row r="3" spans="1:17" customFormat="1" ht="18.75">
      <c r="A3" s="3"/>
      <c r="B3" s="708">
        <f>+IF('Ввод данных'!F8="Выберите","",'Ввод данных'!F8)</f>
        <v>0</v>
      </c>
      <c r="C3" s="954"/>
      <c r="D3" s="954"/>
      <c r="E3" s="1071"/>
      <c r="F3" s="1071"/>
      <c r="G3" s="1071"/>
      <c r="H3" s="1071"/>
      <c r="I3" s="1071"/>
      <c r="J3" s="1071"/>
      <c r="K3" s="1071"/>
      <c r="L3" s="708" t="str">
        <f>+'Ввод данных'!A16</f>
        <v>Отчетный период</v>
      </c>
      <c r="M3" s="170" t="str">
        <f>+'Ввод данных'!B16</f>
        <v>P3</v>
      </c>
      <c r="N3" s="170"/>
      <c r="O3" s="28"/>
    </row>
    <row r="4" spans="1:17" customFormat="1" ht="15">
      <c r="A4" s="3"/>
      <c r="B4" s="320" t="str">
        <f>+'Ввод данных'!A12</f>
        <v>Последняя оценка:</v>
      </c>
      <c r="C4" s="1072" t="str">
        <f>+IF('Ввод данных'!B12="Выберите","",'Ввод данных'!B12)</f>
        <v>A2</v>
      </c>
      <c r="D4" s="1072"/>
      <c r="E4" s="953" t="str">
        <f>+'Ввод данных'!B8</f>
        <v>ПРООН</v>
      </c>
      <c r="F4" s="953"/>
      <c r="G4" s="953"/>
      <c r="H4" s="953"/>
      <c r="I4" s="953"/>
      <c r="J4" s="953"/>
      <c r="K4" s="953"/>
      <c r="L4" s="708" t="str">
        <f>+'Ввод данных'!C16</f>
        <v>с:</v>
      </c>
      <c r="M4" s="171">
        <f>+IF(ISBLANK('Ввод данных'!D16),"",'Ввод данных'!D16)</f>
        <v>43647</v>
      </c>
      <c r="N4" s="171"/>
      <c r="O4" s="28"/>
    </row>
    <row r="5" spans="1:17" customFormat="1" ht="18.75" customHeight="1">
      <c r="A5" s="3"/>
      <c r="B5" s="708"/>
      <c r="C5" s="708"/>
      <c r="D5" s="108"/>
      <c r="E5" s="964"/>
      <c r="F5" s="964"/>
      <c r="G5" s="964"/>
      <c r="H5" s="964"/>
      <c r="I5" s="964"/>
      <c r="J5" s="964"/>
      <c r="K5" s="964"/>
      <c r="L5" s="708" t="str">
        <f>+'Ввод данных'!E16</f>
        <v>до:</v>
      </c>
      <c r="M5" s="171">
        <f>+IF(ISBLANK('Ввод данных'!F16),"",'Ввод данных'!F16)</f>
        <v>43830</v>
      </c>
      <c r="N5" s="171"/>
    </row>
    <row r="6" spans="1:17" customFormat="1" ht="22.5" customHeight="1">
      <c r="A6" s="3"/>
      <c r="B6" s="111"/>
      <c r="C6" s="112"/>
      <c r="D6" s="113"/>
      <c r="E6" s="1113" t="s">
        <v>449</v>
      </c>
      <c r="F6" s="1113"/>
      <c r="G6" s="1113"/>
      <c r="H6" s="1113"/>
      <c r="I6" s="1113"/>
      <c r="J6" s="1113"/>
      <c r="K6" s="1113"/>
      <c r="L6" s="2"/>
      <c r="M6" s="2"/>
      <c r="N6" s="2"/>
    </row>
    <row r="7" spans="1:17" s="30" customFormat="1" ht="4.5" customHeight="1">
      <c r="A7" s="124"/>
      <c r="B7" s="125"/>
      <c r="C7" s="125"/>
      <c r="D7" s="125"/>
      <c r="E7" s="125"/>
      <c r="F7" s="125"/>
      <c r="G7" s="125"/>
      <c r="H7" s="125"/>
      <c r="I7" s="125"/>
      <c r="J7" s="125"/>
      <c r="K7" s="125"/>
      <c r="L7" s="126"/>
      <c r="M7" s="126"/>
      <c r="N7" s="127"/>
    </row>
    <row r="8" spans="1:17" s="30" customFormat="1" ht="21" customHeight="1" thickBot="1">
      <c r="A8" s="124"/>
      <c r="B8" s="1103" t="s">
        <v>450</v>
      </c>
      <c r="C8" s="1103"/>
      <c r="D8" s="1103"/>
      <c r="E8" s="1103"/>
      <c r="F8" s="1103"/>
      <c r="G8" s="1103"/>
      <c r="H8" s="1103"/>
      <c r="I8" s="1103"/>
      <c r="J8" s="1103"/>
      <c r="K8" s="1103"/>
      <c r="L8" s="1103"/>
      <c r="M8" s="1103"/>
      <c r="N8" s="1103"/>
    </row>
    <row r="9" spans="1:17" s="30" customFormat="1" ht="3.75" customHeight="1" thickBot="1">
      <c r="A9" s="124"/>
      <c r="B9" s="125"/>
      <c r="C9" s="125"/>
      <c r="D9" s="125"/>
      <c r="E9" s="125"/>
      <c r="F9" s="125"/>
      <c r="G9" s="125"/>
      <c r="H9" s="125"/>
      <c r="I9" s="125"/>
      <c r="J9" s="125"/>
      <c r="K9" s="125"/>
      <c r="L9" s="126"/>
      <c r="M9" s="126"/>
      <c r="N9" s="127"/>
    </row>
    <row r="10" spans="1:17" s="31" customFormat="1" ht="25.5" customHeight="1" thickBot="1">
      <c r="A10" s="128"/>
      <c r="B10" s="1125" t="s">
        <v>1</v>
      </c>
      <c r="C10" s="1126"/>
      <c r="D10" s="1114" t="s">
        <v>451</v>
      </c>
      <c r="E10" s="1115"/>
      <c r="F10" s="1115"/>
      <c r="G10" s="1116"/>
      <c r="H10" s="131"/>
      <c r="I10" s="1114" t="s">
        <v>449</v>
      </c>
      <c r="J10" s="1115"/>
      <c r="K10" s="1115"/>
      <c r="L10" s="1115"/>
      <c r="M10" s="1115"/>
      <c r="N10" s="1116"/>
    </row>
    <row r="11" spans="1:17" s="31" customFormat="1" ht="28.5" customHeight="1">
      <c r="A11" s="128"/>
      <c r="B11" s="290" t="s">
        <v>452</v>
      </c>
      <c r="C11" s="148"/>
      <c r="D11" s="1119" t="str">
        <f>IF(ISBLANK(Финансирование!C9),"",(Финансирование!C9))</f>
        <v>ГФ в сентябре и октябре 2019 г. произвел выплату двумя траншами на общую сумму 2 778 709$. При этом транш в октябре включает 50 000, которые были оплачены ГФ напрямую в КЗС (GLC). Также в августе 2019 на счет действующего проекта был переведен остаток неиспользованных средств с прошлого гранта после одобрения ГФ в размере 2 415 600$.</v>
      </c>
      <c r="E11" s="1120"/>
      <c r="F11" s="1120"/>
      <c r="G11" s="1121"/>
      <c r="H11" s="154"/>
      <c r="I11" s="1127"/>
      <c r="J11" s="1128"/>
      <c r="K11" s="1128"/>
      <c r="L11" s="1128"/>
      <c r="M11" s="1128"/>
      <c r="N11" s="1129"/>
    </row>
    <row r="12" spans="1:17" s="31" customFormat="1" ht="27.75" customHeight="1">
      <c r="A12" s="128"/>
      <c r="B12" s="291" t="s">
        <v>453</v>
      </c>
      <c r="C12" s="149"/>
      <c r="D12" s="1138" t="str">
        <f>IF(ISBLANK(Финансирование!C23),"",(Финансирование!C23))</f>
        <v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v>
      </c>
      <c r="E12" s="1138"/>
      <c r="F12" s="1138"/>
      <c r="G12" s="1139"/>
      <c r="H12" s="154"/>
      <c r="I12" s="1135"/>
      <c r="J12" s="1136"/>
      <c r="K12" s="1136"/>
      <c r="L12" s="1136"/>
      <c r="M12" s="1136"/>
      <c r="N12" s="1137"/>
    </row>
    <row r="13" spans="1:17" s="31" customFormat="1" ht="26.25" customHeight="1">
      <c r="A13" s="128"/>
      <c r="B13" s="291" t="s">
        <v>454</v>
      </c>
      <c r="C13" s="149"/>
      <c r="D13" s="1104" t="str">
        <f>IF(ISBLANK(Финансирование!K9),"",(Финансирование!K9))</f>
        <v xml:space="preserve">В отчетном периоде ГФ произвел выплату согласно утвержденного годового графика выплат.
Расходы ОП составили 7 919 246$, включая сумму финансовых обязательств, в основном, по закупкам товаров медицинского назначения и медицинского оборудования, лекарственных средств и фармацевтических препаратов  на 31 декабря 2019 в  4 404 652$. Итого за весь период гранта было освоено 93% выделенных средств на ОП. В текущем периоде ПРООН произвел выплаты 33 СП  в срок на общую сумму в 988 697$ по запросу от СП в рамках 39 подписанных Соглашений и бюджетов. </v>
      </c>
      <c r="E13" s="1105"/>
      <c r="F13" s="1105"/>
      <c r="G13" s="1134"/>
      <c r="H13" s="154"/>
      <c r="I13" s="1135"/>
      <c r="J13" s="1136"/>
      <c r="K13" s="1136"/>
      <c r="L13" s="1136"/>
      <c r="M13" s="1136"/>
      <c r="N13" s="1137"/>
    </row>
    <row r="14" spans="1:17" s="31" customFormat="1" ht="28.5" customHeight="1" thickBot="1">
      <c r="A14" s="128"/>
      <c r="B14" s="292" t="s">
        <v>455</v>
      </c>
      <c r="C14" s="150"/>
      <c r="D14" s="1117" t="str">
        <f>IF(ISBLANK(Финансирование!K23),"",(Финансирование!K23))</f>
        <v>В отчетном периоде ОП подготовил и направил ИОР/ЗПС в ГФ и офис МАФ в установленные сроки с задержкой финансового отчета на 4 дня в виду загруженности финансового отдела из-за нехватки кадров.</v>
      </c>
      <c r="E14" s="1117"/>
      <c r="F14" s="1117"/>
      <c r="G14" s="1118"/>
      <c r="H14" s="154"/>
      <c r="I14" s="1122"/>
      <c r="J14" s="1123"/>
      <c r="K14" s="1123"/>
      <c r="L14" s="1123"/>
      <c r="M14" s="1123"/>
      <c r="N14" s="1124"/>
    </row>
    <row r="15" spans="1:17" s="31" customFormat="1" ht="4.5" customHeight="1">
      <c r="A15" s="128"/>
      <c r="B15" s="151"/>
      <c r="C15" s="152"/>
      <c r="D15" s="153"/>
      <c r="E15" s="153"/>
      <c r="F15" s="153"/>
      <c r="G15" s="153"/>
      <c r="H15" s="154"/>
      <c r="I15" s="155"/>
      <c r="J15" s="155"/>
      <c r="K15" s="155"/>
      <c r="L15" s="155"/>
      <c r="M15" s="155"/>
      <c r="N15" s="155"/>
      <c r="O15" s="69"/>
    </row>
    <row r="16" spans="1:17" s="30" customFormat="1" ht="21" customHeight="1" thickBot="1">
      <c r="A16" s="124"/>
      <c r="B16" s="1103" t="s">
        <v>456</v>
      </c>
      <c r="C16" s="1103"/>
      <c r="D16" s="1103"/>
      <c r="E16" s="1103"/>
      <c r="F16" s="1103"/>
      <c r="G16" s="1103"/>
      <c r="H16" s="1103"/>
      <c r="I16" s="1103"/>
      <c r="J16" s="1103"/>
      <c r="K16" s="1103"/>
      <c r="L16" s="1103"/>
      <c r="M16" s="1103"/>
      <c r="N16" s="1103"/>
    </row>
    <row r="17" spans="1:15" s="31" customFormat="1" ht="3.75" customHeight="1" thickBot="1">
      <c r="A17" s="128"/>
      <c r="B17" s="137"/>
      <c r="C17" s="138"/>
      <c r="D17" s="139"/>
      <c r="E17" s="140"/>
      <c r="F17" s="141"/>
      <c r="G17" s="141"/>
      <c r="H17" s="142"/>
      <c r="I17" s="143"/>
      <c r="J17" s="144"/>
      <c r="K17" s="133"/>
      <c r="L17" s="134"/>
      <c r="M17" s="135"/>
      <c r="N17" s="136"/>
    </row>
    <row r="18" spans="1:15" s="31" customFormat="1" ht="22.5" customHeight="1" thickBot="1">
      <c r="A18" s="128"/>
      <c r="B18" s="1126" t="s">
        <v>17</v>
      </c>
      <c r="C18" s="1130"/>
      <c r="D18" s="1144" t="s">
        <v>451</v>
      </c>
      <c r="E18" s="1145"/>
      <c r="F18" s="1145"/>
      <c r="G18" s="1146"/>
      <c r="H18" s="131"/>
      <c r="I18" s="1140" t="s">
        <v>449</v>
      </c>
      <c r="J18" s="1141"/>
      <c r="K18" s="1141"/>
      <c r="L18" s="1141"/>
      <c r="M18" s="1142"/>
      <c r="N18" s="1143"/>
    </row>
    <row r="19" spans="1:15" s="31" customFormat="1" ht="48.75" customHeight="1">
      <c r="A19" s="128"/>
      <c r="B19" s="293" t="s">
        <v>457</v>
      </c>
      <c r="C19" s="156"/>
      <c r="D19" s="1147" t="str">
        <f>IF(ISBLANK(Управление!C8),"",(Управление!C8))</f>
        <v xml:space="preserve">По обоим компонентам предварительных условий (ПУ) нет согласно письму от ГФ по результатам работы за 1-е полугодие 2018 года.  </v>
      </c>
      <c r="E19" s="1148"/>
      <c r="F19" s="1148"/>
      <c r="G19" s="1149"/>
      <c r="H19" s="157"/>
      <c r="I19" s="1150"/>
      <c r="J19" s="1151"/>
      <c r="K19" s="1151"/>
      <c r="L19" s="1151"/>
      <c r="M19" s="1151"/>
      <c r="N19" s="1152"/>
    </row>
    <row r="20" spans="1:15" ht="30.75" customHeight="1">
      <c r="A20" s="122"/>
      <c r="B20" s="294" t="s">
        <v>458</v>
      </c>
      <c r="C20" s="158"/>
      <c r="D20" s="1104" t="str">
        <f>IF(ISBLANK(Управление!J8),"",(Управление!J8))</f>
        <v xml:space="preserve">По ВИЧ\ТБ  гранту всего 22  штатных позиции, из них 4 - по компоненту ВИЧ,  2 - по компоненту ТБ.,  оставшиеся  16   относятся к обоим компонентам, из них было заполнено 13, таким образом,  19 штатных позиций было заполнено, 3 вакантно (2 финансовых специалиста, 1 позиция менеджера по закупкам) </v>
      </c>
      <c r="E20" s="1105"/>
      <c r="F20" s="1105"/>
      <c r="G20" s="1106"/>
      <c r="H20" s="157"/>
      <c r="I20" s="1107"/>
      <c r="J20" s="1108"/>
      <c r="K20" s="1108"/>
      <c r="L20" s="1108"/>
      <c r="M20" s="1108"/>
      <c r="N20" s="1109"/>
      <c r="O20" s="32"/>
    </row>
    <row r="21" spans="1:15" ht="31.5" customHeight="1">
      <c r="A21" s="122"/>
      <c r="B21" s="295" t="s">
        <v>459</v>
      </c>
      <c r="C21" s="158"/>
      <c r="D21" s="1104" t="e">
        <f>IF(ISBLANK(Управление!#REF!),"",(Управление!#REF!))</f>
        <v>#REF!</v>
      </c>
      <c r="E21" s="1105"/>
      <c r="F21" s="1105"/>
      <c r="G21" s="1106"/>
      <c r="H21" s="157"/>
      <c r="I21" s="1107"/>
      <c r="J21" s="1108"/>
      <c r="K21" s="1108"/>
      <c r="L21" s="1108"/>
      <c r="M21" s="1108"/>
      <c r="N21" s="1109"/>
      <c r="O21" s="32"/>
    </row>
    <row r="22" spans="1:15" ht="34.5" customHeight="1">
      <c r="A22" s="122"/>
      <c r="B22" s="295" t="s">
        <v>460</v>
      </c>
      <c r="C22" s="158"/>
      <c r="D22" s="1104" t="e">
        <f>IF(ISBLANK(Управление!#REF!),"",(Управление!#REF!))</f>
        <v>#REF!</v>
      </c>
      <c r="E22" s="1105"/>
      <c r="F22" s="1105"/>
      <c r="G22" s="1106"/>
      <c r="H22" s="157"/>
      <c r="I22" s="1107"/>
      <c r="J22" s="1108"/>
      <c r="K22" s="1108"/>
      <c r="L22" s="1108"/>
      <c r="M22" s="1108"/>
      <c r="N22" s="1109"/>
      <c r="O22" s="32"/>
    </row>
    <row r="23" spans="1:15" ht="33.75" customHeight="1">
      <c r="A23" s="122"/>
      <c r="B23" s="295" t="s">
        <v>461</v>
      </c>
      <c r="C23" s="158"/>
      <c r="D23" s="1104" t="str">
        <f>IF(ISBLANK(Управление!C29),"",(Управление!C29))</f>
        <v>Медикаменты и ИМН закуплены согласно потребности на 2019 год. В расчетах потребности учтены текущий запас, ожидаемые поставки и наличие бюджета</v>
      </c>
      <c r="E23" s="1105"/>
      <c r="F23" s="1105"/>
      <c r="G23" s="1106"/>
      <c r="H23" s="157"/>
      <c r="I23" s="1107"/>
      <c r="J23" s="1108"/>
      <c r="K23" s="1108"/>
      <c r="L23" s="1108"/>
      <c r="M23" s="1108"/>
      <c r="N23" s="1109"/>
      <c r="O23" s="32"/>
    </row>
    <row r="24" spans="1:15" ht="39.75" customHeight="1" thickBot="1">
      <c r="A24" s="122"/>
      <c r="B24" s="296" t="s">
        <v>462</v>
      </c>
      <c r="C24" s="159"/>
      <c r="D24" s="1100" t="str">
        <f>IF(ISBLANK(Управление!J29),"",(Управление!J29))</f>
        <v>Запас ПТП 2-го ряда составляет от 3 до 53 месяцев, для всех препаратов срок годности соответствует срокам использования препаратов.  Для некоторых препаратов,  (канамицин, протионамид, ПАСК и т.д.),   входящих в группу С, по новой классификации ВОЗ, в связи с переходом на новые режимы лечения, расход меньше, чем планируемый, однако сроки годности приемлемы.   Минимальный запас рифампицина связан с тем, что после завершения использования рифампицина закупленного по линии ПРООН/ГФ, последующие поставки для ПЛУ-ТБ больных будут осуществляться из государственного бюджета.</v>
      </c>
      <c r="E24" s="1101"/>
      <c r="F24" s="1101"/>
      <c r="G24" s="1102"/>
      <c r="H24" s="157"/>
      <c r="I24" s="1131"/>
      <c r="J24" s="1132"/>
      <c r="K24" s="1132"/>
      <c r="L24" s="1132"/>
      <c r="M24" s="1132"/>
      <c r="N24" s="1133"/>
      <c r="O24" s="32"/>
    </row>
    <row r="25" spans="1:15" ht="4.5" customHeight="1">
      <c r="A25" s="124"/>
      <c r="B25" s="129"/>
      <c r="C25" s="130"/>
      <c r="D25" s="145"/>
      <c r="E25" s="146"/>
      <c r="F25" s="147"/>
      <c r="G25" s="147"/>
      <c r="H25" s="131"/>
      <c r="I25" s="146"/>
      <c r="J25" s="132"/>
      <c r="K25" s="133"/>
      <c r="L25" s="134"/>
      <c r="M25" s="135"/>
      <c r="N25" s="136"/>
      <c r="O25" s="32"/>
    </row>
    <row r="26" spans="1:15" s="30" customFormat="1" ht="21" customHeight="1" thickBot="1">
      <c r="A26" s="124"/>
      <c r="B26" s="1103" t="s">
        <v>463</v>
      </c>
      <c r="C26" s="1103"/>
      <c r="D26" s="1103"/>
      <c r="E26" s="1103"/>
      <c r="F26" s="1103"/>
      <c r="G26" s="1103"/>
      <c r="H26" s="1103"/>
      <c r="I26" s="1103"/>
      <c r="J26" s="1103"/>
      <c r="K26" s="1103"/>
      <c r="L26" s="1103"/>
      <c r="M26" s="1103"/>
      <c r="N26" s="1103"/>
    </row>
    <row r="27" spans="1:15" ht="3.75" customHeight="1" thickBot="1">
      <c r="A27" s="124"/>
      <c r="B27" s="129"/>
      <c r="C27" s="130"/>
      <c r="D27" s="145"/>
      <c r="E27" s="146"/>
      <c r="F27" s="147"/>
      <c r="G27" s="147"/>
      <c r="H27" s="131"/>
      <c r="I27" s="146"/>
      <c r="J27" s="132"/>
      <c r="K27" s="133"/>
      <c r="L27" s="134"/>
      <c r="M27" s="135"/>
      <c r="N27" s="136"/>
      <c r="O27" s="32"/>
    </row>
    <row r="28" spans="1:15" ht="21.75" customHeight="1" thickBot="1">
      <c r="A28" s="122"/>
      <c r="B28" s="1125" t="s">
        <v>464</v>
      </c>
      <c r="C28" s="1130"/>
      <c r="D28" s="1081" t="s">
        <v>451</v>
      </c>
      <c r="E28" s="1082"/>
      <c r="F28" s="1082"/>
      <c r="G28" s="1083"/>
      <c r="H28" s="131"/>
      <c r="I28" s="1081" t="s">
        <v>449</v>
      </c>
      <c r="J28" s="1082"/>
      <c r="K28" s="1082"/>
      <c r="L28" s="1082"/>
      <c r="M28" s="1082"/>
      <c r="N28" s="1083"/>
      <c r="O28" s="32"/>
    </row>
    <row r="29" spans="1:15" ht="29.25" customHeight="1">
      <c r="A29" s="122"/>
      <c r="B29" s="297" t="s">
        <v>465</v>
      </c>
      <c r="C29" s="160"/>
      <c r="D29" s="1087" t="str">
        <f>IF(ISBLANK(Программа!C37),"",(Программа!C37))</f>
        <v xml:space="preserve">В течение последних лет наблюдается устойчивое снижение числа зарегистрированных случаев ТБ. При этом следует отметить, что несоблюдение диагностического алгоритма и отсутсвие мероприятий по активному выявлению случаев на ПМСП, приводит не только к снижению числа зарегистрированных случаев, но и к снижению числа обследованных на ТБ  </v>
      </c>
      <c r="E29" s="1088"/>
      <c r="F29" s="1088"/>
      <c r="G29" s="1089"/>
      <c r="H29" s="157"/>
      <c r="I29" s="1110"/>
      <c r="J29" s="1111"/>
      <c r="K29" s="1111"/>
      <c r="L29" s="1111"/>
      <c r="M29" s="1111"/>
      <c r="N29" s="1112"/>
      <c r="O29" s="32"/>
    </row>
    <row r="30" spans="1:15" ht="21.95" customHeight="1">
      <c r="A30" s="122"/>
      <c r="B30" s="298" t="s">
        <v>466</v>
      </c>
      <c r="C30" s="161"/>
      <c r="D30" s="1099" t="str">
        <f>IF(ISBLANK(Программа!G37),"",(Программа!G37))</f>
        <v xml:space="preserve">В течение отчетного периода выявление и регистрация РУ/МЛУ ТБ проводилась на рутинной основе, дополнительные мероприятия по активному выявлению случаев не проводились. </v>
      </c>
      <c r="E30" s="1085"/>
      <c r="F30" s="1085"/>
      <c r="G30" s="1086"/>
      <c r="H30" s="157"/>
      <c r="I30" s="1090"/>
      <c r="J30" s="1091"/>
      <c r="K30" s="1091"/>
      <c r="L30" s="1091"/>
      <c r="M30" s="1091"/>
      <c r="N30" s="1092"/>
      <c r="O30" s="32"/>
    </row>
    <row r="31" spans="1:15" ht="21.95" customHeight="1">
      <c r="A31" s="122"/>
      <c r="B31" s="298" t="s">
        <v>467</v>
      </c>
      <c r="C31" s="161"/>
      <c r="D31" s="1099" t="str">
        <f>IF(ISBLANK(Программа!M37),"",(Программа!M37))</f>
        <v xml:space="preserve">Охват лечением среди РУ/МЛУ больных составил 95%, что является хорошим показателем. Некоторые пациенты с РУ/МЛУ/ШЛУ, имевшие неудачные эпизоды лечения в прошлом, отказываются от лечения. С ними проводится мотивационная работа со стороны врачей и кейс-менеджеров, которые с июля 2019 года финансируются за счет средств ПРООН.  </v>
      </c>
      <c r="E31" s="1085"/>
      <c r="F31" s="1085"/>
      <c r="G31" s="1086"/>
      <c r="H31" s="157"/>
      <c r="I31" s="1090"/>
      <c r="J31" s="1091"/>
      <c r="K31" s="1091"/>
      <c r="L31" s="1091"/>
      <c r="M31" s="1091"/>
      <c r="N31" s="1092"/>
      <c r="O31" s="32"/>
    </row>
    <row r="32" spans="1:15" ht="21.95" customHeight="1">
      <c r="A32" s="122"/>
      <c r="B32" s="299" t="s">
        <v>150</v>
      </c>
      <c r="C32" s="161"/>
      <c r="D32" s="1084" t="str">
        <f>IF(ISBLANK(Программа!L50),"",(Программа!L50))</f>
        <v>Данные получены от Национальной Противотуберкулезной Программы и включают данные пенитенциарной системы. Общее число зарегистрированных случаев (новых и рецидивов) во 2-3 кв. 2019 года составило 3241, включая 2750  новых случаев (85%) и 491 (15%) рецидивов.   Из них 72 случая зарегистрированы в пенитенциарном секторе, и 3169 - в гражданском секторе. Целевой показатель выполнен на 94%. Количество зарегистрированных ТБ случаев постоянно снижается в последние годы несмотря на усилия, предпринимаемые страной: расширение доступа к методам быстрой диагностики ТБ, сети лабораторий, осуществляющих исследование мокроты методом микроскопии по всей стране, внедрения системы транспортировки патологического материала. Тем не менее, отчет Миссии ВОЗ (2019), говорит о том, что снижение заболеваемости ТБ в КР отражает тенденцию, отмечающуюся в странах с высокой распространённостью ТБ, не входящих в состав ЕС/ЕЭЗ.</v>
      </c>
      <c r="E32" s="1085"/>
      <c r="F32" s="1085"/>
      <c r="G32" s="1086"/>
      <c r="H32" s="157"/>
      <c r="I32" s="1090"/>
      <c r="J32" s="1091"/>
      <c r="K32" s="1091"/>
      <c r="L32" s="1091"/>
      <c r="M32" s="1091"/>
      <c r="N32" s="1092"/>
      <c r="O32" s="32"/>
    </row>
    <row r="33" spans="1:15" ht="42.75" customHeight="1">
      <c r="A33" s="122"/>
      <c r="B33" s="299" t="s">
        <v>151</v>
      </c>
      <c r="C33" s="161"/>
      <c r="D33" s="1084" t="str">
        <f>IF(ISBLANK(Программа!L51),"",(Программа!L51))</f>
        <v>В период 2-3 кв. 2019 г., Национальная Противотуберкулезная Программа зарегистрировала 731 РУ/МЛУ/ШЛУ случаев по сравнению с запланированными  720. Индикатор выполнен на 102%. 23 случая  были выявлены в пенитенциарной системе и 708 - в гражданском секторе.</v>
      </c>
      <c r="E33" s="1085"/>
      <c r="F33" s="1085"/>
      <c r="G33" s="1086"/>
      <c r="H33" s="157"/>
      <c r="I33" s="1096"/>
      <c r="J33" s="1097"/>
      <c r="K33" s="1097"/>
      <c r="L33" s="1097"/>
      <c r="M33" s="1097"/>
      <c r="N33" s="1098"/>
      <c r="O33" s="32"/>
    </row>
    <row r="34" spans="1:15" ht="21.95" customHeight="1">
      <c r="A34" s="122"/>
      <c r="B34" s="299" t="s">
        <v>135</v>
      </c>
      <c r="C34" s="161"/>
      <c r="D34" s="1084" t="str">
        <f>IF(ISBLANK(Программа!L52),"",(Программа!L52))</f>
        <v xml:space="preserve">В течение отчетного периода 698 РУ/МЛУ случаев были взяты на лечение, включая 665 бактериологически подтвержденных и 24 клинически диагностированных. Таким образом, целевой показатель достигнут на 92%. Это число включает 12 случаев из пенитенциарной системы и 653 случая из гражданского сектора. Охват лечением в отчетном периоде составил 91% (665 из 731 бактериологически подтвержденных случаев).  Согласно НТП, есть две основные причины, влияющие на этот показатель: (1) Часть ранее леченных больных, которые имели неблагоприятные эпизоды лечения в прошлом (потеря для наблюдения, неэффективное лечение), отказываются от лечения. С этой целью 10 кейс-менеджеров в областях и 1 специалист НОКП в г.Бишкек работают с больными и их родными, предоставляя информацию и проводя мотивационные беседы. (2)  Система GX-Alert, внедренная одним из проектов USAID, работала с перебоями в отчетный период, что повлияло на своевременность взятия больных с РУ ТБ на лечение. Не смотря на большое внимание со стороны ПРООН, сверка лабораторного регистра с целью своевременного принятия клинических решений в отношении пациентов с РУ/МЛУ ТБ,  продолжает осуществляться на ежеквартальной основе, а не на ежемесячной.  </v>
      </c>
      <c r="E34" s="1085"/>
      <c r="F34" s="1085"/>
      <c r="G34" s="1086"/>
      <c r="H34" s="157"/>
      <c r="I34" s="1090"/>
      <c r="J34" s="1091"/>
      <c r="K34" s="1091"/>
      <c r="L34" s="1091"/>
      <c r="M34" s="1091"/>
      <c r="N34" s="1092"/>
      <c r="O34" s="32"/>
    </row>
    <row r="35" spans="1:15" ht="27.75" customHeight="1">
      <c r="A35" s="122"/>
      <c r="B35" s="299" t="s">
        <v>152</v>
      </c>
      <c r="C35" s="196"/>
      <c r="D35" s="1084" t="e">
        <f>IF(ISBLANK(Программа!#REF!),"",(Программа!#REF!))</f>
        <v>#REF!</v>
      </c>
      <c r="E35" s="1085"/>
      <c r="F35" s="1085"/>
      <c r="G35" s="1086"/>
      <c r="H35" s="157"/>
      <c r="I35" s="1090"/>
      <c r="J35" s="1091"/>
      <c r="K35" s="1091"/>
      <c r="L35" s="1091"/>
      <c r="M35" s="1091"/>
      <c r="N35" s="1092"/>
      <c r="O35" s="32"/>
    </row>
    <row r="36" spans="1:15" ht="21.95" customHeight="1">
      <c r="A36" s="122"/>
      <c r="B36" s="299" t="s">
        <v>153</v>
      </c>
      <c r="C36" s="196"/>
      <c r="D36" s="1084" t="str">
        <f>IF(ISBLANK(Программа!L54),"",(Программа!L54))</f>
        <v xml:space="preserve">Доступность новых препаратов и индивидуальных режимов вносит вклад в улучшение охвата ШЛУ пациентов лечением ТБ. Общее число зарегистрированных случаев ШЛУ ТБ в отчетный период – 53, 48 из них начали лечение в отчетный период. Индикатор выполнен на 91%. Как отмечалось выше, некоторые из пациентов отказываются от лечения, кроме того, отдельные больные, имеющие несколько эпизодов лечения, в т.ч. с новыми и перепрофилированными ТБ препаратами, перенаправляются на паллиативное лечение.  </v>
      </c>
      <c r="E36" s="1085"/>
      <c r="F36" s="1085"/>
      <c r="G36" s="1086"/>
      <c r="H36" s="157"/>
      <c r="I36" s="1090"/>
      <c r="J36" s="1091"/>
      <c r="K36" s="1091"/>
      <c r="L36" s="1091"/>
      <c r="M36" s="1091"/>
      <c r="N36" s="1092"/>
      <c r="O36" s="32"/>
    </row>
    <row r="37" spans="1:15" ht="21.95" customHeight="1">
      <c r="A37" s="122"/>
      <c r="B37" s="299" t="s">
        <v>154</v>
      </c>
      <c r="C37" s="196"/>
      <c r="D37" s="1084" t="str">
        <f>IF(ISBLANK(Программа!L55),"",(Программа!L55))</f>
        <v>Тестирование на ВИЧ доступно по всей стране. В течение отчетного периода 95% зарегистрированных пациентов были протестированы на ВИЧ (3065 из 3241 новых случаев и рецидивов). 5.4% среди всех зарегистрированных ТБ случаев не имеют задокументированного ВИЧ статуса. Согласно НТП, основной причиной является некорректное заполнение учетно-отчетной документации (на местах не уточняется результат тестирования и данные не вносятся в ТБ регистр).   Согласно клиническому руководству, все ТБ пациенты должны быть протестированы на ВИЧ.</v>
      </c>
      <c r="E37" s="1085"/>
      <c r="F37" s="1085"/>
      <c r="G37" s="1086"/>
      <c r="H37" s="157"/>
      <c r="I37" s="1090"/>
      <c r="J37" s="1091"/>
      <c r="K37" s="1091"/>
      <c r="L37" s="1091"/>
      <c r="M37" s="1091"/>
      <c r="N37" s="1092"/>
      <c r="O37" s="32"/>
    </row>
    <row r="38" spans="1:15" ht="21.95" customHeight="1">
      <c r="A38" s="122"/>
      <c r="B38" s="299" t="s">
        <v>155</v>
      </c>
      <c r="C38" s="196"/>
      <c r="D38" s="1084" t="e">
        <f>IF(ISBLANK(Программа!#REF!),"",(Программа!#REF!))</f>
        <v>#REF!</v>
      </c>
      <c r="E38" s="1085"/>
      <c r="F38" s="1085"/>
      <c r="G38" s="1086"/>
      <c r="H38" s="157"/>
      <c r="I38" s="1090"/>
      <c r="J38" s="1091"/>
      <c r="K38" s="1091"/>
      <c r="L38" s="1091"/>
      <c r="M38" s="1091"/>
      <c r="N38" s="1092"/>
      <c r="O38" s="32"/>
    </row>
    <row r="39" spans="1:15" ht="21.95" customHeight="1">
      <c r="A39" s="122"/>
      <c r="B39" s="299" t="s">
        <v>156</v>
      </c>
      <c r="C39" s="196"/>
      <c r="D39" s="1084" t="e">
        <f>IF(ISBLANK(Программа!#REF!),"",(Программа!#REF!))</f>
        <v>#REF!</v>
      </c>
      <c r="E39" s="1085"/>
      <c r="F39" s="1085"/>
      <c r="G39" s="1086"/>
      <c r="H39" s="157"/>
      <c r="I39" s="1090"/>
      <c r="J39" s="1091"/>
      <c r="K39" s="1091"/>
      <c r="L39" s="1091"/>
      <c r="M39" s="1091"/>
      <c r="N39" s="1092"/>
      <c r="O39" s="32"/>
    </row>
    <row r="40" spans="1:15" ht="21.95" customHeight="1">
      <c r="A40" s="122"/>
      <c r="B40" s="299" t="s">
        <v>157</v>
      </c>
      <c r="C40" s="196"/>
      <c r="D40" s="1084" t="e">
        <f>IF(ISBLANK(Программа!#REF!),"",(Программа!#REF!))</f>
        <v>#REF!</v>
      </c>
      <c r="E40" s="1085"/>
      <c r="F40" s="1085"/>
      <c r="G40" s="1086"/>
      <c r="H40" s="157"/>
      <c r="I40" s="1090"/>
      <c r="J40" s="1091"/>
      <c r="K40" s="1091"/>
      <c r="L40" s="1091"/>
      <c r="M40" s="1091"/>
      <c r="N40" s="1092"/>
      <c r="O40" s="32"/>
    </row>
    <row r="41" spans="1:15" ht="21.95" customHeight="1" thickBot="1">
      <c r="A41" s="122"/>
      <c r="B41" s="331" t="s">
        <v>158</v>
      </c>
      <c r="C41" s="162"/>
      <c r="D41" s="1078" t="e">
        <f>IF(ISBLANK(Программа!#REF!),"",(Программа!#REF!))</f>
        <v>#REF!</v>
      </c>
      <c r="E41" s="1079"/>
      <c r="F41" s="1079"/>
      <c r="G41" s="1080"/>
      <c r="H41" s="157"/>
      <c r="I41" s="1093"/>
      <c r="J41" s="1094"/>
      <c r="K41" s="1094"/>
      <c r="L41" s="1094"/>
      <c r="M41" s="1094"/>
      <c r="N41" s="1095"/>
      <c r="O41" s="32"/>
    </row>
    <row r="42" spans="1:15" ht="14.25">
      <c r="A42" s="122"/>
      <c r="B42" s="163"/>
      <c r="C42" s="163"/>
      <c r="D42" s="164"/>
      <c r="E42" s="122"/>
      <c r="F42" s="163"/>
      <c r="G42" s="163"/>
      <c r="H42" s="122"/>
      <c r="I42" s="165"/>
      <c r="J42" s="122"/>
      <c r="K42" s="166"/>
      <c r="L42" s="166"/>
      <c r="M42" s="166"/>
      <c r="N42" s="166"/>
      <c r="O42" s="32"/>
    </row>
  </sheetData>
  <sheetProtection password="CFC9" sheet="1"/>
  <mergeCells count="65">
    <mergeCell ref="I39:N39"/>
    <mergeCell ref="D13:G13"/>
    <mergeCell ref="I12:N12"/>
    <mergeCell ref="D12:G12"/>
    <mergeCell ref="I13:N13"/>
    <mergeCell ref="I18:N18"/>
    <mergeCell ref="D18:G18"/>
    <mergeCell ref="I20:N20"/>
    <mergeCell ref="D19:G19"/>
    <mergeCell ref="D21:G21"/>
    <mergeCell ref="D20:G20"/>
    <mergeCell ref="I19:N19"/>
    <mergeCell ref="D38:G38"/>
    <mergeCell ref="D37:G37"/>
    <mergeCell ref="D36:G36"/>
    <mergeCell ref="D33:G33"/>
    <mergeCell ref="D39:G39"/>
    <mergeCell ref="E6:K6"/>
    <mergeCell ref="B8:N8"/>
    <mergeCell ref="I10:N10"/>
    <mergeCell ref="B16:N16"/>
    <mergeCell ref="D14:G14"/>
    <mergeCell ref="D11:G11"/>
    <mergeCell ref="I14:N14"/>
    <mergeCell ref="B10:C10"/>
    <mergeCell ref="D10:G10"/>
    <mergeCell ref="I11:N11"/>
    <mergeCell ref="B18:C18"/>
    <mergeCell ref="B28:C28"/>
    <mergeCell ref="I24:N24"/>
    <mergeCell ref="I32:N32"/>
    <mergeCell ref="D22:G22"/>
    <mergeCell ref="B2:Q2"/>
    <mergeCell ref="E5:K5"/>
    <mergeCell ref="E3:K3"/>
    <mergeCell ref="C4:D4"/>
    <mergeCell ref="E4:K4"/>
    <mergeCell ref="C3:D3"/>
    <mergeCell ref="D23:G23"/>
    <mergeCell ref="I21:N21"/>
    <mergeCell ref="I22:N22"/>
    <mergeCell ref="I23:N23"/>
    <mergeCell ref="I29:N29"/>
    <mergeCell ref="D30:G30"/>
    <mergeCell ref="D32:G32"/>
    <mergeCell ref="D24:G24"/>
    <mergeCell ref="I30:N30"/>
    <mergeCell ref="I31:N31"/>
    <mergeCell ref="B26:N26"/>
    <mergeCell ref="D41:G41"/>
    <mergeCell ref="I28:N28"/>
    <mergeCell ref="D40:G40"/>
    <mergeCell ref="D34:G34"/>
    <mergeCell ref="D29:G29"/>
    <mergeCell ref="D28:G28"/>
    <mergeCell ref="I34:N34"/>
    <mergeCell ref="D35:G35"/>
    <mergeCell ref="I41:N41"/>
    <mergeCell ref="I35:N35"/>
    <mergeCell ref="I36:N36"/>
    <mergeCell ref="I37:N37"/>
    <mergeCell ref="I38:N38"/>
    <mergeCell ref="I40:N40"/>
    <mergeCell ref="I33:N33"/>
    <mergeCell ref="D31:G3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B16" zoomScaleNormal="110" zoomScaleSheetLayoutView="100" workbookViewId="0">
      <selection activeCell="B32" sqref="B32:E33"/>
    </sheetView>
  </sheetViews>
  <sheetFormatPr defaultColWidth="11" defaultRowHeight="15"/>
  <cols>
    <col min="1" max="1" width="8.8554687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949" t="str">
        <f>+"Панель показателей:  "&amp;"  "&amp;IF(+'Ввод данных'!B4="Выберите","",'Ввод данных'!B4&amp;" - ")&amp;IF('Ввод данных'!F6="Выберите","",'Ввод данных'!F6)</f>
        <v>Панель показателей:    Кыргызстан - ВИЧ/СПИД/ТБ</v>
      </c>
      <c r="C2" s="949"/>
      <c r="D2" s="949"/>
      <c r="E2" s="949"/>
      <c r="F2" s="949"/>
      <c r="G2" s="949"/>
      <c r="H2" s="949"/>
      <c r="I2" s="949"/>
      <c r="J2" s="949"/>
      <c r="K2" s="949"/>
      <c r="L2" s="949"/>
    </row>
    <row r="3" spans="1:13">
      <c r="B3" s="711">
        <f>+IF('Ввод данных'!F8="Выберите","",'Ввод данных'!F8)</f>
        <v>0</v>
      </c>
      <c r="C3" s="1182"/>
      <c r="D3" s="1182"/>
      <c r="E3" s="964"/>
      <c r="F3" s="964"/>
      <c r="G3" s="964"/>
      <c r="H3" s="964"/>
      <c r="I3" s="964"/>
      <c r="J3" s="965" t="str">
        <f>+'Ввод данных'!A16</f>
        <v>Отчетный период</v>
      </c>
      <c r="K3" s="965"/>
      <c r="L3" s="170" t="str">
        <f>+'Ввод данных'!B16</f>
        <v>P3</v>
      </c>
      <c r="M3" s="78"/>
    </row>
    <row r="4" spans="1:13">
      <c r="B4" s="321" t="str">
        <f>+'Ввод данных'!A12</f>
        <v>Последняя оценка:</v>
      </c>
      <c r="C4" s="1177" t="str">
        <f>+IF('Ввод данных'!B12="Выберите","",'Ввод данных'!B12)</f>
        <v>A2</v>
      </c>
      <c r="D4" s="1177"/>
      <c r="E4" s="964" t="str">
        <f>+'Ввод данных'!B8</f>
        <v>ПРООН</v>
      </c>
      <c r="F4" s="964"/>
      <c r="G4" s="964"/>
      <c r="H4" s="964"/>
      <c r="I4" s="964"/>
      <c r="J4" s="965" t="str">
        <f>+'Ввод данных'!C16</f>
        <v>с:</v>
      </c>
      <c r="K4" s="1180"/>
      <c r="L4" s="171">
        <f>+IF(ISBLANK('Ввод данных'!D16),"",'Ввод данных'!D16)</f>
        <v>43647</v>
      </c>
    </row>
    <row r="5" spans="1:13" ht="18.75" customHeight="1">
      <c r="B5" s="711"/>
      <c r="C5" s="711"/>
      <c r="D5" s="964"/>
      <c r="E5" s="964"/>
      <c r="F5" s="964"/>
      <c r="G5" s="964"/>
      <c r="H5" s="964"/>
      <c r="I5" s="964"/>
      <c r="J5" s="964"/>
      <c r="K5" s="711" t="str">
        <f>+'Ввод данных'!E16</f>
        <v>до:</v>
      </c>
      <c r="L5" s="171">
        <f>+IF(ISBLANK('Ввод данных'!F16),"",'Ввод данных'!F16)</f>
        <v>43830</v>
      </c>
    </row>
    <row r="6" spans="1:13" ht="18.75">
      <c r="B6" s="22"/>
      <c r="C6" s="711"/>
      <c r="D6" s="23"/>
      <c r="E6" s="1181" t="s">
        <v>468</v>
      </c>
      <c r="F6" s="1181"/>
      <c r="G6" s="1181"/>
      <c r="H6" s="1181"/>
      <c r="I6" s="1181"/>
    </row>
    <row r="7" spans="1:13" ht="18.75">
      <c r="E7" s="720"/>
      <c r="F7" s="720"/>
      <c r="G7" s="720"/>
      <c r="H7" s="720"/>
      <c r="I7" s="720"/>
    </row>
    <row r="8" spans="1:13" s="30" customFormat="1" ht="21" customHeight="1" thickBot="1">
      <c r="B8" s="70" t="s">
        <v>469</v>
      </c>
      <c r="C8" s="70"/>
      <c r="D8" s="70"/>
      <c r="E8" s="70"/>
      <c r="F8" s="70"/>
      <c r="G8" s="70"/>
      <c r="H8" s="70"/>
      <c r="I8" s="70"/>
      <c r="J8" s="70"/>
      <c r="K8" s="70"/>
      <c r="L8" s="70"/>
    </row>
    <row r="9" spans="1:13" ht="6" customHeight="1">
      <c r="B9" s="68"/>
    </row>
    <row r="10" spans="1:13">
      <c r="B10" s="1187"/>
      <c r="C10" s="1188"/>
      <c r="D10" s="1188"/>
      <c r="E10" s="1188"/>
      <c r="F10" s="1188"/>
      <c r="G10" s="1188"/>
      <c r="H10" s="1188"/>
      <c r="I10" s="1188"/>
      <c r="J10" s="1188"/>
      <c r="K10" s="1188"/>
      <c r="L10" s="1189"/>
    </row>
    <row r="11" spans="1:13">
      <c r="B11" s="1190"/>
      <c r="C11" s="1191"/>
      <c r="D11" s="1191"/>
      <c r="E11" s="1191"/>
      <c r="F11" s="1191"/>
      <c r="G11" s="1191"/>
      <c r="H11" s="1191"/>
      <c r="I11" s="1191"/>
      <c r="J11" s="1191"/>
      <c r="K11" s="1191"/>
      <c r="L11" s="1192"/>
    </row>
    <row r="12" spans="1:13" ht="15.75" thickBot="1"/>
    <row r="13" spans="1:13" ht="26.25" customHeight="1" thickBot="1">
      <c r="B13" s="1183" t="s">
        <v>470</v>
      </c>
      <c r="C13" s="1184"/>
      <c r="D13" s="1184"/>
      <c r="E13" s="1158"/>
      <c r="F13" s="71"/>
      <c r="G13" s="1253" t="s">
        <v>471</v>
      </c>
      <c r="H13" s="1193"/>
      <c r="I13" s="1193"/>
      <c r="J13" s="719" t="s">
        <v>472</v>
      </c>
      <c r="K13" s="1193" t="s">
        <v>473</v>
      </c>
      <c r="L13" s="1194"/>
    </row>
    <row r="14" spans="1:13">
      <c r="A14" s="1244" t="s">
        <v>198</v>
      </c>
      <c r="B14" s="1185"/>
      <c r="C14" s="1185"/>
      <c r="D14" s="1185"/>
      <c r="E14" s="1186"/>
      <c r="F14" s="43"/>
      <c r="G14" s="1247"/>
      <c r="H14" s="1248"/>
      <c r="I14" s="1248"/>
      <c r="J14" s="1256"/>
      <c r="K14" s="1173"/>
      <c r="L14" s="1174"/>
    </row>
    <row r="15" spans="1:13" ht="32.25" customHeight="1">
      <c r="A15" s="1245"/>
      <c r="B15" s="1185"/>
      <c r="C15" s="1185"/>
      <c r="D15" s="1185"/>
      <c r="E15" s="1186"/>
      <c r="F15" s="43"/>
      <c r="G15" s="1224"/>
      <c r="H15" s="1225"/>
      <c r="I15" s="1225"/>
      <c r="J15" s="1196"/>
      <c r="K15" s="1175"/>
      <c r="L15" s="1176"/>
    </row>
    <row r="16" spans="1:13">
      <c r="A16" s="1245"/>
      <c r="B16" s="1185"/>
      <c r="C16" s="1185"/>
      <c r="D16" s="1185"/>
      <c r="E16" s="1186"/>
      <c r="F16" s="43"/>
      <c r="G16" s="1224"/>
      <c r="H16" s="1225"/>
      <c r="I16" s="1225"/>
      <c r="J16" s="1195"/>
      <c r="K16" s="1178"/>
      <c r="L16" s="1179"/>
    </row>
    <row r="17" spans="1:12" ht="78.75" customHeight="1">
      <c r="A17" s="1245"/>
      <c r="B17" s="1185"/>
      <c r="C17" s="1185"/>
      <c r="D17" s="1185"/>
      <c r="E17" s="1186"/>
      <c r="F17" s="43"/>
      <c r="G17" s="1224"/>
      <c r="H17" s="1225"/>
      <c r="I17" s="1225"/>
      <c r="J17" s="1196"/>
      <c r="K17" s="1175"/>
      <c r="L17" s="1176"/>
    </row>
    <row r="18" spans="1:12">
      <c r="A18" s="1245"/>
      <c r="B18" s="1185"/>
      <c r="C18" s="1185"/>
      <c r="D18" s="1185"/>
      <c r="E18" s="1186"/>
      <c r="F18" s="43"/>
      <c r="G18" s="1249"/>
      <c r="H18" s="1250"/>
      <c r="I18" s="1251"/>
      <c r="J18" s="1195"/>
      <c r="K18" s="1178"/>
      <c r="L18" s="1179"/>
    </row>
    <row r="19" spans="1:12" ht="30.75" customHeight="1">
      <c r="A19" s="1245"/>
      <c r="B19" s="1185"/>
      <c r="C19" s="1185"/>
      <c r="D19" s="1185"/>
      <c r="E19" s="1186"/>
      <c r="F19" s="43"/>
      <c r="G19" s="1231"/>
      <c r="H19" s="1232"/>
      <c r="I19" s="1252"/>
      <c r="J19" s="1196"/>
      <c r="K19" s="1175"/>
      <c r="L19" s="1176"/>
    </row>
    <row r="20" spans="1:12">
      <c r="A20" s="1245"/>
      <c r="B20" s="1185"/>
      <c r="C20" s="1185"/>
      <c r="D20" s="1185"/>
      <c r="E20" s="1186"/>
      <c r="F20" s="43"/>
      <c r="G20" s="1224"/>
      <c r="H20" s="1225"/>
      <c r="I20" s="1225"/>
      <c r="J20" s="1195"/>
      <c r="K20" s="1178"/>
      <c r="L20" s="1179"/>
    </row>
    <row r="21" spans="1:12" ht="45.75" customHeight="1">
      <c r="A21" s="1245"/>
      <c r="B21" s="1185"/>
      <c r="C21" s="1185"/>
      <c r="D21" s="1185"/>
      <c r="E21" s="1186"/>
      <c r="F21" s="43"/>
      <c r="G21" s="1224"/>
      <c r="H21" s="1225"/>
      <c r="I21" s="1225"/>
      <c r="J21" s="1196"/>
      <c r="K21" s="1175"/>
      <c r="L21" s="1176"/>
    </row>
    <row r="22" spans="1:12">
      <c r="A22" s="1245"/>
      <c r="B22" s="1185"/>
      <c r="C22" s="1185"/>
      <c r="D22" s="1185"/>
      <c r="E22" s="1186"/>
      <c r="F22" s="43"/>
      <c r="G22" s="1224"/>
      <c r="H22" s="1225"/>
      <c r="I22" s="1225"/>
      <c r="J22" s="1255"/>
      <c r="K22" s="1196"/>
      <c r="L22" s="1254"/>
    </row>
    <row r="23" spans="1:12" ht="34.5" customHeight="1">
      <c r="A23" s="1245"/>
      <c r="B23" s="1185"/>
      <c r="C23" s="1185"/>
      <c r="D23" s="1185"/>
      <c r="E23" s="1186"/>
      <c r="F23" s="43"/>
      <c r="G23" s="1224"/>
      <c r="H23" s="1225"/>
      <c r="I23" s="1225"/>
      <c r="J23" s="1248"/>
      <c r="K23" s="1196"/>
      <c r="L23" s="1254"/>
    </row>
    <row r="24" spans="1:12" ht="15" customHeight="1">
      <c r="A24" s="1245"/>
      <c r="B24" s="1185"/>
      <c r="C24" s="1185"/>
      <c r="D24" s="1185"/>
      <c r="E24" s="1186"/>
      <c r="F24" s="43"/>
      <c r="G24" s="1224"/>
      <c r="H24" s="1225"/>
      <c r="I24" s="1225"/>
      <c r="J24" s="1195"/>
      <c r="K24" s="1159"/>
      <c r="L24" s="1160"/>
    </row>
    <row r="25" spans="1:12" ht="30" customHeight="1" thickBot="1">
      <c r="A25" s="1246"/>
      <c r="B25" s="1239"/>
      <c r="C25" s="1239"/>
      <c r="D25" s="1239"/>
      <c r="E25" s="1240"/>
      <c r="F25" s="43"/>
      <c r="G25" s="1226"/>
      <c r="H25" s="1227"/>
      <c r="I25" s="1227"/>
      <c r="J25" s="1219"/>
      <c r="K25" s="1161"/>
      <c r="L25" s="1162"/>
    </row>
    <row r="27" spans="1:12" ht="18.75" customHeight="1">
      <c r="D27" s="689"/>
      <c r="E27" s="315" t="s">
        <v>474</v>
      </c>
      <c r="F27" s="315"/>
      <c r="G27" s="315"/>
      <c r="H27" s="315"/>
      <c r="I27" s="315"/>
    </row>
    <row r="28" spans="1:12" ht="6" customHeight="1">
      <c r="E28" s="720"/>
      <c r="F28" s="720"/>
      <c r="G28" s="720"/>
      <c r="H28" s="720"/>
      <c r="I28" s="720"/>
    </row>
    <row r="29" spans="1:12" s="30" customFormat="1" ht="21" customHeight="1" thickBot="1">
      <c r="B29" s="70" t="s">
        <v>475</v>
      </c>
      <c r="C29" s="70"/>
      <c r="D29" s="70"/>
      <c r="E29" s="70"/>
      <c r="F29" s="70"/>
      <c r="G29" s="70"/>
      <c r="H29" s="70"/>
      <c r="I29" s="70"/>
      <c r="J29" s="70"/>
      <c r="K29" s="70"/>
      <c r="L29" s="70"/>
    </row>
    <row r="30" spans="1:12" ht="6" customHeight="1" thickBot="1">
      <c r="B30" s="68"/>
    </row>
    <row r="31" spans="1:12" ht="21.75" customHeight="1" thickBot="1">
      <c r="B31" s="1183" t="s">
        <v>471</v>
      </c>
      <c r="C31" s="1184"/>
      <c r="D31" s="1184"/>
      <c r="E31" s="1158"/>
      <c r="F31" s="71"/>
      <c r="G31" s="1183" t="s">
        <v>476</v>
      </c>
      <c r="H31" s="1184"/>
      <c r="I31" s="1223"/>
      <c r="J31" s="719" t="s">
        <v>477</v>
      </c>
      <c r="K31" s="1157" t="s">
        <v>473</v>
      </c>
      <c r="L31" s="1158"/>
    </row>
    <row r="32" spans="1:12" ht="14.25" customHeight="1">
      <c r="A32" s="1220" t="s">
        <v>478</v>
      </c>
      <c r="B32" s="1228"/>
      <c r="C32" s="1229"/>
      <c r="D32" s="1229"/>
      <c r="E32" s="1230"/>
      <c r="F32" s="43"/>
      <c r="G32" s="1241"/>
      <c r="H32" s="1242"/>
      <c r="I32" s="1243"/>
      <c r="J32" s="1155"/>
      <c r="K32" s="1173"/>
      <c r="L32" s="1174"/>
    </row>
    <row r="33" spans="1:12" ht="30" customHeight="1">
      <c r="A33" s="1221"/>
      <c r="B33" s="1231"/>
      <c r="C33" s="1232"/>
      <c r="D33" s="1232"/>
      <c r="E33" s="1233"/>
      <c r="F33" s="43"/>
      <c r="G33" s="1215"/>
      <c r="H33" s="1216"/>
      <c r="I33" s="1217"/>
      <c r="J33" s="1156"/>
      <c r="K33" s="1175"/>
      <c r="L33" s="1176"/>
    </row>
    <row r="34" spans="1:12">
      <c r="A34" s="1221"/>
      <c r="B34" s="1208"/>
      <c r="C34" s="1209"/>
      <c r="D34" s="1209"/>
      <c r="E34" s="1179"/>
      <c r="F34" s="43"/>
      <c r="G34" s="1212"/>
      <c r="H34" s="1213"/>
      <c r="I34" s="1214"/>
      <c r="J34" s="1218"/>
      <c r="K34" s="1163"/>
      <c r="L34" s="1164"/>
    </row>
    <row r="35" spans="1:12" ht="30" customHeight="1">
      <c r="A35" s="1221"/>
      <c r="B35" s="1210"/>
      <c r="C35" s="1211"/>
      <c r="D35" s="1211"/>
      <c r="E35" s="1176"/>
      <c r="F35" s="43"/>
      <c r="G35" s="1215"/>
      <c r="H35" s="1216"/>
      <c r="I35" s="1217"/>
      <c r="J35" s="1156"/>
      <c r="K35" s="1165"/>
      <c r="L35" s="1166"/>
    </row>
    <row r="36" spans="1:12">
      <c r="A36" s="1221"/>
      <c r="B36" s="1203"/>
      <c r="C36" s="1204"/>
      <c r="D36" s="1204"/>
      <c r="E36" s="1160"/>
      <c r="F36" s="43"/>
      <c r="G36" s="1212"/>
      <c r="H36" s="1213"/>
      <c r="I36" s="1214"/>
      <c r="J36" s="1153"/>
      <c r="K36" s="1163"/>
      <c r="L36" s="1164"/>
    </row>
    <row r="37" spans="1:12" ht="45" customHeight="1">
      <c r="A37" s="1221"/>
      <c r="B37" s="1205"/>
      <c r="C37" s="1206"/>
      <c r="D37" s="1206"/>
      <c r="E37" s="1207"/>
      <c r="F37" s="43"/>
      <c r="G37" s="1215"/>
      <c r="H37" s="1216"/>
      <c r="I37" s="1217"/>
      <c r="J37" s="1156"/>
      <c r="K37" s="1165"/>
      <c r="L37" s="1166"/>
    </row>
    <row r="38" spans="1:12">
      <c r="A38" s="1221"/>
      <c r="B38" s="1203"/>
      <c r="C38" s="1204"/>
      <c r="D38" s="1204"/>
      <c r="E38" s="1160"/>
      <c r="F38" s="43"/>
      <c r="G38" s="1197"/>
      <c r="H38" s="1198"/>
      <c r="I38" s="1199"/>
      <c r="J38" s="1153"/>
      <c r="K38" s="1167"/>
      <c r="L38" s="1168"/>
    </row>
    <row r="39" spans="1:12">
      <c r="A39" s="1221"/>
      <c r="B39" s="1205"/>
      <c r="C39" s="1206"/>
      <c r="D39" s="1206"/>
      <c r="E39" s="1207"/>
      <c r="F39" s="43"/>
      <c r="G39" s="1200"/>
      <c r="H39" s="1201"/>
      <c r="I39" s="1202"/>
      <c r="J39" s="1156"/>
      <c r="K39" s="1169"/>
      <c r="L39" s="1170"/>
    </row>
    <row r="40" spans="1:12">
      <c r="A40" s="1221"/>
      <c r="B40" s="1203"/>
      <c r="C40" s="1204"/>
      <c r="D40" s="1204"/>
      <c r="E40" s="1160"/>
      <c r="F40" s="43"/>
      <c r="G40" s="1197"/>
      <c r="H40" s="1198"/>
      <c r="I40" s="1199"/>
      <c r="J40" s="1153"/>
      <c r="K40" s="1167"/>
      <c r="L40" s="1168"/>
    </row>
    <row r="41" spans="1:12">
      <c r="A41" s="1221"/>
      <c r="B41" s="1205"/>
      <c r="C41" s="1206"/>
      <c r="D41" s="1206"/>
      <c r="E41" s="1207"/>
      <c r="F41" s="43"/>
      <c r="G41" s="1200"/>
      <c r="H41" s="1201"/>
      <c r="I41" s="1202"/>
      <c r="J41" s="1156"/>
      <c r="K41" s="1169"/>
      <c r="L41" s="1170"/>
    </row>
    <row r="42" spans="1:12">
      <c r="A42" s="1221"/>
      <c r="B42" s="1203"/>
      <c r="C42" s="1204"/>
      <c r="D42" s="1204"/>
      <c r="E42" s="1160"/>
      <c r="F42" s="43"/>
      <c r="G42" s="1197"/>
      <c r="H42" s="1198"/>
      <c r="I42" s="1199"/>
      <c r="J42" s="1153"/>
      <c r="K42" s="1167"/>
      <c r="L42" s="1168"/>
    </row>
    <row r="43" spans="1:12" ht="15.75" thickBot="1">
      <c r="A43" s="1222"/>
      <c r="B43" s="1234"/>
      <c r="C43" s="1235"/>
      <c r="D43" s="1235"/>
      <c r="E43" s="1162"/>
      <c r="F43" s="43"/>
      <c r="G43" s="1236"/>
      <c r="H43" s="1237"/>
      <c r="I43" s="1238"/>
      <c r="J43" s="1154"/>
      <c r="K43" s="1171"/>
      <c r="L43" s="1172"/>
    </row>
  </sheetData>
  <sheetProtection password="CFC9" sheet="1"/>
  <mergeCells count="66">
    <mergeCell ref="K18:L19"/>
    <mergeCell ref="G18:I19"/>
    <mergeCell ref="G13:I13"/>
    <mergeCell ref="K22:L23"/>
    <mergeCell ref="K20:L21"/>
    <mergeCell ref="J22:J23"/>
    <mergeCell ref="G16:I17"/>
    <mergeCell ref="J16:J17"/>
    <mergeCell ref="J14:J15"/>
    <mergeCell ref="A32:A43"/>
    <mergeCell ref="G31:I31"/>
    <mergeCell ref="G20:I21"/>
    <mergeCell ref="G22:I23"/>
    <mergeCell ref="B31:E31"/>
    <mergeCell ref="G24:I25"/>
    <mergeCell ref="G38:I39"/>
    <mergeCell ref="B32:E33"/>
    <mergeCell ref="B42:E43"/>
    <mergeCell ref="G42:I43"/>
    <mergeCell ref="G36:I37"/>
    <mergeCell ref="B24:E25"/>
    <mergeCell ref="G32:I33"/>
    <mergeCell ref="A14:A25"/>
    <mergeCell ref="B16:E17"/>
    <mergeCell ref="G14:I15"/>
    <mergeCell ref="B18:E19"/>
    <mergeCell ref="B22:E23"/>
    <mergeCell ref="B20:E21"/>
    <mergeCell ref="J20:J21"/>
    <mergeCell ref="G40:I41"/>
    <mergeCell ref="J18:J19"/>
    <mergeCell ref="B38:E39"/>
    <mergeCell ref="B40:E41"/>
    <mergeCell ref="J40:J41"/>
    <mergeCell ref="J38:J39"/>
    <mergeCell ref="B34:E35"/>
    <mergeCell ref="G34:I35"/>
    <mergeCell ref="J34:J35"/>
    <mergeCell ref="B36:E37"/>
    <mergeCell ref="J24:J25"/>
    <mergeCell ref="J36:J37"/>
    <mergeCell ref="B2:L2"/>
    <mergeCell ref="C4:D4"/>
    <mergeCell ref="K14:L15"/>
    <mergeCell ref="K16:L17"/>
    <mergeCell ref="E3:I3"/>
    <mergeCell ref="J3:K3"/>
    <mergeCell ref="E4:I4"/>
    <mergeCell ref="J4:K4"/>
    <mergeCell ref="E6:I6"/>
    <mergeCell ref="C3:D3"/>
    <mergeCell ref="D5:J5"/>
    <mergeCell ref="B13:E13"/>
    <mergeCell ref="B14:E15"/>
    <mergeCell ref="B10:L11"/>
    <mergeCell ref="K13:L13"/>
    <mergeCell ref="J42:J43"/>
    <mergeCell ref="J32:J33"/>
    <mergeCell ref="K31:L31"/>
    <mergeCell ref="K24:L25"/>
    <mergeCell ref="K34:L35"/>
    <mergeCell ref="K40:L41"/>
    <mergeCell ref="K42:L43"/>
    <mergeCell ref="K36:L37"/>
    <mergeCell ref="K38:L39"/>
    <mergeCell ref="K32:L33"/>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8"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A16" zoomScale="80" zoomScaleNormal="80" workbookViewId="0">
      <selection activeCell="I28" sqref="I28: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257" t="str">
        <f>'Сведения о гранте'!B3:J3</f>
        <v>Панель показателей:  Кыргызстан - ВИЧ/СПИД/ТБ</v>
      </c>
      <c r="C3" s="1257"/>
      <c r="D3" s="1257"/>
      <c r="E3" s="1257"/>
      <c r="F3" s="1257"/>
      <c r="G3" s="1257"/>
      <c r="H3" s="1257"/>
      <c r="I3" s="1"/>
    </row>
    <row r="6" spans="2:15" ht="18.75">
      <c r="B6" s="1258" t="s">
        <v>479</v>
      </c>
      <c r="C6" s="1258"/>
      <c r="D6" s="1258"/>
      <c r="E6" s="1258"/>
      <c r="F6" s="1258"/>
      <c r="G6" s="1258"/>
      <c r="H6" s="1258"/>
    </row>
    <row r="8" spans="2:15" ht="18.75">
      <c r="B8" s="58" t="s">
        <v>480</v>
      </c>
      <c r="C8" s="58" t="s">
        <v>481</v>
      </c>
      <c r="D8" s="58" t="s">
        <v>482</v>
      </c>
      <c r="E8" s="58" t="s">
        <v>483</v>
      </c>
      <c r="F8" s="58" t="s">
        <v>484</v>
      </c>
      <c r="G8" s="58" t="s">
        <v>421</v>
      </c>
      <c r="H8" s="58" t="s">
        <v>485</v>
      </c>
      <c r="I8" s="59" t="s">
        <v>486</v>
      </c>
      <c r="J8" s="59" t="s">
        <v>487</v>
      </c>
      <c r="M8" s="19"/>
      <c r="N8" s="19"/>
      <c r="O8" s="19"/>
    </row>
    <row r="9" spans="2:15">
      <c r="B9" s="301" t="s">
        <v>488</v>
      </c>
      <c r="C9" s="301" t="s">
        <v>488</v>
      </c>
      <c r="D9" s="301" t="s">
        <v>488</v>
      </c>
      <c r="E9" s="301" t="s">
        <v>488</v>
      </c>
      <c r="F9" s="301" t="s">
        <v>488</v>
      </c>
      <c r="G9" s="301" t="s">
        <v>488</v>
      </c>
      <c r="H9" s="301" t="s">
        <v>488</v>
      </c>
      <c r="I9" s="302" t="s">
        <v>488</v>
      </c>
      <c r="J9" s="301" t="s">
        <v>488</v>
      </c>
      <c r="M9" s="19"/>
      <c r="N9" s="19"/>
      <c r="O9" s="19"/>
    </row>
    <row r="10" spans="2:15">
      <c r="B10" s="54" t="s">
        <v>266</v>
      </c>
      <c r="C10" s="54" t="s">
        <v>147</v>
      </c>
      <c r="D10" s="54" t="s">
        <v>489</v>
      </c>
      <c r="E10" s="54" t="s">
        <v>490</v>
      </c>
      <c r="F10" s="54" t="s">
        <v>150</v>
      </c>
      <c r="G10" s="289" t="s">
        <v>491</v>
      </c>
      <c r="H10" s="57" t="s">
        <v>492</v>
      </c>
      <c r="I10" s="25" t="s">
        <v>493</v>
      </c>
      <c r="J10" s="301" t="s">
        <v>494</v>
      </c>
      <c r="M10" s="19"/>
      <c r="N10" s="19"/>
      <c r="O10" s="19"/>
    </row>
    <row r="11" spans="2:15">
      <c r="B11" s="54" t="s">
        <v>495</v>
      </c>
      <c r="C11" s="54" t="s">
        <v>496</v>
      </c>
      <c r="D11" s="54" t="s">
        <v>497</v>
      </c>
      <c r="E11" s="54" t="s">
        <v>498</v>
      </c>
      <c r="F11" s="54" t="s">
        <v>151</v>
      </c>
      <c r="G11" s="289" t="s">
        <v>130</v>
      </c>
      <c r="H11" s="57" t="s">
        <v>499</v>
      </c>
      <c r="I11" s="25" t="s">
        <v>500</v>
      </c>
      <c r="J11" s="301" t="s">
        <v>501</v>
      </c>
      <c r="M11" s="19"/>
      <c r="N11" s="19"/>
      <c r="O11" s="19"/>
    </row>
    <row r="12" spans="2:15">
      <c r="B12" s="54" t="s">
        <v>228</v>
      </c>
      <c r="D12" s="54" t="s">
        <v>502</v>
      </c>
      <c r="E12" s="54" t="s">
        <v>503</v>
      </c>
      <c r="F12" s="54" t="s">
        <v>135</v>
      </c>
      <c r="G12" s="289" t="s">
        <v>504</v>
      </c>
      <c r="H12" s="57" t="s">
        <v>505</v>
      </c>
      <c r="I12" s="25" t="s">
        <v>506</v>
      </c>
      <c r="J12" s="301" t="s">
        <v>507</v>
      </c>
      <c r="M12" s="167"/>
      <c r="N12" s="19"/>
      <c r="O12" s="19"/>
    </row>
    <row r="13" spans="2:15">
      <c r="B13" s="54" t="s">
        <v>120</v>
      </c>
      <c r="D13" s="54" t="s">
        <v>508</v>
      </c>
      <c r="E13" s="55"/>
      <c r="F13" s="54" t="s">
        <v>152</v>
      </c>
      <c r="G13" s="289" t="s">
        <v>509</v>
      </c>
      <c r="H13" s="57" t="s">
        <v>510</v>
      </c>
      <c r="I13" s="25" t="s">
        <v>511</v>
      </c>
      <c r="J13" s="301" t="s">
        <v>512</v>
      </c>
      <c r="M13" s="167"/>
      <c r="N13" s="19"/>
      <c r="O13" s="19"/>
    </row>
    <row r="14" spans="2:15">
      <c r="B14" s="54" t="s">
        <v>513</v>
      </c>
      <c r="D14" s="54" t="s">
        <v>514</v>
      </c>
      <c r="F14" s="54" t="s">
        <v>153</v>
      </c>
      <c r="G14" s="289" t="s">
        <v>515</v>
      </c>
      <c r="H14" s="57" t="s">
        <v>516</v>
      </c>
      <c r="I14" s="25" t="s">
        <v>517</v>
      </c>
      <c r="J14" s="301" t="s">
        <v>518</v>
      </c>
      <c r="M14" s="167"/>
      <c r="N14" s="19"/>
      <c r="O14" s="19"/>
    </row>
    <row r="15" spans="2:15">
      <c r="D15" s="54" t="s">
        <v>519</v>
      </c>
      <c r="F15" s="54" t="s">
        <v>154</v>
      </c>
      <c r="H15" s="57" t="s">
        <v>520</v>
      </c>
      <c r="I15" s="25" t="s">
        <v>521</v>
      </c>
      <c r="J15" s="301" t="s">
        <v>522</v>
      </c>
      <c r="M15" s="167"/>
      <c r="N15" s="19"/>
      <c r="O15" s="19"/>
    </row>
    <row r="16" spans="2:15">
      <c r="D16" s="54" t="s">
        <v>523</v>
      </c>
      <c r="F16" s="54" t="s">
        <v>155</v>
      </c>
      <c r="H16" s="57" t="s">
        <v>524</v>
      </c>
      <c r="I16" s="25" t="s">
        <v>525</v>
      </c>
      <c r="J16" s="301" t="s">
        <v>526</v>
      </c>
      <c r="M16" s="167"/>
      <c r="N16" s="19"/>
      <c r="O16" s="19"/>
    </row>
    <row r="17" spans="4:15">
      <c r="D17" s="54" t="s">
        <v>527</v>
      </c>
      <c r="F17" s="54" t="s">
        <v>156</v>
      </c>
      <c r="H17" s="57" t="s">
        <v>528</v>
      </c>
      <c r="I17" s="25" t="s">
        <v>529</v>
      </c>
      <c r="J17" s="301" t="s">
        <v>530</v>
      </c>
      <c r="M17" s="167"/>
      <c r="N17" s="19"/>
      <c r="O17" s="19"/>
    </row>
    <row r="18" spans="4:15">
      <c r="D18" s="54" t="s">
        <v>531</v>
      </c>
      <c r="F18" s="54" t="s">
        <v>157</v>
      </c>
      <c r="H18" s="57" t="s">
        <v>532</v>
      </c>
      <c r="I18" s="25" t="s">
        <v>533</v>
      </c>
      <c r="J18" s="301" t="s">
        <v>534</v>
      </c>
      <c r="M18" s="167"/>
      <c r="N18" s="19"/>
      <c r="O18" s="19"/>
    </row>
    <row r="19" spans="4:15">
      <c r="D19" s="54" t="s">
        <v>535</v>
      </c>
      <c r="F19" s="54" t="s">
        <v>158</v>
      </c>
      <c r="H19" s="57" t="s">
        <v>536</v>
      </c>
      <c r="I19" s="25" t="s">
        <v>537</v>
      </c>
      <c r="J19" s="301" t="s">
        <v>538</v>
      </c>
      <c r="M19" s="167"/>
      <c r="N19" s="19"/>
      <c r="O19" s="19"/>
    </row>
    <row r="20" spans="4:15">
      <c r="D20" s="56"/>
      <c r="F20" s="54" t="s">
        <v>159</v>
      </c>
      <c r="H20" s="57" t="s">
        <v>128</v>
      </c>
      <c r="I20" s="25" t="s">
        <v>539</v>
      </c>
      <c r="J20" s="301" t="s">
        <v>540</v>
      </c>
      <c r="M20" s="19"/>
      <c r="N20" s="19"/>
      <c r="O20" s="19"/>
    </row>
    <row r="21" spans="4:15">
      <c r="D21" s="547"/>
      <c r="F21" s="54" t="s">
        <v>160</v>
      </c>
      <c r="H21" s="547"/>
      <c r="I21" s="25" t="s">
        <v>541</v>
      </c>
      <c r="J21" s="301" t="s">
        <v>542</v>
      </c>
      <c r="M21" s="19"/>
      <c r="N21" s="19"/>
      <c r="O21" s="19"/>
    </row>
    <row r="22" spans="4:15">
      <c r="H22" s="547"/>
      <c r="I22" s="25" t="s">
        <v>543</v>
      </c>
      <c r="J22" s="301" t="s">
        <v>544</v>
      </c>
      <c r="M22" s="19"/>
      <c r="N22" s="19"/>
      <c r="O22" s="19"/>
    </row>
    <row r="23" spans="4:15">
      <c r="I23" s="25" t="s">
        <v>545</v>
      </c>
      <c r="J23" s="301" t="s">
        <v>546</v>
      </c>
      <c r="M23" s="19"/>
      <c r="N23" s="19"/>
      <c r="O23" s="19"/>
    </row>
    <row r="24" spans="4:15">
      <c r="I24" s="25" t="s">
        <v>547</v>
      </c>
      <c r="J24" s="301" t="s">
        <v>548</v>
      </c>
      <c r="M24" s="19"/>
      <c r="N24" s="19"/>
      <c r="O24" s="19"/>
    </row>
    <row r="25" spans="4:15">
      <c r="I25" s="42"/>
      <c r="J25" s="301" t="s">
        <v>549</v>
      </c>
    </row>
    <row r="26" spans="4:15">
      <c r="I26" s="25" t="s">
        <v>550</v>
      </c>
      <c r="J26" s="301" t="s">
        <v>551</v>
      </c>
    </row>
    <row r="27" spans="4:15">
      <c r="I27" s="25" t="s">
        <v>552</v>
      </c>
      <c r="J27" s="301" t="s">
        <v>553</v>
      </c>
    </row>
    <row r="28" spans="4:15">
      <c r="I28" s="42" t="s">
        <v>554</v>
      </c>
      <c r="J28" s="301" t="s">
        <v>555</v>
      </c>
    </row>
    <row r="29" spans="4:15">
      <c r="I29" s="42" t="s">
        <v>556</v>
      </c>
      <c r="J29" s="301" t="s">
        <v>557</v>
      </c>
    </row>
    <row r="30" spans="4:15">
      <c r="I30" s="42" t="s">
        <v>539</v>
      </c>
      <c r="J30" s="301" t="s">
        <v>558</v>
      </c>
    </row>
    <row r="31" spans="4:15">
      <c r="J31" s="301" t="s">
        <v>559</v>
      </c>
    </row>
    <row r="32" spans="4:15">
      <c r="J32" s="301" t="s">
        <v>560</v>
      </c>
    </row>
    <row r="33" spans="10:10">
      <c r="J33" s="301" t="s">
        <v>561</v>
      </c>
    </row>
    <row r="34" spans="10:10">
      <c r="J34" s="301" t="s">
        <v>562</v>
      </c>
    </row>
    <row r="35" spans="10:10">
      <c r="J35" s="301" t="s">
        <v>563</v>
      </c>
    </row>
    <row r="36" spans="10:10">
      <c r="J36" s="301" t="s">
        <v>563</v>
      </c>
    </row>
    <row r="37" spans="10:10">
      <c r="J37" s="301" t="s">
        <v>564</v>
      </c>
    </row>
    <row r="38" spans="10:10">
      <c r="J38" s="301" t="s">
        <v>565</v>
      </c>
    </row>
    <row r="39" spans="10:10">
      <c r="J39" s="301" t="s">
        <v>566</v>
      </c>
    </row>
    <row r="40" spans="10:10">
      <c r="J40" s="301" t="s">
        <v>567</v>
      </c>
    </row>
    <row r="41" spans="10:10">
      <c r="J41" s="301" t="s">
        <v>568</v>
      </c>
    </row>
    <row r="42" spans="10:10">
      <c r="J42" s="301" t="s">
        <v>569</v>
      </c>
    </row>
    <row r="43" spans="10:10">
      <c r="J43" s="301" t="s">
        <v>570</v>
      </c>
    </row>
    <row r="44" spans="10:10">
      <c r="J44" s="301" t="s">
        <v>571</v>
      </c>
    </row>
    <row r="45" spans="10:10">
      <c r="J45" s="301" t="s">
        <v>572</v>
      </c>
    </row>
    <row r="46" spans="10:10">
      <c r="J46" s="301" t="s">
        <v>573</v>
      </c>
    </row>
    <row r="47" spans="10:10">
      <c r="J47" s="301" t="s">
        <v>574</v>
      </c>
    </row>
    <row r="48" spans="10:10">
      <c r="J48" s="301" t="s">
        <v>575</v>
      </c>
    </row>
    <row r="49" spans="10:10">
      <c r="J49" s="301" t="s">
        <v>576</v>
      </c>
    </row>
    <row r="50" spans="10:10">
      <c r="J50" s="301" t="s">
        <v>577</v>
      </c>
    </row>
    <row r="51" spans="10:10">
      <c r="J51" s="301" t="s">
        <v>578</v>
      </c>
    </row>
    <row r="52" spans="10:10">
      <c r="J52" s="301" t="s">
        <v>579</v>
      </c>
    </row>
    <row r="53" spans="10:10">
      <c r="J53" s="301" t="s">
        <v>580</v>
      </c>
    </row>
    <row r="54" spans="10:10">
      <c r="J54" s="301" t="s">
        <v>581</v>
      </c>
    </row>
    <row r="55" spans="10:10">
      <c r="J55" s="301" t="s">
        <v>582</v>
      </c>
    </row>
    <row r="56" spans="10:10">
      <c r="J56" s="301" t="s">
        <v>583</v>
      </c>
    </row>
    <row r="57" spans="10:10">
      <c r="J57" s="301" t="s">
        <v>584</v>
      </c>
    </row>
    <row r="58" spans="10:10">
      <c r="J58" s="301" t="s">
        <v>585</v>
      </c>
    </row>
    <row r="59" spans="10:10">
      <c r="J59" s="301" t="s">
        <v>586</v>
      </c>
    </row>
    <row r="60" spans="10:10">
      <c r="J60" s="301" t="s">
        <v>587</v>
      </c>
    </row>
    <row r="61" spans="10:10">
      <c r="J61" s="301" t="s">
        <v>588</v>
      </c>
    </row>
    <row r="62" spans="10:10">
      <c r="J62" s="301" t="s">
        <v>589</v>
      </c>
    </row>
    <row r="63" spans="10:10">
      <c r="J63" s="301" t="s">
        <v>590</v>
      </c>
    </row>
    <row r="64" spans="10:10">
      <c r="J64" s="301" t="s">
        <v>591</v>
      </c>
    </row>
    <row r="65" spans="10:10">
      <c r="J65" s="301" t="s">
        <v>592</v>
      </c>
    </row>
    <row r="66" spans="10:10">
      <c r="J66" s="301" t="s">
        <v>593</v>
      </c>
    </row>
    <row r="67" spans="10:10">
      <c r="J67" s="301" t="s">
        <v>594</v>
      </c>
    </row>
    <row r="68" spans="10:10">
      <c r="J68" s="301" t="s">
        <v>595</v>
      </c>
    </row>
    <row r="69" spans="10:10">
      <c r="J69" s="301" t="s">
        <v>596</v>
      </c>
    </row>
    <row r="70" spans="10:10">
      <c r="J70" s="301" t="s">
        <v>597</v>
      </c>
    </row>
    <row r="71" spans="10:10">
      <c r="J71" s="301" t="s">
        <v>598</v>
      </c>
    </row>
    <row r="72" spans="10:10">
      <c r="J72" s="301" t="s">
        <v>599</v>
      </c>
    </row>
    <row r="73" spans="10:10">
      <c r="J73" s="301" t="s">
        <v>600</v>
      </c>
    </row>
    <row r="74" spans="10:10">
      <c r="J74" s="301" t="s">
        <v>601</v>
      </c>
    </row>
    <row r="75" spans="10:10">
      <c r="J75" s="301" t="s">
        <v>602</v>
      </c>
    </row>
    <row r="76" spans="10:10">
      <c r="J76" s="301" t="s">
        <v>114</v>
      </c>
    </row>
    <row r="77" spans="10:10">
      <c r="J77" s="301" t="s">
        <v>603</v>
      </c>
    </row>
    <row r="78" spans="10:10">
      <c r="J78" s="301" t="s">
        <v>604</v>
      </c>
    </row>
    <row r="79" spans="10:10">
      <c r="J79" s="301" t="s">
        <v>605</v>
      </c>
    </row>
    <row r="80" spans="10:10">
      <c r="J80" s="301" t="s">
        <v>606</v>
      </c>
    </row>
    <row r="81" spans="10:10">
      <c r="J81" s="301" t="s">
        <v>607</v>
      </c>
    </row>
    <row r="82" spans="10:10">
      <c r="J82" s="301" t="s">
        <v>608</v>
      </c>
    </row>
    <row r="83" spans="10:10">
      <c r="J83" s="301" t="s">
        <v>609</v>
      </c>
    </row>
    <row r="84" spans="10:10">
      <c r="J84" s="301" t="s">
        <v>610</v>
      </c>
    </row>
    <row r="85" spans="10:10">
      <c r="J85" s="301" t="s">
        <v>611</v>
      </c>
    </row>
    <row r="86" spans="10:10">
      <c r="J86" s="301" t="s">
        <v>612</v>
      </c>
    </row>
    <row r="87" spans="10:10">
      <c r="J87" s="301" t="s">
        <v>613</v>
      </c>
    </row>
    <row r="88" spans="10:10">
      <c r="J88" s="301" t="s">
        <v>614</v>
      </c>
    </row>
    <row r="89" spans="10:10">
      <c r="J89" s="301" t="s">
        <v>615</v>
      </c>
    </row>
    <row r="90" spans="10:10">
      <c r="J90" s="301" t="s">
        <v>616</v>
      </c>
    </row>
    <row r="91" spans="10:10">
      <c r="J91" s="301" t="s">
        <v>617</v>
      </c>
    </row>
    <row r="92" spans="10:10">
      <c r="J92" s="301" t="s">
        <v>618</v>
      </c>
    </row>
    <row r="93" spans="10:10">
      <c r="J93" s="301" t="s">
        <v>619</v>
      </c>
    </row>
    <row r="94" spans="10:10">
      <c r="J94" s="301" t="s">
        <v>620</v>
      </c>
    </row>
    <row r="95" spans="10:10">
      <c r="J95" s="301" t="s">
        <v>621</v>
      </c>
    </row>
    <row r="96" spans="10:10">
      <c r="J96" s="301" t="s">
        <v>622</v>
      </c>
    </row>
    <row r="97" spans="10:10">
      <c r="J97" s="301" t="s">
        <v>623</v>
      </c>
    </row>
    <row r="98" spans="10:10">
      <c r="J98" s="301" t="s">
        <v>624</v>
      </c>
    </row>
    <row r="99" spans="10:10">
      <c r="J99" s="301" t="s">
        <v>625</v>
      </c>
    </row>
    <row r="100" spans="10:10">
      <c r="J100" s="301" t="s">
        <v>626</v>
      </c>
    </row>
    <row r="101" spans="10:10">
      <c r="J101" s="301" t="s">
        <v>627</v>
      </c>
    </row>
    <row r="102" spans="10:10">
      <c r="J102" s="301" t="s">
        <v>628</v>
      </c>
    </row>
    <row r="103" spans="10:10">
      <c r="J103" s="301" t="s">
        <v>629</v>
      </c>
    </row>
    <row r="104" spans="10:10">
      <c r="J104" s="301" t="s">
        <v>630</v>
      </c>
    </row>
    <row r="105" spans="10:10">
      <c r="J105" s="301" t="s">
        <v>631</v>
      </c>
    </row>
    <row r="106" spans="10:10">
      <c r="J106" s="301" t="s">
        <v>632</v>
      </c>
    </row>
    <row r="107" spans="10:10">
      <c r="J107" s="301" t="s">
        <v>633</v>
      </c>
    </row>
    <row r="108" spans="10:10">
      <c r="J108" s="301" t="s">
        <v>634</v>
      </c>
    </row>
    <row r="109" spans="10:10">
      <c r="J109" s="301" t="s">
        <v>635</v>
      </c>
    </row>
    <row r="110" spans="10:10">
      <c r="J110" s="301" t="s">
        <v>636</v>
      </c>
    </row>
    <row r="111" spans="10:10">
      <c r="J111" s="301" t="s">
        <v>637</v>
      </c>
    </row>
    <row r="112" spans="10:10">
      <c r="J112" s="301" t="s">
        <v>638</v>
      </c>
    </row>
    <row r="113" spans="10:10">
      <c r="J113" s="301" t="s">
        <v>639</v>
      </c>
    </row>
    <row r="114" spans="10:10">
      <c r="J114" s="301" t="s">
        <v>640</v>
      </c>
    </row>
    <row r="115" spans="10:10">
      <c r="J115" s="301" t="s">
        <v>641</v>
      </c>
    </row>
    <row r="116" spans="10:10">
      <c r="J116" s="301" t="s">
        <v>642</v>
      </c>
    </row>
    <row r="117" spans="10:10">
      <c r="J117" s="301" t="s">
        <v>643</v>
      </c>
    </row>
    <row r="118" spans="10:10">
      <c r="J118" s="301" t="s">
        <v>644</v>
      </c>
    </row>
    <row r="119" spans="10:10">
      <c r="J119" s="301" t="s">
        <v>645</v>
      </c>
    </row>
    <row r="120" spans="10:10">
      <c r="J120" s="301" t="s">
        <v>646</v>
      </c>
    </row>
    <row r="121" spans="10:10">
      <c r="J121" s="301" t="s">
        <v>647</v>
      </c>
    </row>
    <row r="122" spans="10:10">
      <c r="J122" s="301" t="s">
        <v>648</v>
      </c>
    </row>
    <row r="123" spans="10:10">
      <c r="J123" s="301" t="s">
        <v>649</v>
      </c>
    </row>
    <row r="124" spans="10:10">
      <c r="J124" s="301" t="s">
        <v>650</v>
      </c>
    </row>
    <row r="125" spans="10:10">
      <c r="J125" s="301" t="s">
        <v>651</v>
      </c>
    </row>
    <row r="126" spans="10:10">
      <c r="J126" s="301" t="s">
        <v>652</v>
      </c>
    </row>
    <row r="127" spans="10:10">
      <c r="J127" s="301" t="s">
        <v>653</v>
      </c>
    </row>
    <row r="128" spans="10:10">
      <c r="J128" s="301" t="s">
        <v>654</v>
      </c>
    </row>
    <row r="129" spans="10:10">
      <c r="J129" s="301" t="s">
        <v>655</v>
      </c>
    </row>
    <row r="130" spans="10:10">
      <c r="J130" s="301" t="s">
        <v>656</v>
      </c>
    </row>
    <row r="131" spans="10:10">
      <c r="J131" s="301" t="s">
        <v>657</v>
      </c>
    </row>
    <row r="132" spans="10:10">
      <c r="J132" s="301" t="s">
        <v>658</v>
      </c>
    </row>
    <row r="133" spans="10:10">
      <c r="J133" s="301" t="s">
        <v>659</v>
      </c>
    </row>
    <row r="134" spans="10:10">
      <c r="J134" s="301" t="s">
        <v>660</v>
      </c>
    </row>
    <row r="135" spans="10:10">
      <c r="J135" s="301" t="s">
        <v>661</v>
      </c>
    </row>
    <row r="136" spans="10:10">
      <c r="J136" s="301" t="s">
        <v>662</v>
      </c>
    </row>
    <row r="137" spans="10:10">
      <c r="J137" s="301" t="s">
        <v>663</v>
      </c>
    </row>
    <row r="138" spans="10:10">
      <c r="J138" s="301" t="s">
        <v>664</v>
      </c>
    </row>
    <row r="139" spans="10:10">
      <c r="J139" s="301" t="s">
        <v>665</v>
      </c>
    </row>
    <row r="140" spans="10:10">
      <c r="J140" s="301" t="s">
        <v>666</v>
      </c>
    </row>
    <row r="141" spans="10:10">
      <c r="J141" s="301" t="s">
        <v>667</v>
      </c>
    </row>
    <row r="142" spans="10:10">
      <c r="J142" s="301" t="s">
        <v>668</v>
      </c>
    </row>
    <row r="143" spans="10:10">
      <c r="J143" s="301" t="s">
        <v>669</v>
      </c>
    </row>
    <row r="144" spans="10:10">
      <c r="J144" s="287"/>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N19" sqref="N19"/>
    </sheetView>
  </sheetViews>
  <sheetFormatPr defaultRowHeight="15"/>
  <sheetData>
    <row r="1" spans="1:2">
      <c r="A1" s="68" t="s">
        <v>670</v>
      </c>
      <c r="B1" t="s">
        <v>671</v>
      </c>
    </row>
    <row r="2" spans="1:2">
      <c r="A2" s="68" t="s">
        <v>672</v>
      </c>
      <c r="B2" t="s">
        <v>673</v>
      </c>
    </row>
    <row r="3" spans="1:2">
      <c r="A3" s="68" t="s">
        <v>674</v>
      </c>
      <c r="B3" t="s">
        <v>675</v>
      </c>
    </row>
    <row r="4" spans="1:2">
      <c r="A4" s="68" t="s">
        <v>676</v>
      </c>
      <c r="B4" t="s">
        <v>677</v>
      </c>
    </row>
    <row r="5" spans="1:2">
      <c r="A5" s="68" t="s">
        <v>678</v>
      </c>
      <c r="B5" t="s">
        <v>679</v>
      </c>
    </row>
    <row r="6" spans="1:2">
      <c r="A6" s="68" t="s">
        <v>680</v>
      </c>
      <c r="B6" t="s">
        <v>681</v>
      </c>
    </row>
    <row r="7" spans="1:2">
      <c r="A7" s="68" t="s">
        <v>682</v>
      </c>
      <c r="B7" t="s">
        <v>683</v>
      </c>
    </row>
    <row r="8" spans="1:2">
      <c r="A8" s="68" t="s">
        <v>684</v>
      </c>
      <c r="B8" t="s">
        <v>685</v>
      </c>
    </row>
    <row r="9" spans="1:2">
      <c r="A9" s="68" t="s">
        <v>686</v>
      </c>
      <c r="B9" t="s">
        <v>687</v>
      </c>
    </row>
    <row r="10" spans="1:2">
      <c r="A10" s="68" t="s">
        <v>688</v>
      </c>
      <c r="B10" t="s">
        <v>689</v>
      </c>
    </row>
    <row r="11" spans="1:2">
      <c r="A11" s="68" t="s">
        <v>690</v>
      </c>
      <c r="B11" t="s">
        <v>691</v>
      </c>
    </row>
    <row r="12" spans="1:2">
      <c r="A12" s="68" t="s">
        <v>692</v>
      </c>
      <c r="B12" t="s">
        <v>693</v>
      </c>
    </row>
    <row r="13" spans="1:2">
      <c r="A13" s="68" t="s">
        <v>694</v>
      </c>
      <c r="B13" t="s">
        <v>695</v>
      </c>
    </row>
    <row r="14" spans="1:2">
      <c r="A14" s="68" t="s">
        <v>696</v>
      </c>
      <c r="B14" t="s">
        <v>697</v>
      </c>
    </row>
    <row r="15" spans="1:2">
      <c r="A15" s="68" t="s">
        <v>698</v>
      </c>
      <c r="B15" t="s">
        <v>699</v>
      </c>
    </row>
  </sheetData>
  <phoneticPr fontId="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31"/>
  <sheetViews>
    <sheetView workbookViewId="0">
      <selection activeCell="D14" sqref="D14"/>
    </sheetView>
  </sheetViews>
  <sheetFormatPr defaultRowHeight="15"/>
  <cols>
    <col min="2" max="2" width="32.28515625" style="346" customWidth="1"/>
    <col min="3" max="3" width="11.28515625" customWidth="1"/>
    <col min="4" max="4" width="14.7109375" customWidth="1"/>
    <col min="6" max="6" width="14" customWidth="1"/>
    <col min="7" max="7" width="11.5703125" customWidth="1"/>
    <col min="9" max="9" width="27.28515625" customWidth="1"/>
    <col min="11" max="11" width="12" customWidth="1"/>
  </cols>
  <sheetData>
    <row r="3" spans="2:12" ht="23.25">
      <c r="B3" s="343" t="s">
        <v>700</v>
      </c>
      <c r="C3" s="279">
        <v>196425</v>
      </c>
      <c r="D3" s="282">
        <v>10086.190000000002</v>
      </c>
      <c r="I3" s="348"/>
      <c r="J3" s="349"/>
      <c r="K3" s="349"/>
      <c r="L3" s="349"/>
    </row>
    <row r="4" spans="2:12" ht="34.5">
      <c r="B4" s="343" t="s">
        <v>701</v>
      </c>
      <c r="C4" s="279">
        <v>2920215</v>
      </c>
      <c r="D4" s="282">
        <v>1283202.9400000002</v>
      </c>
      <c r="I4" s="350"/>
      <c r="J4" s="351"/>
      <c r="K4" s="351"/>
      <c r="L4" s="351"/>
    </row>
    <row r="5" spans="2:12">
      <c r="B5" s="344" t="s">
        <v>702</v>
      </c>
      <c r="C5" s="280">
        <v>343499</v>
      </c>
      <c r="D5" s="282">
        <v>304251.71999999997</v>
      </c>
    </row>
    <row r="6" spans="2:12" ht="15.75" thickBot="1">
      <c r="B6" s="345" t="s">
        <v>195</v>
      </c>
      <c r="C6" s="285">
        <f>SUM(C3:C5)</f>
        <v>3460139</v>
      </c>
      <c r="D6" s="286">
        <f>SUM(D3:D5)</f>
        <v>1597540.85</v>
      </c>
      <c r="I6" s="354"/>
      <c r="L6" s="355"/>
    </row>
    <row r="7" spans="2:12" ht="57">
      <c r="I7" s="352" t="s">
        <v>703</v>
      </c>
      <c r="L7" s="353"/>
    </row>
    <row r="8" spans="2:12" ht="34.5">
      <c r="I8" s="354" t="s">
        <v>704</v>
      </c>
      <c r="L8" s="359"/>
    </row>
    <row r="9" spans="2:12">
      <c r="I9" s="354" t="s">
        <v>705</v>
      </c>
      <c r="L9" s="355"/>
    </row>
    <row r="10" spans="2:12" ht="15.75" thickBot="1">
      <c r="B10" s="349"/>
      <c r="C10" s="42" t="s">
        <v>706</v>
      </c>
      <c r="D10" s="42" t="s">
        <v>707</v>
      </c>
      <c r="E10" s="42" t="s">
        <v>708</v>
      </c>
      <c r="F10" s="42" t="s">
        <v>709</v>
      </c>
      <c r="G10" s="42"/>
      <c r="I10" s="356"/>
      <c r="J10" s="357">
        <f>SUM(J6:J9)</f>
        <v>0</v>
      </c>
      <c r="K10" s="357">
        <f>SUM(K6:K9)</f>
        <v>0</v>
      </c>
      <c r="L10" s="358"/>
    </row>
    <row r="11" spans="2:12" ht="26.25">
      <c r="B11" s="365" t="s">
        <v>700</v>
      </c>
      <c r="C11" s="361">
        <v>78211</v>
      </c>
      <c r="D11" s="362">
        <f>445269.08+4207.73</f>
        <v>449476.81</v>
      </c>
      <c r="E11" s="363">
        <v>554706</v>
      </c>
      <c r="F11" s="363">
        <v>459562.80000000005</v>
      </c>
      <c r="G11" s="364"/>
    </row>
    <row r="12" spans="2:12" ht="39">
      <c r="B12" s="365" t="s">
        <v>701</v>
      </c>
      <c r="C12" s="361">
        <v>797425.72399999993</v>
      </c>
      <c r="D12" s="362">
        <f>1328985.16+10597.9</f>
        <v>1339583.0599999998</v>
      </c>
      <c r="E12" s="363">
        <v>4906100</v>
      </c>
      <c r="F12" s="363">
        <v>2622785.89</v>
      </c>
      <c r="G12" s="364"/>
    </row>
    <row r="13" spans="2:12">
      <c r="B13" s="366" t="s">
        <v>702</v>
      </c>
      <c r="C13" s="362">
        <v>282670.70082999999</v>
      </c>
      <c r="D13" s="362">
        <f>116992.65-1717</f>
        <v>115275.65</v>
      </c>
      <c r="E13" s="363">
        <v>659696</v>
      </c>
      <c r="F13" s="363">
        <v>419527.37</v>
      </c>
      <c r="G13" s="364"/>
    </row>
    <row r="14" spans="2:12">
      <c r="B14" s="367" t="s">
        <v>195</v>
      </c>
      <c r="C14" s="368">
        <f>SUM(C11:C13)</f>
        <v>1158307.4248299999</v>
      </c>
      <c r="D14" s="368">
        <f>SUM(D11:D13)</f>
        <v>1904335.5199999998</v>
      </c>
      <c r="E14" s="369">
        <f>SUM(E11:E13)</f>
        <v>6120502</v>
      </c>
      <c r="F14" s="369">
        <f>SUM(F11:F13)</f>
        <v>3501876.0600000005</v>
      </c>
      <c r="G14" s="369"/>
    </row>
    <row r="17" spans="2:9">
      <c r="D17" s="360"/>
    </row>
    <row r="18" spans="2:9">
      <c r="B18" s="346" t="s">
        <v>710</v>
      </c>
      <c r="C18">
        <v>1854771.0908137045</v>
      </c>
      <c r="D18">
        <v>1486069.9447738212</v>
      </c>
      <c r="E18">
        <f>SUM(C18:D18)</f>
        <v>3340841.0355875259</v>
      </c>
      <c r="F18">
        <v>1515782.6800000002</v>
      </c>
      <c r="G18">
        <f>F18-D18</f>
        <v>29712.735226179007</v>
      </c>
    </row>
    <row r="19" spans="2:9">
      <c r="B19" s="346" t="s">
        <v>711</v>
      </c>
      <c r="C19">
        <v>64356.800000000003</v>
      </c>
      <c r="D19">
        <v>96678.23</v>
      </c>
      <c r="E19">
        <f t="shared" ref="E19:E20" si="0">SUM(C19:D19)</f>
        <v>161035.03</v>
      </c>
      <c r="F19">
        <v>87839.17</v>
      </c>
      <c r="G19">
        <f>F19-D19</f>
        <v>-8839.0599999999977</v>
      </c>
    </row>
    <row r="20" spans="2:9">
      <c r="B20" s="346" t="s">
        <v>712</v>
      </c>
      <c r="C20">
        <v>1919127.8908137046</v>
      </c>
      <c r="D20">
        <v>1582748.1747738211</v>
      </c>
      <c r="E20">
        <f t="shared" si="0"/>
        <v>3501876.0655875257</v>
      </c>
      <c r="F20">
        <f>SUM(F18:F19)</f>
        <v>1603621.85</v>
      </c>
    </row>
    <row r="21" spans="2:9">
      <c r="D21">
        <v>1603622</v>
      </c>
    </row>
    <row r="22" spans="2:9">
      <c r="D22" s="370">
        <f>D21-D20</f>
        <v>20873.825226178858</v>
      </c>
      <c r="F22" s="360">
        <f>D14+F20</f>
        <v>3507957.37</v>
      </c>
    </row>
    <row r="25" spans="2:9" ht="45">
      <c r="E25" s="347" t="s">
        <v>713</v>
      </c>
      <c r="F25" t="s">
        <v>714</v>
      </c>
      <c r="H25" t="s">
        <v>715</v>
      </c>
    </row>
    <row r="26" spans="2:9">
      <c r="B26" s="346" t="s">
        <v>199</v>
      </c>
      <c r="C26">
        <v>5365504</v>
      </c>
      <c r="D26">
        <v>4274978</v>
      </c>
      <c r="E26">
        <v>9640482</v>
      </c>
      <c r="F26">
        <v>5365504</v>
      </c>
      <c r="G26">
        <f>E26-F26</f>
        <v>4274978</v>
      </c>
      <c r="H26">
        <v>4274978</v>
      </c>
    </row>
    <row r="27" spans="2:9">
      <c r="B27" s="346" t="s">
        <v>200</v>
      </c>
      <c r="C27">
        <v>2778659</v>
      </c>
      <c r="D27">
        <v>1515782.6</v>
      </c>
      <c r="E27">
        <v>4302570</v>
      </c>
      <c r="F27">
        <v>2778659</v>
      </c>
      <c r="G27">
        <f t="shared" ref="G27:G28" si="1">E27-F27</f>
        <v>1523911</v>
      </c>
      <c r="H27">
        <v>1515783</v>
      </c>
      <c r="I27">
        <f>E27-H27</f>
        <v>2786787</v>
      </c>
    </row>
    <row r="28" spans="2:9">
      <c r="B28" s="346" t="s">
        <v>201</v>
      </c>
      <c r="C28">
        <v>146899</v>
      </c>
      <c r="D28">
        <v>87839</v>
      </c>
      <c r="E28">
        <v>228574</v>
      </c>
      <c r="F28">
        <v>146899</v>
      </c>
      <c r="G28">
        <f t="shared" si="1"/>
        <v>81675</v>
      </c>
      <c r="H28">
        <v>87839</v>
      </c>
      <c r="I28">
        <f>E28-H28</f>
        <v>140735</v>
      </c>
    </row>
    <row r="29" spans="2:9">
      <c r="B29" s="346" t="s">
        <v>202</v>
      </c>
      <c r="C29">
        <v>127777.84</v>
      </c>
      <c r="D29">
        <v>93968.860000000015</v>
      </c>
      <c r="E29">
        <v>221747</v>
      </c>
      <c r="F29">
        <v>127777.84</v>
      </c>
      <c r="G29">
        <f>E29-H29</f>
        <v>140735</v>
      </c>
      <c r="H29">
        <v>81012</v>
      </c>
    </row>
    <row r="31" spans="2:9">
      <c r="G31">
        <f>G29-F29</f>
        <v>12957.160000000003</v>
      </c>
    </row>
  </sheetData>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d090553-ac12-4b9f-ace9-08ae9ba498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4EBAFB83A586EF4F94E7F07E84C3D94B" ma:contentTypeVersion="13" ma:contentTypeDescription="Создание документа." ma:contentTypeScope="" ma:versionID="ea16ddeb4cf19316eac116c56570107d">
  <xsd:schema xmlns:xsd="http://www.w3.org/2001/XMLSchema" xmlns:xs="http://www.w3.org/2001/XMLSchema" xmlns:p="http://schemas.microsoft.com/office/2006/metadata/properties" xmlns:ns2="0d090553-ac12-4b9f-ace9-08ae9ba49871" xmlns:ns3="b7c0ead1-1596-430a-9f15-fe6efc5e9c7f" targetNamespace="http://schemas.microsoft.com/office/2006/metadata/properties" ma:root="true" ma:fieldsID="69684783fceb485629f1a12252da413d" ns2:_="" ns3:_="">
    <xsd:import namespace="0d090553-ac12-4b9f-ace9-08ae9ba49871"/>
    <xsd:import namespace="b7c0ead1-1596-430a-9f15-fe6efc5e9c7f"/>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90553-ac12-4b9f-ace9-08ae9ba49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Состояние одобрения"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c0ead1-1596-430a-9f15-fe6efc5e9c7f" elementFormDefault="qualified">
    <xsd:import namespace="http://schemas.microsoft.com/office/2006/documentManagement/types"/>
    <xsd:import namespace="http://schemas.microsoft.com/office/infopath/2007/PartnerControls"/>
    <xsd:element name="SharedWithUsers" ma:index="13"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DFA6C9-3F96-4413-B912-D348D4E4188B}">
  <ds:schemaRefs>
    <ds:schemaRef ds:uri="http://schemas.microsoft.com/office/2006/metadata/properties"/>
    <ds:schemaRef ds:uri="http://schemas.microsoft.com/office/infopath/2007/PartnerControls"/>
    <ds:schemaRef ds:uri="0d090553-ac12-4b9f-ace9-08ae9ba49871"/>
  </ds:schemaRefs>
</ds:datastoreItem>
</file>

<file path=customXml/itemProps2.xml><?xml version="1.0" encoding="utf-8"?>
<ds:datastoreItem xmlns:ds="http://schemas.openxmlformats.org/officeDocument/2006/customXml" ds:itemID="{82547799-2CCA-4801-A81E-00D0021B5368}"/>
</file>

<file path=customXml/itemProps3.xml><?xml version="1.0" encoding="utf-8"?>
<ds:datastoreItem xmlns:ds="http://schemas.openxmlformats.org/officeDocument/2006/customXml" ds:itemID="{DD02EAF0-2AA9-4A84-A04C-8376A13F02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23</vt:i4>
      </vt:variant>
    </vt:vector>
  </HeadingPairs>
  <TitlesOfParts>
    <vt:vector size="35" baseType="lpstr">
      <vt:lpstr>Меню</vt:lpstr>
      <vt:lpstr>Показатели</vt:lpstr>
      <vt:lpstr>Ввод данных</vt:lpstr>
      <vt:lpstr>Сведения о гранте</vt:lpstr>
      <vt:lpstr>Финансирование</vt:lpstr>
      <vt:lpstr>Управление</vt:lpstr>
      <vt:lpstr>Программа</vt:lpstr>
      <vt:lpstr>Рекомендации</vt:lpstr>
      <vt:lpstr>Действия</vt:lpstr>
      <vt:lpstr>Установки</vt:lpstr>
      <vt:lpstr>Акронимы</vt:lpstr>
      <vt:lpstr>Лист1</vt:lpstr>
      <vt:lpstr>Component</vt:lpstr>
      <vt:lpstr>Countries</vt:lpstr>
      <vt:lpstr>Currency</vt:lpstr>
      <vt:lpstr>LFA</vt:lpstr>
      <vt:lpstr>Medicaments</vt:lpstr>
      <vt:lpstr>PERIOD</vt:lpstr>
      <vt:lpstr>Phase</vt:lpstr>
      <vt:lpstr>PrintA</vt:lpstr>
      <vt:lpstr>PrintDataF</vt:lpstr>
      <vt:lpstr>PrintDataM</vt:lpstr>
      <vt:lpstr>PrintF</vt:lpstr>
      <vt:lpstr>PrintGD</vt:lpstr>
      <vt:lpstr>Действия!PrintM</vt:lpstr>
      <vt:lpstr>PrintM</vt:lpstr>
      <vt:lpstr>PrintP</vt:lpstr>
      <vt:lpstr>PrintR</vt:lpstr>
      <vt:lpstr>Rating</vt:lpstr>
      <vt:lpstr>Round</vt:lpstr>
      <vt:lpstr>мва</vt:lpstr>
      <vt:lpstr>Действия!Область_печати</vt:lpstr>
      <vt:lpstr>Программа!Область_печати</vt:lpstr>
      <vt:lpstr>Управление!Область_печати</vt:lpstr>
      <vt:lpstr>Финансирование!Область_печати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
  <dc:creator>Genc Kastrati</dc:creator>
  <cp:keywords/>
  <dc:description/>
  <cp:lastModifiedBy>Inga babicheva</cp:lastModifiedBy>
  <cp:revision/>
  <dcterms:created xsi:type="dcterms:W3CDTF">2008-11-20T16:06:13Z</dcterms:created>
  <dcterms:modified xsi:type="dcterms:W3CDTF">2020-04-13T07:40:53Z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ContentTypeId">
    <vt:lpwstr>0x0101004EBAFB83A586EF4F94E7F07E84C3D94B</vt:lpwstr>
  </property>
  <property fmtid="{D5CDD505-2E9C-101B-9397-08002B2CF9AE}" pid="29" name="AuthorIds_UIVersion_512">
    <vt:lpwstr>21</vt:lpwstr>
  </property>
  <property fmtid="{D5CDD505-2E9C-101B-9397-08002B2CF9AE}" pid="30" name="AuthorIds_UIVersion_1024">
    <vt:lpwstr>21</vt:lpwstr>
  </property>
  <property fmtid="{D5CDD505-2E9C-101B-9397-08002B2CF9AE}" pid="31" name="AuthorIds_UIVersion_40960">
    <vt:lpwstr>13</vt:lpwstr>
  </property>
  <property fmtid="{D5CDD505-2E9C-101B-9397-08002B2CF9AE}" pid="32" name="AuthorIds_UIVersion_41472">
    <vt:lpwstr>21</vt:lpwstr>
  </property>
  <property fmtid="{D5CDD505-2E9C-101B-9397-08002B2CF9AE}" pid="33" name="AuthorIds_UIVersion_43008">
    <vt:lpwstr>31,21</vt:lpwstr>
  </property>
</Properties>
</file>